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eso.sharepoint.com/sites/CS-DEPT-LAW-LARA/Tariff/2022 DAR/"/>
    </mc:Choice>
  </mc:AlternateContent>
  <xr:revisionPtr revIDLastSave="18" documentId="8_{ABA476F8-19DA-4EB2-A98A-62CB7DE953A5}" xr6:coauthVersionLast="47" xr6:coauthVersionMax="47" xr10:uidLastSave="{E93CF442-4E34-49CF-8C91-9772C832F0AB}"/>
  <bookViews>
    <workbookView xWindow="28680" yWindow="-15" windowWidth="29040" windowHeight="15840" xr2:uid="{61DA1510-702F-4220-A0D5-ABD813B53255}"/>
  </bookViews>
  <sheets>
    <sheet name="Theoretical &amp; DFO Sites" sheetId="3" r:id="rId1"/>
  </sheets>
  <definedNames>
    <definedName name="Applicant">"Alberta Electric System Operator"</definedName>
    <definedName name="Application">"2022 Deferral Account Reconciliation Application"</definedName>
    <definedName name="TableDate">"June 30, 2023"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7" i="3" l="1"/>
  <c r="I130" i="3"/>
  <c r="I133" i="3"/>
  <c r="L133" i="3"/>
  <c r="K133" i="3"/>
  <c r="J133" i="3"/>
  <c r="K130" i="3"/>
  <c r="Q129" i="3"/>
  <c r="L127" i="3"/>
  <c r="K127" i="3"/>
  <c r="Q126" i="3"/>
  <c r="L124" i="3"/>
  <c r="K124" i="3"/>
  <c r="J124" i="3"/>
  <c r="I124" i="3"/>
  <c r="Q123" i="3"/>
  <c r="Q132" i="3" l="1"/>
  <c r="Q131" i="3"/>
  <c r="M133" i="3"/>
  <c r="P85" i="3" l="1"/>
  <c r="L85" i="3"/>
  <c r="K85" i="3"/>
  <c r="J94" i="3"/>
  <c r="M94" i="3" s="1"/>
  <c r="I94" i="3"/>
  <c r="P72" i="3"/>
  <c r="J81" i="3"/>
  <c r="Q71" i="3"/>
  <c r="P59" i="3"/>
  <c r="J59" i="3"/>
  <c r="P46" i="3"/>
  <c r="P33" i="3"/>
  <c r="K46" i="3"/>
  <c r="J33" i="3"/>
  <c r="I42" i="3"/>
  <c r="L46" i="3"/>
  <c r="J42" i="3"/>
  <c r="L120" i="3"/>
  <c r="M120" i="3" s="1"/>
  <c r="K120" i="3"/>
  <c r="J120" i="3"/>
  <c r="I120" i="3"/>
  <c r="Q118" i="3"/>
  <c r="Q116" i="3"/>
  <c r="Q119" i="3" s="1"/>
  <c r="Q113" i="3"/>
  <c r="L111" i="3"/>
  <c r="K111" i="3"/>
  <c r="J111" i="3"/>
  <c r="I111" i="3"/>
  <c r="Q110" i="3"/>
  <c r="M107" i="3"/>
  <c r="L107" i="3"/>
  <c r="K107" i="3"/>
  <c r="J107" i="3"/>
  <c r="I107" i="3"/>
  <c r="Q103" i="3"/>
  <c r="Q106" i="3" s="1"/>
  <c r="Q100" i="3"/>
  <c r="L98" i="3"/>
  <c r="K98" i="3"/>
  <c r="J98" i="3"/>
  <c r="I98" i="3"/>
  <c r="Q97" i="3"/>
  <c r="L94" i="3"/>
  <c r="K94" i="3"/>
  <c r="L81" i="3"/>
  <c r="K81" i="3"/>
  <c r="L72" i="3"/>
  <c r="K72" i="3"/>
  <c r="L68" i="3"/>
  <c r="K68" i="3"/>
  <c r="L59" i="3"/>
  <c r="K59" i="3"/>
  <c r="K55" i="3"/>
  <c r="I55" i="3"/>
  <c r="I26" i="3"/>
  <c r="P25" i="3"/>
  <c r="P26" i="3" s="1"/>
  <c r="P27" i="3" s="1"/>
  <c r="N25" i="3"/>
  <c r="N26" i="3" s="1"/>
  <c r="N27" i="3" s="1"/>
  <c r="K25" i="3"/>
  <c r="K26" i="3" s="1"/>
  <c r="J25" i="3"/>
  <c r="J26" i="3" s="1"/>
  <c r="I25" i="3"/>
  <c r="P24" i="3"/>
  <c r="O24" i="3"/>
  <c r="N24" i="3"/>
  <c r="M24" i="3"/>
  <c r="L24" i="3"/>
  <c r="L25" i="3" s="1"/>
  <c r="L26" i="3" s="1"/>
  <c r="P21" i="3"/>
  <c r="P22" i="3" s="1"/>
  <c r="N21" i="3"/>
  <c r="N22" i="3" s="1"/>
  <c r="P20" i="3"/>
  <c r="O20" i="3"/>
  <c r="O25" i="3" s="1"/>
  <c r="O26" i="3" s="1"/>
  <c r="N20" i="3"/>
  <c r="M20" i="3"/>
  <c r="M21" i="3" s="1"/>
  <c r="M22" i="3" s="1"/>
  <c r="L20" i="3"/>
  <c r="L21" i="3" s="1"/>
  <c r="L22" i="3" s="1"/>
  <c r="K20" i="3"/>
  <c r="K21" i="3" s="1"/>
  <c r="K22" i="3" s="1"/>
  <c r="J20" i="3"/>
  <c r="J21" i="3" s="1"/>
  <c r="J22" i="3" s="1"/>
  <c r="J127" i="3" s="1"/>
  <c r="I20" i="3"/>
  <c r="I21" i="3" s="1"/>
  <c r="I22" i="3" s="1"/>
  <c r="Q19" i="3"/>
  <c r="L17" i="3"/>
  <c r="K17" i="3"/>
  <c r="J17" i="3"/>
  <c r="I17" i="3"/>
  <c r="O13" i="3"/>
  <c r="N13" i="3"/>
  <c r="M13" i="3"/>
  <c r="L13" i="3"/>
  <c r="K13" i="3"/>
  <c r="J13" i="3"/>
  <c r="I13" i="3"/>
  <c r="A3" i="3"/>
  <c r="A2" i="3"/>
  <c r="A1" i="3"/>
  <c r="L27" i="3" l="1"/>
  <c r="Q24" i="3"/>
  <c r="J27" i="3"/>
  <c r="J85" i="3"/>
  <c r="Q84" i="3"/>
  <c r="I85" i="3"/>
  <c r="J72" i="3"/>
  <c r="M81" i="3"/>
  <c r="I72" i="3"/>
  <c r="I81" i="3"/>
  <c r="I59" i="3"/>
  <c r="Q58" i="3"/>
  <c r="Q45" i="3"/>
  <c r="I46" i="3"/>
  <c r="L55" i="3"/>
  <c r="K33" i="3"/>
  <c r="J68" i="3"/>
  <c r="M68" i="3" s="1"/>
  <c r="I68" i="3"/>
  <c r="J55" i="3"/>
  <c r="J46" i="3"/>
  <c r="M55" i="3"/>
  <c r="L33" i="3"/>
  <c r="Q32" i="3"/>
  <c r="K42" i="3"/>
  <c r="I33" i="3"/>
  <c r="L42" i="3"/>
  <c r="M42" i="3" s="1"/>
  <c r="K27" i="3"/>
  <c r="K75" i="3"/>
  <c r="K101" i="3"/>
  <c r="K62" i="3"/>
  <c r="K49" i="3"/>
  <c r="K114" i="3"/>
  <c r="K88" i="3"/>
  <c r="K36" i="3"/>
  <c r="M62" i="3"/>
  <c r="M61" i="3" s="1"/>
  <c r="M64" i="3" s="1"/>
  <c r="M88" i="3"/>
  <c r="M87" i="3" s="1"/>
  <c r="M90" i="3" s="1"/>
  <c r="M36" i="3"/>
  <c r="M35" i="3" s="1"/>
  <c r="M38" i="3" s="1"/>
  <c r="M49" i="3"/>
  <c r="M48" i="3" s="1"/>
  <c r="M51" i="3" s="1"/>
  <c r="M75" i="3"/>
  <c r="M74" i="3" s="1"/>
  <c r="M77" i="3" s="1"/>
  <c r="I27" i="3"/>
  <c r="P88" i="3"/>
  <c r="P87" i="3" s="1"/>
  <c r="P90" i="3" s="1"/>
  <c r="P49" i="3"/>
  <c r="P48" i="3" s="1"/>
  <c r="P51" i="3" s="1"/>
  <c r="P75" i="3"/>
  <c r="P74" i="3" s="1"/>
  <c r="P77" i="3" s="1"/>
  <c r="P62" i="3"/>
  <c r="P61" i="3" s="1"/>
  <c r="P64" i="3" s="1"/>
  <c r="P36" i="3"/>
  <c r="P35" i="3" s="1"/>
  <c r="P38" i="3" s="1"/>
  <c r="I49" i="3"/>
  <c r="I75" i="3"/>
  <c r="I101" i="3"/>
  <c r="I62" i="3"/>
  <c r="I114" i="3"/>
  <c r="I88" i="3"/>
  <c r="I36" i="3"/>
  <c r="L101" i="3"/>
  <c r="L62" i="3"/>
  <c r="L114" i="3"/>
  <c r="L88" i="3"/>
  <c r="L36" i="3"/>
  <c r="L49" i="3"/>
  <c r="L75" i="3"/>
  <c r="J75" i="3"/>
  <c r="J88" i="3"/>
  <c r="J101" i="3"/>
  <c r="J62" i="3"/>
  <c r="J114" i="3"/>
  <c r="J36" i="3"/>
  <c r="J49" i="3"/>
  <c r="N62" i="3"/>
  <c r="N61" i="3" s="1"/>
  <c r="N64" i="3" s="1"/>
  <c r="N88" i="3"/>
  <c r="N87" i="3" s="1"/>
  <c r="N90" i="3" s="1"/>
  <c r="N36" i="3"/>
  <c r="N35" i="3" s="1"/>
  <c r="N38" i="3" s="1"/>
  <c r="N49" i="3"/>
  <c r="N48" i="3" s="1"/>
  <c r="N51" i="3" s="1"/>
  <c r="N75" i="3"/>
  <c r="N74" i="3" s="1"/>
  <c r="N77" i="3" s="1"/>
  <c r="Q25" i="3"/>
  <c r="Q20" i="3"/>
  <c r="O21" i="3"/>
  <c r="O22" i="3" s="1"/>
  <c r="Q105" i="3"/>
  <c r="M25" i="3"/>
  <c r="M26" i="3" s="1"/>
  <c r="M27" i="3" s="1"/>
  <c r="L65" i="3" l="1"/>
  <c r="L64" i="3" s="1"/>
  <c r="L130" i="3"/>
  <c r="J39" i="3"/>
  <c r="J38" i="3" s="1"/>
  <c r="J130" i="3"/>
  <c r="L39" i="3"/>
  <c r="L38" i="3" s="1"/>
  <c r="L104" i="3"/>
  <c r="L117" i="3"/>
  <c r="L78" i="3"/>
  <c r="L77" i="3" s="1"/>
  <c r="L52" i="3"/>
  <c r="L51" i="3" s="1"/>
  <c r="L91" i="3"/>
  <c r="L90" i="3" s="1"/>
  <c r="J78" i="3"/>
  <c r="J77" i="3" s="1"/>
  <c r="J104" i="3"/>
  <c r="J117" i="3"/>
  <c r="J91" i="3"/>
  <c r="J90" i="3" s="1"/>
  <c r="J52" i="3"/>
  <c r="J51" i="3" s="1"/>
  <c r="J65" i="3"/>
  <c r="J64" i="3" s="1"/>
  <c r="L48" i="3"/>
  <c r="K117" i="3"/>
  <c r="K65" i="3"/>
  <c r="K91" i="3"/>
  <c r="K90" i="3" s="1"/>
  <c r="K104" i="3"/>
  <c r="K52" i="3"/>
  <c r="K51" i="3" s="1"/>
  <c r="K78" i="3"/>
  <c r="K77" i="3" s="1"/>
  <c r="K39" i="3"/>
  <c r="K38" i="3" s="1"/>
  <c r="I61" i="3"/>
  <c r="J35" i="3"/>
  <c r="L87" i="3"/>
  <c r="I104" i="3"/>
  <c r="I78" i="3"/>
  <c r="I77" i="3" s="1"/>
  <c r="I117" i="3"/>
  <c r="I39" i="3"/>
  <c r="I65" i="3"/>
  <c r="I64" i="3" s="1"/>
  <c r="I91" i="3"/>
  <c r="I90" i="3" s="1"/>
  <c r="I52" i="3"/>
  <c r="I51" i="3" s="1"/>
  <c r="K87" i="3"/>
  <c r="L35" i="3"/>
  <c r="I74" i="3"/>
  <c r="O27" i="3"/>
  <c r="J61" i="3"/>
  <c r="L61" i="3"/>
  <c r="I48" i="3"/>
  <c r="K48" i="3"/>
  <c r="J48" i="3"/>
  <c r="K35" i="3"/>
  <c r="K64" i="3"/>
  <c r="K61" i="3"/>
  <c r="O88" i="3"/>
  <c r="O87" i="3" s="1"/>
  <c r="O90" i="3" s="1"/>
  <c r="O36" i="3"/>
  <c r="O35" i="3" s="1"/>
  <c r="O38" i="3" s="1"/>
  <c r="O49" i="3"/>
  <c r="O48" i="3" s="1"/>
  <c r="O51" i="3" s="1"/>
  <c r="O75" i="3"/>
  <c r="O74" i="3" s="1"/>
  <c r="O77" i="3" s="1"/>
  <c r="O62" i="3"/>
  <c r="O61" i="3" s="1"/>
  <c r="O64" i="3" s="1"/>
  <c r="J87" i="3"/>
  <c r="I38" i="3"/>
  <c r="I35" i="3"/>
  <c r="J74" i="3"/>
  <c r="L74" i="3"/>
  <c r="I87" i="3"/>
  <c r="K74" i="3"/>
  <c r="Q77" i="3" l="1"/>
  <c r="Q87" i="3"/>
  <c r="Q64" i="3"/>
  <c r="Q90" i="3"/>
  <c r="Q51" i="3"/>
  <c r="Q35" i="3"/>
  <c r="Q74" i="3"/>
  <c r="Q38" i="3"/>
  <c r="Q48" i="3"/>
  <c r="Q61" i="3"/>
  <c r="Q66" i="3" l="1"/>
  <c r="Q79" i="3"/>
  <c r="Q80" i="3"/>
  <c r="Q67" i="3"/>
  <c r="Q54" i="3"/>
  <c r="Q53" i="3"/>
  <c r="Q41" i="3"/>
  <c r="Q40" i="3"/>
  <c r="Q93" i="3"/>
  <c r="Q92" i="3"/>
</calcChain>
</file>

<file path=xl/sharedStrings.xml><?xml version="1.0" encoding="utf-8"?>
<sst xmlns="http://schemas.openxmlformats.org/spreadsheetml/2006/main" count="269" uniqueCount="45">
  <si>
    <t>Impact of Proposed 5-Year Production Year on Revenue and Deferral Balances Based on 2021 DAR</t>
  </si>
  <si>
    <t>(a)</t>
  </si>
  <si>
    <t>(b)</t>
  </si>
  <si>
    <t>(c)</t>
  </si>
  <si>
    <t>(d)</t>
  </si>
  <si>
    <t>(e)</t>
  </si>
  <si>
    <t>(f)</t>
  </si>
  <si>
    <t>(g)</t>
  </si>
  <si>
    <t>(h)</t>
  </si>
  <si>
    <t>(i)</t>
  </si>
  <si>
    <t>Production Year</t>
  </si>
  <si>
    <t>Total Revenue and Deferral Balances</t>
  </si>
  <si>
    <t>2021 DAR</t>
  </si>
  <si>
    <t>Unit</t>
  </si>
  <si>
    <t>TOTAL</t>
  </si>
  <si>
    <t>2020 DAR</t>
  </si>
  <si>
    <t>Actual Revenue Collected</t>
  </si>
  <si>
    <t>$</t>
  </si>
  <si>
    <t>Deferral Balances</t>
  </si>
  <si>
    <t>DAR Base Rate Adjustment</t>
  </si>
  <si>
    <t>%</t>
  </si>
  <si>
    <t>Original</t>
  </si>
  <si>
    <t>Change in Production Year Revenue vs 2017</t>
  </si>
  <si>
    <t>n/a</t>
  </si>
  <si>
    <t>DAR Amounts Collected</t>
  </si>
  <si>
    <t>Refund/(Charge) $</t>
  </si>
  <si>
    <t>Base Rate Adjustment</t>
  </si>
  <si>
    <t>2021 DAR Amounts To be collected are equal through original and revised calcualtions</t>
  </si>
  <si>
    <t>Change in Base Rate Adjustment</t>
  </si>
  <si>
    <t xml:space="preserve">*Exhibit </t>
  </si>
  <si>
    <t>Revised</t>
  </si>
  <si>
    <t>Base Rate Adjustment (BSR) "rolls back" the BSR to 2020 DAR values for 2014 - 2016 and adjusts 2017 to -1.15% from -1.4% in the 2020 DAR</t>
  </si>
  <si>
    <t>Change in Base Rate Adjustment Original to Revised</t>
  </si>
  <si>
    <t>Rider C Estimated</t>
  </si>
  <si>
    <t>Example</t>
  </si>
  <si>
    <t>Increase in Refund / Decrease in Charge</t>
  </si>
  <si>
    <t>Decrease in Refund / Increase in Charge</t>
  </si>
  <si>
    <t>Site Revenue as a % Total Revenue</t>
  </si>
  <si>
    <t>2021 DAR Base Rate Adjustment</t>
  </si>
  <si>
    <t>Example (DFO)</t>
  </si>
  <si>
    <t>Fortis (DFO)</t>
  </si>
  <si>
    <t>EPCOR (DFO)</t>
  </si>
  <si>
    <t>ENMAX (DFO)</t>
  </si>
  <si>
    <t>Appendix K - Theoretical and DFO Sites Examples of Proposed Methodology Change - Connection Charges</t>
  </si>
  <si>
    <t>DAR Amounts to be Collected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</si>
</sst>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_);_(* \(#,##0.0\);_(* &quot;-&quot;?_);_(@_)"/>
    <numFmt numFmtId="165" formatCode="_(* #,##0_);_(* \(#,##0\);_(* &quot;-&quot;??_);_(@_)"/>
    <numFmt numFmtId="166" formatCode="_(&quot;$&quot;* #,##0_);_(&quot;$&quot;* \(#,##0\);_(&quot;$&quot;* &quot;-&quot;??_);_(@_)"/>
    <numFmt numFmtId="167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 Narrow"/>
      <family val="2"/>
    </font>
    <font>
      <sz val="10"/>
      <color theme="1"/>
      <name val="Arial Narrow"/>
      <family val="2"/>
    </font>
    <font>
      <b/>
      <sz val="10"/>
      <color rgb="FFFF0000"/>
      <name val="Arial Narrow"/>
      <family val="2"/>
    </font>
    <font>
      <sz val="10"/>
      <color theme="9" tint="-0.249977111117893"/>
      <name val="Arial Narrow"/>
      <family val="2"/>
    </font>
    <font>
      <sz val="10"/>
      <color theme="9" tint="-0.499984740745262"/>
      <name val="Arial Narrow"/>
      <family val="2"/>
    </font>
    <font>
      <b/>
      <sz val="10"/>
      <color theme="9" tint="-0.499984740745262"/>
      <name val="Arial Narrow"/>
      <family val="2"/>
    </font>
    <font>
      <i/>
      <sz val="10"/>
      <color theme="1"/>
      <name val="Arial Narrow"/>
      <family val="2"/>
    </font>
    <font>
      <i/>
      <sz val="11"/>
      <color theme="1"/>
      <name val="Calibri"/>
      <family val="2"/>
      <scheme val="minor"/>
    </font>
    <font>
      <b/>
      <i/>
      <sz val="10"/>
      <color theme="9" tint="-0.499984740745262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2">
    <xf numFmtId="0" fontId="0" fillId="0" borderId="0" xfId="0"/>
    <xf numFmtId="0" fontId="2" fillId="0" borderId="0" xfId="0" applyFont="1"/>
    <xf numFmtId="164" fontId="2" fillId="0" borderId="0" xfId="0" applyNumberFormat="1" applyFont="1"/>
    <xf numFmtId="15" fontId="2" fillId="0" borderId="0" xfId="0" applyNumberFormat="1" applyFont="1"/>
    <xf numFmtId="0" fontId="0" fillId="0" borderId="0" xfId="0" applyAlignment="1">
      <alignment horizontal="center"/>
    </xf>
    <xf numFmtId="0" fontId="0" fillId="0" borderId="1" xfId="0" quotePrefix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165" fontId="3" fillId="0" borderId="0" xfId="1" applyNumberFormat="1" applyFont="1"/>
    <xf numFmtId="165" fontId="0" fillId="0" borderId="0" xfId="0" applyNumberFormat="1"/>
    <xf numFmtId="166" fontId="2" fillId="0" borderId="0" xfId="2" applyNumberFormat="1" applyFont="1"/>
    <xf numFmtId="166" fontId="3" fillId="0" borderId="0" xfId="2" applyNumberFormat="1" applyFont="1"/>
    <xf numFmtId="166" fontId="3" fillId="2" borderId="0" xfId="2" applyNumberFormat="1" applyFont="1" applyFill="1" applyAlignment="1">
      <alignment vertical="center"/>
    </xf>
    <xf numFmtId="9" fontId="3" fillId="0" borderId="0" xfId="3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0" fontId="3" fillId="0" borderId="0" xfId="3" applyNumberFormat="1" applyFont="1"/>
    <xf numFmtId="10" fontId="0" fillId="0" borderId="0" xfId="3" applyNumberFormat="1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3" fillId="3" borderId="0" xfId="0" applyFont="1" applyFill="1"/>
    <xf numFmtId="0" fontId="3" fillId="3" borderId="0" xfId="0" applyFont="1" applyFill="1" applyAlignment="1">
      <alignment horizontal="center"/>
    </xf>
    <xf numFmtId="166" fontId="3" fillId="3" borderId="0" xfId="2" applyNumberFormat="1" applyFont="1" applyFill="1"/>
    <xf numFmtId="10" fontId="3" fillId="0" borderId="0" xfId="3" applyNumberFormat="1" applyFont="1" applyFill="1"/>
    <xf numFmtId="166" fontId="5" fillId="0" borderId="0" xfId="2" applyNumberFormat="1" applyFont="1"/>
    <xf numFmtId="10" fontId="6" fillId="0" borderId="0" xfId="3" applyNumberFormat="1" applyFont="1"/>
    <xf numFmtId="10" fontId="7" fillId="0" borderId="0" xfId="3" applyNumberFormat="1" applyFont="1"/>
    <xf numFmtId="10" fontId="7" fillId="4" borderId="0" xfId="3" applyNumberFormat="1" applyFont="1" applyFill="1"/>
    <xf numFmtId="0" fontId="6" fillId="0" borderId="0" xfId="0" applyFont="1" applyAlignment="1">
      <alignment horizontal="center" vertical="center"/>
    </xf>
    <xf numFmtId="0" fontId="6" fillId="3" borderId="0" xfId="0" applyFont="1" applyFill="1"/>
    <xf numFmtId="0" fontId="6" fillId="3" borderId="0" xfId="0" applyFont="1" applyFill="1" applyAlignment="1">
      <alignment horizontal="center"/>
    </xf>
    <xf numFmtId="166" fontId="6" fillId="3" borderId="0" xfId="2" applyNumberFormat="1" applyFont="1" applyFill="1"/>
    <xf numFmtId="0" fontId="6" fillId="0" borderId="0" xfId="0" applyFont="1"/>
    <xf numFmtId="0" fontId="6" fillId="0" borderId="0" xfId="0" applyFont="1" applyAlignment="1">
      <alignment horizontal="center"/>
    </xf>
    <xf numFmtId="165" fontId="6" fillId="0" borderId="0" xfId="1" applyNumberFormat="1" applyFont="1"/>
    <xf numFmtId="0" fontId="7" fillId="0" borderId="0" xfId="0" applyFont="1"/>
    <xf numFmtId="0" fontId="7" fillId="0" borderId="0" xfId="0" applyFont="1" applyAlignment="1">
      <alignment horizontal="center"/>
    </xf>
    <xf numFmtId="166" fontId="3" fillId="2" borderId="0" xfId="2" applyNumberFormat="1" applyFont="1" applyFill="1"/>
    <xf numFmtId="166" fontId="0" fillId="0" borderId="0" xfId="0" applyNumberFormat="1"/>
    <xf numFmtId="165" fontId="3" fillId="2" borderId="0" xfId="1" applyNumberFormat="1" applyFont="1" applyFill="1"/>
    <xf numFmtId="0" fontId="2" fillId="2" borderId="0" xfId="0" applyFont="1" applyFill="1" applyAlignment="1">
      <alignment horizontal="center"/>
    </xf>
    <xf numFmtId="0" fontId="3" fillId="2" borderId="0" xfId="0" applyFont="1" applyFill="1"/>
    <xf numFmtId="10" fontId="3" fillId="2" borderId="0" xfId="3" applyNumberFormat="1" applyFont="1" applyFill="1" applyAlignment="1">
      <alignment vertical="center"/>
    </xf>
    <xf numFmtId="0" fontId="3" fillId="2" borderId="0" xfId="0" applyFont="1" applyFill="1" applyAlignment="1">
      <alignment horizontal="center"/>
    </xf>
    <xf numFmtId="166" fontId="8" fillId="0" borderId="0" xfId="2" applyNumberFormat="1" applyFont="1"/>
    <xf numFmtId="167" fontId="0" fillId="0" borderId="0" xfId="3" applyNumberFormat="1" applyFont="1"/>
    <xf numFmtId="0" fontId="9" fillId="0" borderId="0" xfId="0" applyFont="1" applyAlignment="1">
      <alignment horizontal="center"/>
    </xf>
    <xf numFmtId="0" fontId="10" fillId="0" borderId="0" xfId="0" applyFont="1"/>
    <xf numFmtId="167" fontId="9" fillId="2" borderId="0" xfId="3" applyNumberFormat="1" applyFont="1" applyFill="1"/>
    <xf numFmtId="43" fontId="3" fillId="0" borderId="0" xfId="1" applyFont="1"/>
    <xf numFmtId="0" fontId="3" fillId="5" borderId="0" xfId="0" applyFont="1" applyFill="1" applyAlignment="1">
      <alignment horizontal="left"/>
    </xf>
    <xf numFmtId="0" fontId="0" fillId="5" borderId="0" xfId="0" applyFill="1"/>
    <xf numFmtId="10" fontId="3" fillId="5" borderId="0" xfId="3" applyNumberFormat="1" applyFont="1" applyFill="1"/>
    <xf numFmtId="0" fontId="3" fillId="5" borderId="0" xfId="0" applyFont="1" applyFill="1"/>
    <xf numFmtId="0" fontId="0" fillId="5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84C-40E2-A5BB-DA0162D8D954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Sites'!$I$42:$L$42</c:f>
              <c:numCache>
                <c:formatCode>0.00%</c:formatCode>
                <c:ptCount val="4"/>
                <c:pt idx="0">
                  <c:v>1.0031688059230226E-3</c:v>
                </c:pt>
                <c:pt idx="1">
                  <c:v>8.4574265869629967E-4</c:v>
                </c:pt>
                <c:pt idx="2">
                  <c:v>6.3247915313540824E-4</c:v>
                </c:pt>
                <c:pt idx="3">
                  <c:v>3.5843539521120859E-4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4C-40E2-A5BB-DA0162D8D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26B-4383-965B-900F2D19EB8C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Sites'!$I$55:$L$55</c:f>
              <c:numCache>
                <c:formatCode>0.00%</c:formatCode>
                <c:ptCount val="4"/>
                <c:pt idx="0">
                  <c:v>5.4602419065941698E-3</c:v>
                </c:pt>
                <c:pt idx="1">
                  <c:v>5.8897073088489257E-3</c:v>
                </c:pt>
                <c:pt idx="2">
                  <c:v>6.374156653205407E-3</c:v>
                </c:pt>
                <c:pt idx="3">
                  <c:v>6.3106413934219388E-3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6B-4383-965B-900F2D19EB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830-47EF-9F84-DFF054824660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Sites'!$I$68:$L$68</c:f>
              <c:numCache>
                <c:formatCode>0.00%</c:formatCode>
                <c:ptCount val="4"/>
                <c:pt idx="0">
                  <c:v>1.3349009541268717E-3</c:v>
                </c:pt>
                <c:pt idx="1">
                  <c:v>1.3348033628258473E-3</c:v>
                </c:pt>
                <c:pt idx="2">
                  <c:v>1.2066114262211656E-3</c:v>
                </c:pt>
                <c:pt idx="3">
                  <c:v>1.2724660673973467E-3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830-47EF-9F84-DFF0548246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7B8-4537-B38D-5D1D26FD497D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Sites'!$I$81:$L$81</c:f>
              <c:numCache>
                <c:formatCode>0.00%</c:formatCode>
                <c:ptCount val="4"/>
                <c:pt idx="0">
                  <c:v>2.9962269574021635E-3</c:v>
                </c:pt>
                <c:pt idx="1">
                  <c:v>2.7656986653598892E-3</c:v>
                </c:pt>
                <c:pt idx="2">
                  <c:v>2.9956300401629767E-3</c:v>
                </c:pt>
                <c:pt idx="3">
                  <c:v>3.0946229139264861E-3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B8-4537-B38D-5D1D26FD49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11C-400F-83A6-D88975E474B8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Sites'!$I$94:$L$94</c:f>
              <c:numCache>
                <c:formatCode>0.00%</c:formatCode>
                <c:ptCount val="4"/>
                <c:pt idx="0">
                  <c:v>5.2132124450202369E-3</c:v>
                </c:pt>
                <c:pt idx="1">
                  <c:v>6.1311914729096431E-3</c:v>
                </c:pt>
                <c:pt idx="2">
                  <c:v>5.9026741545505652E-3</c:v>
                </c:pt>
                <c:pt idx="3">
                  <c:v>5.3220964191537865E-3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1C-400F-83A6-D88975E474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6CC-48D6-8907-436DAB9A0D7B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Sites'!$I$107:$L$107</c:f>
              <c:numCache>
                <c:formatCode>0.00%</c:formatCode>
                <c:ptCount val="4"/>
                <c:pt idx="0">
                  <c:v>0.30852517460437057</c:v>
                </c:pt>
                <c:pt idx="1">
                  <c:v>0.30052890727246595</c:v>
                </c:pt>
                <c:pt idx="2">
                  <c:v>0.29027232910331718</c:v>
                </c:pt>
                <c:pt idx="3">
                  <c:v>0.29575415084894496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CC-48D6-8907-436DAB9A0D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4B-4B49-A40D-DB289E2C8D1C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Sites'!$I$120:$L$120</c:f>
              <c:numCache>
                <c:formatCode>0.00%</c:formatCode>
                <c:ptCount val="4"/>
                <c:pt idx="0">
                  <c:v>0.10729371094149409</c:v>
                </c:pt>
                <c:pt idx="1">
                  <c:v>0.11317324352904512</c:v>
                </c:pt>
                <c:pt idx="2">
                  <c:v>0.12019927745659331</c:v>
                </c:pt>
                <c:pt idx="3">
                  <c:v>0.12150963612285304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4B-4B49-A40D-DB289E2C8D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Site Revenue as a % Total Revenue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v>Site Revenue / Total Revenue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1F2-4C79-852D-9A628EA10A0F}"/>
              </c:ext>
            </c:extLst>
          </c:dPt>
          <c:cat>
            <c:numRef>
              <c:f>'Theoretical &amp; DFO Sites'!$I$31:$L$31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'Theoretical &amp; DFO Sites'!$I$133:$L$133</c:f>
              <c:numCache>
                <c:formatCode>0.00%</c:formatCode>
                <c:ptCount val="4"/>
                <c:pt idx="0">
                  <c:v>0.15209558545439761</c:v>
                </c:pt>
                <c:pt idx="1">
                  <c:v>0.15801720767453037</c:v>
                </c:pt>
                <c:pt idx="2">
                  <c:v>0.16271262878878429</c:v>
                </c:pt>
                <c:pt idx="3">
                  <c:v>0.16590360019432665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1F2-4C79-852D-9A628EA10A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62173808"/>
        <c:axId val="1362166320"/>
      </c:barChart>
      <c:catAx>
        <c:axId val="136217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66320"/>
        <c:crosses val="autoZero"/>
        <c:auto val="1"/>
        <c:lblAlgn val="ctr"/>
        <c:lblOffset val="100"/>
        <c:noMultiLvlLbl val="0"/>
      </c:catAx>
      <c:valAx>
        <c:axId val="1362166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62173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28575</xdr:colOff>
      <xdr:row>19</xdr:row>
      <xdr:rowOff>0</xdr:rowOff>
    </xdr:from>
    <xdr:to>
      <xdr:col>17</xdr:col>
      <xdr:colOff>533400</xdr:colOff>
      <xdr:row>24</xdr:row>
      <xdr:rowOff>66675</xdr:rowOff>
    </xdr:to>
    <xdr:sp macro="" textlink="">
      <xdr:nvSpPr>
        <xdr:cNvPr id="2" name="Right Bracket 1">
          <a:extLst>
            <a:ext uri="{FF2B5EF4-FFF2-40B4-BE49-F238E27FC236}">
              <a16:creationId xmlns:a16="http://schemas.microsoft.com/office/drawing/2014/main" id="{4210B534-10D7-4BDE-B825-B8934ACD22D7}"/>
            </a:ext>
          </a:extLst>
        </xdr:cNvPr>
        <xdr:cNvSpPr/>
      </xdr:nvSpPr>
      <xdr:spPr>
        <a:xfrm>
          <a:off x="15617825" y="3305175"/>
          <a:ext cx="508000" cy="968375"/>
        </a:xfrm>
        <a:prstGeom prst="rightBracket">
          <a:avLst/>
        </a:prstGeom>
        <a:ln w="38100">
          <a:solidFill>
            <a:schemeClr val="accent6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18</xdr:col>
      <xdr:colOff>314325</xdr:colOff>
      <xdr:row>30</xdr:row>
      <xdr:rowOff>158751</xdr:rowOff>
    </xdr:from>
    <xdr:to>
      <xdr:col>24</xdr:col>
      <xdr:colOff>234950</xdr:colOff>
      <xdr:row>42</xdr:row>
      <xdr:rowOff>171451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3EC9C5A-E876-4E04-9414-64ABF5E769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295275</xdr:colOff>
      <xdr:row>44</xdr:row>
      <xdr:rowOff>0</xdr:rowOff>
    </xdr:from>
    <xdr:to>
      <xdr:col>24</xdr:col>
      <xdr:colOff>225425</xdr:colOff>
      <xdr:row>56</xdr:row>
      <xdr:rowOff>6350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3F33601F-18C8-499F-9D1F-CADDBDF54D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257175</xdr:colOff>
      <xdr:row>57</xdr:row>
      <xdr:rowOff>0</xdr:rowOff>
    </xdr:from>
    <xdr:to>
      <xdr:col>24</xdr:col>
      <xdr:colOff>187325</xdr:colOff>
      <xdr:row>69</xdr:row>
      <xdr:rowOff>6350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123126A7-0913-4BC3-80D7-E499595DF2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18</xdr:col>
      <xdr:colOff>228600</xdr:colOff>
      <xdr:row>69</xdr:row>
      <xdr:rowOff>171450</xdr:rowOff>
    </xdr:from>
    <xdr:to>
      <xdr:col>24</xdr:col>
      <xdr:colOff>158750</xdr:colOff>
      <xdr:row>81</xdr:row>
      <xdr:rowOff>177800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8D8F864-99B6-4320-99E8-994A8EFD7E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18</xdr:col>
      <xdr:colOff>228600</xdr:colOff>
      <xdr:row>83</xdr:row>
      <xdr:rowOff>0</xdr:rowOff>
    </xdr:from>
    <xdr:to>
      <xdr:col>24</xdr:col>
      <xdr:colOff>158750</xdr:colOff>
      <xdr:row>95</xdr:row>
      <xdr:rowOff>6350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6DA74AF3-7B89-4DB0-B13F-42DA3AE63B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18</xdr:col>
      <xdr:colOff>228600</xdr:colOff>
      <xdr:row>96</xdr:row>
      <xdr:rowOff>9525</xdr:rowOff>
    </xdr:from>
    <xdr:to>
      <xdr:col>24</xdr:col>
      <xdr:colOff>158750</xdr:colOff>
      <xdr:row>108</xdr:row>
      <xdr:rowOff>15875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C81D96EC-536C-4EC7-A0B8-3C13DCAA4D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18</xdr:col>
      <xdr:colOff>238125</xdr:colOff>
      <xdr:row>109</xdr:row>
      <xdr:rowOff>0</xdr:rowOff>
    </xdr:from>
    <xdr:to>
      <xdr:col>24</xdr:col>
      <xdr:colOff>168275</xdr:colOff>
      <xdr:row>121</xdr:row>
      <xdr:rowOff>6350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83145F3-FBF7-4212-94AB-9F78D8B004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266700</xdr:colOff>
      <xdr:row>122</xdr:row>
      <xdr:rowOff>0</xdr:rowOff>
    </xdr:from>
    <xdr:to>
      <xdr:col>24</xdr:col>
      <xdr:colOff>196850</xdr:colOff>
      <xdr:row>134</xdr:row>
      <xdr:rowOff>6350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6F55318E-777E-4118-8D32-5580902152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5BD91-C479-4903-82D6-706B1CF54CEF}">
  <dimension ref="A1:AC133"/>
  <sheetViews>
    <sheetView tabSelected="1" zoomScale="130" zoomScaleNormal="130" workbookViewId="0">
      <selection activeCell="H7" sqref="H7"/>
    </sheetView>
  </sheetViews>
  <sheetFormatPr defaultRowHeight="14.5" x14ac:dyDescent="0.35"/>
  <cols>
    <col min="1" max="1" width="11.453125" customWidth="1"/>
    <col min="3" max="3" width="11.54296875" customWidth="1"/>
    <col min="5" max="5" width="17.1796875" customWidth="1"/>
    <col min="6" max="7" width="7.54296875" customWidth="1"/>
    <col min="8" max="8" width="20.81640625" customWidth="1"/>
    <col min="9" max="16" width="14.7265625" customWidth="1"/>
    <col min="17" max="17" width="14.7265625" style="14" customWidth="1"/>
    <col min="20" max="20" width="15.1796875" customWidth="1"/>
    <col min="21" max="21" width="11.453125" customWidth="1"/>
    <col min="23" max="23" width="13.7265625" bestFit="1" customWidth="1"/>
  </cols>
  <sheetData>
    <row r="1" spans="1:29" s="1" customFormat="1" ht="13" x14ac:dyDescent="0.3">
      <c r="A1" s="1" t="str">
        <f>Applicant</f>
        <v>Alberta Electric System Operator</v>
      </c>
      <c r="B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3"/>
    </row>
    <row r="2" spans="1:29" s="1" customFormat="1" ht="13" x14ac:dyDescent="0.3">
      <c r="A2" s="1" t="str">
        <f>Application</f>
        <v>2022 Deferral Account Reconciliation Application</v>
      </c>
      <c r="B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3"/>
    </row>
    <row r="3" spans="1:29" s="1" customFormat="1" ht="13" x14ac:dyDescent="0.3">
      <c r="A3" s="1" t="str">
        <f>TableDate</f>
        <v>June 30, 2023</v>
      </c>
      <c r="B3" s="2"/>
      <c r="C3" s="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/>
    </row>
    <row r="4" spans="1:29" s="1" customFormat="1" ht="13" x14ac:dyDescent="0.3">
      <c r="B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13"/>
    </row>
    <row r="5" spans="1:29" s="1" customFormat="1" ht="13" x14ac:dyDescent="0.3">
      <c r="A5" s="1" t="s">
        <v>43</v>
      </c>
      <c r="B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13"/>
    </row>
    <row r="6" spans="1:29" s="1" customFormat="1" ht="13" x14ac:dyDescent="0.3">
      <c r="A6" s="1" t="s">
        <v>0</v>
      </c>
      <c r="B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13"/>
    </row>
    <row r="7" spans="1:29" s="1" customFormat="1" ht="13" x14ac:dyDescent="0.3">
      <c r="B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13"/>
    </row>
    <row r="8" spans="1:29" s="4" customFormat="1" x14ac:dyDescent="0.35">
      <c r="I8" s="5" t="s">
        <v>1</v>
      </c>
      <c r="J8" s="5" t="s">
        <v>2</v>
      </c>
      <c r="K8" s="5" t="s">
        <v>3</v>
      </c>
      <c r="L8" s="5" t="s">
        <v>4</v>
      </c>
      <c r="M8" s="5" t="s">
        <v>5</v>
      </c>
      <c r="N8" s="5" t="s">
        <v>6</v>
      </c>
      <c r="O8" s="5" t="s">
        <v>7</v>
      </c>
      <c r="P8" s="5" t="s">
        <v>8</v>
      </c>
      <c r="Q8" s="5" t="s">
        <v>9</v>
      </c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s="4" customFormat="1" x14ac:dyDescent="0.35">
      <c r="A9" s="6"/>
      <c r="B9" s="6"/>
      <c r="C9" s="17"/>
      <c r="D9" s="6"/>
      <c r="E9" s="6"/>
      <c r="F9" s="6"/>
      <c r="G9" s="6"/>
      <c r="H9" s="6"/>
      <c r="I9" s="58" t="s">
        <v>10</v>
      </c>
      <c r="J9" s="58"/>
      <c r="K9" s="58"/>
      <c r="L9" s="58"/>
      <c r="M9" s="58"/>
      <c r="N9" s="58"/>
      <c r="O9" s="58"/>
      <c r="P9" s="58"/>
      <c r="Q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s="4" customFormat="1" x14ac:dyDescent="0.35">
      <c r="A10" s="8" t="s">
        <v>11</v>
      </c>
      <c r="B10" s="8"/>
      <c r="C10" s="7"/>
      <c r="D10" s="8"/>
      <c r="E10" s="7"/>
      <c r="F10" s="7"/>
      <c r="G10" s="7" t="s">
        <v>12</v>
      </c>
      <c r="H10" s="7" t="s">
        <v>13</v>
      </c>
      <c r="I10" s="7">
        <v>2014</v>
      </c>
      <c r="J10" s="7">
        <v>2015</v>
      </c>
      <c r="K10" s="7">
        <v>2016</v>
      </c>
      <c r="L10" s="7">
        <v>2017</v>
      </c>
      <c r="M10" s="7">
        <v>2018</v>
      </c>
      <c r="N10" s="7">
        <v>2019</v>
      </c>
      <c r="O10" s="7">
        <v>2020</v>
      </c>
      <c r="P10" s="7">
        <v>2021</v>
      </c>
      <c r="Q10" s="7" t="s">
        <v>14</v>
      </c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x14ac:dyDescent="0.35">
      <c r="A11" s="9"/>
      <c r="B11" s="59" t="s">
        <v>15</v>
      </c>
      <c r="C11" s="9"/>
      <c r="D11" s="9" t="s">
        <v>16</v>
      </c>
      <c r="E11" s="9"/>
      <c r="F11" s="9"/>
      <c r="G11" s="9"/>
      <c r="H11" s="10" t="s">
        <v>17</v>
      </c>
      <c r="I11" s="11">
        <v>1301575479.9100001</v>
      </c>
      <c r="J11" s="11">
        <v>1412209290.52</v>
      </c>
      <c r="K11" s="11">
        <v>1721795405.5899999</v>
      </c>
      <c r="L11" s="11">
        <v>1838947237.9300001</v>
      </c>
      <c r="M11" s="42">
        <v>1792785342.23</v>
      </c>
      <c r="N11" s="42">
        <v>1835641371.03</v>
      </c>
      <c r="O11" s="42">
        <v>1948031367.52</v>
      </c>
      <c r="P11" s="42">
        <v>0</v>
      </c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x14ac:dyDescent="0.35">
      <c r="A12" s="9"/>
      <c r="B12" s="60"/>
      <c r="C12" s="9"/>
      <c r="D12" s="9" t="s">
        <v>18</v>
      </c>
      <c r="E12" s="9"/>
      <c r="F12" s="9"/>
      <c r="G12" s="9"/>
      <c r="H12" s="10"/>
      <c r="I12" s="11">
        <v>-157798283.05999994</v>
      </c>
      <c r="J12" s="11">
        <v>-276993808.92000008</v>
      </c>
      <c r="K12" s="11">
        <v>-117263207.37000012</v>
      </c>
      <c r="L12" s="11">
        <v>-16778157.149999857</v>
      </c>
      <c r="M12" s="42">
        <v>-82548983.650000095</v>
      </c>
      <c r="N12" s="42">
        <v>-120504961.4000001</v>
      </c>
      <c r="O12" s="42">
        <v>-63609231.170000076</v>
      </c>
      <c r="P12" s="42">
        <v>0</v>
      </c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x14ac:dyDescent="0.35">
      <c r="A13" s="9"/>
      <c r="B13" s="60"/>
      <c r="C13" s="9"/>
      <c r="D13" s="9" t="s">
        <v>19</v>
      </c>
      <c r="E13" s="9"/>
      <c r="F13" s="9"/>
      <c r="G13" s="9"/>
      <c r="H13" s="10" t="s">
        <v>20</v>
      </c>
      <c r="I13" s="19">
        <f>I12/I11</f>
        <v>-0.12123636738371193</v>
      </c>
      <c r="J13" s="19">
        <f t="shared" ref="J13:O13" si="0">J12/J11</f>
        <v>-0.19614218004330375</v>
      </c>
      <c r="K13" s="19">
        <f t="shared" si="0"/>
        <v>-6.810519239933624E-2</v>
      </c>
      <c r="L13" s="19">
        <f t="shared" si="0"/>
        <v>-9.1237838715188414E-3</v>
      </c>
      <c r="M13" s="45">
        <f t="shared" si="0"/>
        <v>-4.604510183428849E-2</v>
      </c>
      <c r="N13" s="45">
        <f t="shared" si="0"/>
        <v>-6.5647333570600097E-2</v>
      </c>
      <c r="O13" s="45">
        <f t="shared" si="0"/>
        <v>-3.2653083636419944E-2</v>
      </c>
      <c r="P13" s="45">
        <v>0</v>
      </c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x14ac:dyDescent="0.35">
      <c r="A14" s="9"/>
      <c r="B14" s="22"/>
      <c r="C14" s="9"/>
      <c r="D14" s="22"/>
      <c r="E14" s="9"/>
      <c r="F14" s="9"/>
      <c r="G14" s="9"/>
      <c r="H14" s="10"/>
      <c r="I14" s="19"/>
      <c r="J14" s="19"/>
      <c r="K14" s="19"/>
      <c r="L14" s="26"/>
      <c r="M14" s="15"/>
      <c r="N14" s="15"/>
      <c r="O14" s="15"/>
      <c r="P14" s="15"/>
    </row>
    <row r="15" spans="1:29" s="4" customFormat="1" x14ac:dyDescent="0.35">
      <c r="A15" s="6"/>
      <c r="B15" s="18"/>
      <c r="C15" s="6"/>
      <c r="D15" s="18"/>
      <c r="E15" s="6"/>
      <c r="F15" s="6"/>
      <c r="G15" s="6"/>
      <c r="H15" s="6"/>
      <c r="I15" s="6"/>
      <c r="J15" s="6"/>
      <c r="K15" s="6"/>
      <c r="L15" s="6"/>
      <c r="M15" s="43"/>
      <c r="N15" s="43"/>
      <c r="O15" s="43"/>
      <c r="P15" s="43"/>
      <c r="Q15" s="6"/>
    </row>
    <row r="16" spans="1:29" x14ac:dyDescent="0.35">
      <c r="A16" s="9"/>
      <c r="B16" s="60" t="s">
        <v>12</v>
      </c>
      <c r="C16" s="60" t="s">
        <v>21</v>
      </c>
      <c r="D16" s="9" t="s">
        <v>16</v>
      </c>
      <c r="E16" s="9"/>
      <c r="F16" s="9"/>
      <c r="G16" s="9"/>
      <c r="H16" s="10" t="s">
        <v>17</v>
      </c>
      <c r="I16" s="11">
        <v>1301575479.9100001</v>
      </c>
      <c r="J16" s="11">
        <v>1412209290.52</v>
      </c>
      <c r="K16" s="11">
        <v>1721795405.5899999</v>
      </c>
      <c r="L16" s="11">
        <v>1838947237.9300001</v>
      </c>
      <c r="M16" s="42">
        <v>1792791550.1900001</v>
      </c>
      <c r="N16" s="42">
        <v>1835589786.01</v>
      </c>
      <c r="O16" s="42">
        <v>1947579657.5999999</v>
      </c>
      <c r="P16" s="42">
        <v>2088878302.6600001</v>
      </c>
    </row>
    <row r="17" spans="1:19" x14ac:dyDescent="0.35">
      <c r="A17" s="9"/>
      <c r="B17" s="60"/>
      <c r="C17" s="60"/>
      <c r="D17" s="9" t="s">
        <v>22</v>
      </c>
      <c r="E17" s="9"/>
      <c r="F17" s="9"/>
      <c r="G17" s="9"/>
      <c r="H17" s="10" t="s">
        <v>20</v>
      </c>
      <c r="I17" s="16">
        <f t="shared" ref="I17" si="1">I16/$L16</f>
        <v>0.70778293855516528</v>
      </c>
      <c r="J17" s="16">
        <f>J16/$L16</f>
        <v>0.76794443113530808</v>
      </c>
      <c r="K17" s="16">
        <f t="shared" ref="K17:L17" si="2">K16/$L16</f>
        <v>0.93629407634779593</v>
      </c>
      <c r="L17" s="16">
        <f t="shared" si="2"/>
        <v>1</v>
      </c>
      <c r="M17" s="46" t="s">
        <v>23</v>
      </c>
      <c r="N17" s="46" t="s">
        <v>23</v>
      </c>
      <c r="O17" s="46" t="s">
        <v>23</v>
      </c>
      <c r="P17" s="46" t="s">
        <v>23</v>
      </c>
    </row>
    <row r="18" spans="1:19" x14ac:dyDescent="0.35">
      <c r="A18" s="9"/>
      <c r="B18" s="60"/>
      <c r="C18" s="60"/>
      <c r="D18" s="9"/>
      <c r="E18" s="9"/>
      <c r="F18" s="9"/>
      <c r="G18" s="9"/>
      <c r="H18" s="10"/>
      <c r="I18" s="52"/>
      <c r="J18" s="52"/>
      <c r="K18" s="52"/>
      <c r="L18" s="52"/>
      <c r="M18" s="44"/>
      <c r="N18" s="44"/>
      <c r="O18" s="44"/>
      <c r="P18" s="44"/>
    </row>
    <row r="19" spans="1:19" x14ac:dyDescent="0.35">
      <c r="A19" s="9"/>
      <c r="B19" s="60"/>
      <c r="C19" s="60"/>
      <c r="D19" s="23" t="s">
        <v>44</v>
      </c>
      <c r="E19" s="23"/>
      <c r="F19" s="23"/>
      <c r="G19" s="23"/>
      <c r="H19" s="24" t="s">
        <v>25</v>
      </c>
      <c r="I19" s="25">
        <v>769051</v>
      </c>
      <c r="J19" s="25">
        <v>-6704152</v>
      </c>
      <c r="K19" s="25">
        <v>1295038</v>
      </c>
      <c r="L19" s="25">
        <v>8920708.1300001107</v>
      </c>
      <c r="M19" s="15">
        <v>-11603550.5</v>
      </c>
      <c r="N19" s="15">
        <v>-4512520.7899999619</v>
      </c>
      <c r="O19" s="15">
        <v>-14176432.360000134</v>
      </c>
      <c r="P19" s="15">
        <v>1776076793.3299999</v>
      </c>
      <c r="Q19" s="25">
        <f>SUM(I19:P19)</f>
        <v>1750064934.8099999</v>
      </c>
    </row>
    <row r="20" spans="1:19" x14ac:dyDescent="0.35">
      <c r="A20" s="9"/>
      <c r="B20" s="60"/>
      <c r="C20" s="60"/>
      <c r="D20" s="9" t="s">
        <v>18</v>
      </c>
      <c r="E20" s="9"/>
      <c r="F20" s="9"/>
      <c r="G20" s="9"/>
      <c r="H20" s="10" t="s">
        <v>17</v>
      </c>
      <c r="I20" s="11">
        <f t="shared" ref="I20:L20" si="3">(I12-I19)+(I16-I11)</f>
        <v>-158567334.05999994</v>
      </c>
      <c r="J20" s="11">
        <f t="shared" si="3"/>
        <v>-270289656.92000008</v>
      </c>
      <c r="K20" s="11">
        <f t="shared" si="3"/>
        <v>-118558245.37000012</v>
      </c>
      <c r="L20" s="11">
        <f t="shared" si="3"/>
        <v>-25698865.279999968</v>
      </c>
      <c r="M20" s="42">
        <f>(M12-M19)+(M16-M11)</f>
        <v>-70939225.190000057</v>
      </c>
      <c r="N20" s="42">
        <f t="shared" ref="N20:P20" si="4">(N12-N19)+(N16-N11)</f>
        <v>-116044025.63000011</v>
      </c>
      <c r="O20" s="42">
        <f t="shared" si="4"/>
        <v>-49884508.730000019</v>
      </c>
      <c r="P20" s="42">
        <f t="shared" si="4"/>
        <v>312801509.33000016</v>
      </c>
      <c r="Q20" s="25">
        <f>SUM(I20:P20)</f>
        <v>-497180351.85000014</v>
      </c>
    </row>
    <row r="21" spans="1:19" x14ac:dyDescent="0.35">
      <c r="A21" s="9"/>
      <c r="B21" s="60"/>
      <c r="C21" s="60"/>
      <c r="D21" s="9" t="s">
        <v>26</v>
      </c>
      <c r="E21" s="9"/>
      <c r="F21" s="9"/>
      <c r="G21" s="9"/>
      <c r="H21" s="10" t="s">
        <v>20</v>
      </c>
      <c r="I21" s="19">
        <f>I20/I16</f>
        <v>-0.12182722900631501</v>
      </c>
      <c r="J21" s="19">
        <f>J20/J16</f>
        <v>-0.19139490069526077</v>
      </c>
      <c r="K21" s="19">
        <f>K20/K16</f>
        <v>-6.8857336350815909E-2</v>
      </c>
      <c r="L21" s="19">
        <f>L20/L16</f>
        <v>-1.3974770319635565E-2</v>
      </c>
      <c r="M21" s="45">
        <f t="shared" ref="M21:P21" si="5">M20/M16</f>
        <v>-3.9569142984013907E-2</v>
      </c>
      <c r="N21" s="45">
        <f t="shared" si="5"/>
        <v>-6.3218931873794987E-2</v>
      </c>
      <c r="O21" s="45">
        <f>O20/O16</f>
        <v>-2.561359096935354E-2</v>
      </c>
      <c r="P21" s="45">
        <f t="shared" si="5"/>
        <v>0.14974616229757154</v>
      </c>
      <c r="Q21" s="27"/>
      <c r="S21" s="27" t="s">
        <v>27</v>
      </c>
    </row>
    <row r="22" spans="1:19" x14ac:dyDescent="0.35">
      <c r="A22" s="9"/>
      <c r="B22" s="60"/>
      <c r="C22" s="60"/>
      <c r="D22" s="9" t="s">
        <v>28</v>
      </c>
      <c r="E22" s="9"/>
      <c r="F22" s="9"/>
      <c r="G22" s="9"/>
      <c r="H22" s="10" t="s">
        <v>20</v>
      </c>
      <c r="I22" s="19">
        <f>I21-I13</f>
        <v>-5.9086162260307828E-4</v>
      </c>
      <c r="J22" s="19">
        <f>J21-J13</f>
        <v>4.7472793480429765E-3</v>
      </c>
      <c r="K22" s="19">
        <f>K21-K13</f>
        <v>-7.5214395147966961E-4</v>
      </c>
      <c r="L22" s="19">
        <f>L21-L13</f>
        <v>-4.8509864481167241E-3</v>
      </c>
      <c r="M22" s="45">
        <f t="shared" ref="M22:P22" si="6">M21-M13</f>
        <v>6.4759588502745838E-3</v>
      </c>
      <c r="N22" s="45">
        <f t="shared" si="6"/>
        <v>2.4284016968051103E-3</v>
      </c>
      <c r="O22" s="45">
        <f t="shared" si="6"/>
        <v>7.0394926670664035E-3</v>
      </c>
      <c r="P22" s="45">
        <f t="shared" si="6"/>
        <v>0.14974616229757154</v>
      </c>
    </row>
    <row r="23" spans="1:19" x14ac:dyDescent="0.35">
      <c r="A23" s="9"/>
      <c r="B23" s="9"/>
      <c r="C23" s="9"/>
      <c r="D23" s="9" t="s">
        <v>29</v>
      </c>
      <c r="E23" s="9"/>
      <c r="F23" s="9"/>
      <c r="G23" s="9"/>
      <c r="H23" s="10"/>
      <c r="I23" s="14"/>
      <c r="J23" s="14"/>
      <c r="K23" s="14"/>
      <c r="L23" s="14"/>
      <c r="M23" s="15"/>
      <c r="N23" s="15"/>
      <c r="O23" s="15"/>
      <c r="P23" s="15"/>
    </row>
    <row r="24" spans="1:19" x14ac:dyDescent="0.35">
      <c r="A24" s="9"/>
      <c r="B24" s="61" t="s">
        <v>12</v>
      </c>
      <c r="C24" s="61" t="s">
        <v>30</v>
      </c>
      <c r="D24" s="32" t="s">
        <v>44</v>
      </c>
      <c r="E24" s="32"/>
      <c r="F24" s="32"/>
      <c r="G24" s="32"/>
      <c r="H24" s="33" t="s">
        <v>25</v>
      </c>
      <c r="I24" s="34">
        <v>0</v>
      </c>
      <c r="J24" s="34">
        <v>0</v>
      </c>
      <c r="K24" s="34">
        <v>0</v>
      </c>
      <c r="L24" s="34">
        <f>SUM(I19:L19)</f>
        <v>4280645.1300001107</v>
      </c>
      <c r="M24" s="15">
        <f>M19</f>
        <v>-11603550.5</v>
      </c>
      <c r="N24" s="15">
        <f t="shared" ref="N24:P25" si="7">N19</f>
        <v>-4512520.7899999619</v>
      </c>
      <c r="O24" s="15">
        <f t="shared" si="7"/>
        <v>-14176432.360000134</v>
      </c>
      <c r="P24" s="15">
        <f t="shared" si="7"/>
        <v>1776076793.3299999</v>
      </c>
      <c r="Q24" s="25">
        <f>SUM(I24:P24)</f>
        <v>1750064934.8099999</v>
      </c>
    </row>
    <row r="25" spans="1:19" x14ac:dyDescent="0.35">
      <c r="A25" s="9"/>
      <c r="B25" s="61"/>
      <c r="C25" s="61"/>
      <c r="D25" s="35" t="s">
        <v>18</v>
      </c>
      <c r="E25" s="35"/>
      <c r="F25" s="35"/>
      <c r="G25" s="35"/>
      <c r="H25" s="36" t="s">
        <v>17</v>
      </c>
      <c r="I25" s="37">
        <f>I12-I24</f>
        <v>-157798283.05999994</v>
      </c>
      <c r="J25" s="37">
        <f>J12-J24</f>
        <v>-276993808.92000008</v>
      </c>
      <c r="K25" s="37">
        <f>K12-K24</f>
        <v>-117263207.37000012</v>
      </c>
      <c r="L25" s="37">
        <f>L12-L24</f>
        <v>-21058802.279999968</v>
      </c>
      <c r="M25" s="42">
        <f>M20</f>
        <v>-70939225.190000057</v>
      </c>
      <c r="N25" s="42">
        <f t="shared" si="7"/>
        <v>-116044025.63000011</v>
      </c>
      <c r="O25" s="42">
        <f t="shared" si="7"/>
        <v>-49884508.730000019</v>
      </c>
      <c r="P25" s="42">
        <f t="shared" si="7"/>
        <v>312801509.33000016</v>
      </c>
      <c r="Q25" s="25">
        <f>SUM(I25:P25)</f>
        <v>-497180351.85000014</v>
      </c>
    </row>
    <row r="26" spans="1:19" x14ac:dyDescent="0.35">
      <c r="A26" s="9"/>
      <c r="B26" s="61"/>
      <c r="C26" s="61"/>
      <c r="D26" s="35" t="s">
        <v>26</v>
      </c>
      <c r="E26" s="35"/>
      <c r="F26" s="35"/>
      <c r="G26" s="35"/>
      <c r="H26" s="36" t="s">
        <v>20</v>
      </c>
      <c r="I26" s="28">
        <f>I25/I16</f>
        <v>-0.12123636738371193</v>
      </c>
      <c r="J26" s="28">
        <f>J25/J16</f>
        <v>-0.19614218004330375</v>
      </c>
      <c r="K26" s="28">
        <f>K25/K16</f>
        <v>-6.810519239933624E-2</v>
      </c>
      <c r="L26" s="30">
        <f>L25/L16</f>
        <v>-1.1451553283119031E-2</v>
      </c>
      <c r="M26" s="45">
        <f>M25/M16</f>
        <v>-3.9569142984013907E-2</v>
      </c>
      <c r="N26" s="45">
        <f t="shared" ref="N26:P26" si="8">N25/N16</f>
        <v>-6.3218931873794987E-2</v>
      </c>
      <c r="O26" s="45">
        <f>O25/O16</f>
        <v>-2.561359096935354E-2</v>
      </c>
      <c r="P26" s="45">
        <f t="shared" si="8"/>
        <v>0.14974616229757154</v>
      </c>
      <c r="S26" s="27" t="s">
        <v>31</v>
      </c>
    </row>
    <row r="27" spans="1:19" x14ac:dyDescent="0.35">
      <c r="A27" s="9"/>
      <c r="B27" s="61"/>
      <c r="C27" s="61"/>
      <c r="D27" s="38" t="s">
        <v>32</v>
      </c>
      <c r="E27" s="38"/>
      <c r="F27" s="38"/>
      <c r="G27" s="38"/>
      <c r="H27" s="39" t="s">
        <v>20</v>
      </c>
      <c r="I27" s="29">
        <f>I26-I21</f>
        <v>5.9086162260307828E-4</v>
      </c>
      <c r="J27" s="29">
        <f t="shared" ref="J27:N27" si="9">J26-J21</f>
        <v>-4.7472793480429765E-3</v>
      </c>
      <c r="K27" s="29">
        <f t="shared" si="9"/>
        <v>7.5214395147966961E-4</v>
      </c>
      <c r="L27" s="29">
        <f t="shared" si="9"/>
        <v>2.5232170365165341E-3</v>
      </c>
      <c r="M27" s="45">
        <f t="shared" si="9"/>
        <v>0</v>
      </c>
      <c r="N27" s="45">
        <f t="shared" si="9"/>
        <v>0</v>
      </c>
      <c r="O27" s="45">
        <f>O26-O21</f>
        <v>0</v>
      </c>
      <c r="P27" s="45">
        <f t="shared" ref="P27" si="10">P26-P21</f>
        <v>0</v>
      </c>
    </row>
    <row r="28" spans="1:19" x14ac:dyDescent="0.35">
      <c r="A28" s="9"/>
      <c r="B28" s="31"/>
      <c r="C28" s="31"/>
      <c r="D28" s="38"/>
      <c r="E28" s="50" t="s">
        <v>33</v>
      </c>
      <c r="F28" s="38"/>
      <c r="G28" s="38"/>
      <c r="H28" s="39"/>
      <c r="I28" s="29"/>
      <c r="J28" s="29"/>
      <c r="K28" s="29"/>
      <c r="L28" s="29"/>
      <c r="M28" s="45"/>
      <c r="N28" s="45"/>
      <c r="O28" s="45"/>
      <c r="P28" s="51">
        <v>0.16142103287572471</v>
      </c>
    </row>
    <row r="29" spans="1:19" x14ac:dyDescent="0.35">
      <c r="I29" s="48"/>
      <c r="J29" s="48"/>
      <c r="K29" s="48"/>
      <c r="L29" s="48"/>
    </row>
    <row r="30" spans="1:19" s="4" customFormat="1" x14ac:dyDescent="0.35">
      <c r="A30" s="6" t="s">
        <v>34</v>
      </c>
      <c r="B30" s="6"/>
      <c r="C30" s="17"/>
      <c r="D30" s="6"/>
      <c r="E30" s="6"/>
      <c r="F30" s="6"/>
      <c r="G30" s="6"/>
      <c r="H30" s="6"/>
      <c r="I30" s="6"/>
      <c r="J30" s="6"/>
      <c r="K30" s="6"/>
      <c r="L30" s="6"/>
      <c r="M30" s="1"/>
      <c r="N30" s="1"/>
      <c r="O30" s="1"/>
      <c r="P30" s="1"/>
      <c r="Q30" s="1"/>
    </row>
    <row r="31" spans="1:19" s="4" customFormat="1" x14ac:dyDescent="0.35">
      <c r="A31" s="7">
        <v>1</v>
      </c>
      <c r="B31" s="8" t="s">
        <v>10</v>
      </c>
      <c r="C31" s="7"/>
      <c r="D31" s="8" t="s">
        <v>10</v>
      </c>
      <c r="E31" s="7"/>
      <c r="F31" s="7"/>
      <c r="G31" s="7"/>
      <c r="H31" s="7"/>
      <c r="I31" s="7">
        <v>2014</v>
      </c>
      <c r="J31" s="7">
        <v>2015</v>
      </c>
      <c r="K31" s="7">
        <v>2016</v>
      </c>
      <c r="L31" s="7">
        <v>2017</v>
      </c>
      <c r="M31" s="7">
        <v>2018</v>
      </c>
      <c r="N31" s="7">
        <v>2019</v>
      </c>
      <c r="O31" s="7">
        <v>2020</v>
      </c>
      <c r="P31" s="7">
        <v>2021</v>
      </c>
      <c r="Q31" s="7" t="s">
        <v>14</v>
      </c>
    </row>
    <row r="32" spans="1:19" x14ac:dyDescent="0.35">
      <c r="A32" s="9"/>
      <c r="B32" s="9"/>
      <c r="C32" s="9"/>
      <c r="D32" s="9" t="s">
        <v>16</v>
      </c>
      <c r="E32" s="9"/>
      <c r="F32" s="9"/>
      <c r="G32" s="9"/>
      <c r="H32" s="10" t="s">
        <v>17</v>
      </c>
      <c r="I32" s="11">
        <v>1305699.92</v>
      </c>
      <c r="J32" s="11">
        <v>1194365.6399999999</v>
      </c>
      <c r="K32" s="11">
        <v>1088999.7</v>
      </c>
      <c r="L32" s="11">
        <v>659143.78</v>
      </c>
      <c r="M32" s="11">
        <v>602105.98</v>
      </c>
      <c r="N32" s="11">
        <v>578122.99</v>
      </c>
      <c r="O32" s="11">
        <v>654878.85</v>
      </c>
      <c r="P32" s="11">
        <v>755138.19</v>
      </c>
      <c r="Q32" s="14">
        <f>SUM(I32:P32)</f>
        <v>6838455.0499999989</v>
      </c>
      <c r="R32" s="49"/>
    </row>
    <row r="33" spans="1:19" x14ac:dyDescent="0.35">
      <c r="A33" s="9"/>
      <c r="B33" s="9"/>
      <c r="C33" s="9"/>
      <c r="D33" s="9" t="s">
        <v>22</v>
      </c>
      <c r="E33" s="9"/>
      <c r="F33" s="9"/>
      <c r="G33" s="9"/>
      <c r="H33" s="10" t="s">
        <v>20</v>
      </c>
      <c r="I33" s="16">
        <f t="shared" ref="I33" si="11">I32/$L32</f>
        <v>1.9809030436424657</v>
      </c>
      <c r="J33" s="16">
        <f>J32/$L32</f>
        <v>1.8119956164950837</v>
      </c>
      <c r="K33" s="16">
        <f t="shared" ref="K33:L33" si="12">K32/$L32</f>
        <v>1.6521428754133125</v>
      </c>
      <c r="L33" s="16">
        <f t="shared" si="12"/>
        <v>1</v>
      </c>
      <c r="M33" s="9"/>
      <c r="N33" s="9"/>
      <c r="O33" s="9"/>
      <c r="P33" s="47">
        <f>ROUND(P32*$P$28,2)</f>
        <v>121895.19</v>
      </c>
    </row>
    <row r="34" spans="1:19" x14ac:dyDescent="0.35">
      <c r="A34" s="9"/>
      <c r="B34" s="9"/>
      <c r="C34" s="9"/>
      <c r="D34" s="9"/>
      <c r="E34" s="9"/>
      <c r="F34" s="9"/>
      <c r="G34" s="9"/>
      <c r="H34" s="10"/>
      <c r="M34" s="9"/>
      <c r="N34" s="9"/>
      <c r="O34" s="9"/>
      <c r="P34" s="9"/>
    </row>
    <row r="35" spans="1:19" x14ac:dyDescent="0.35">
      <c r="A35" s="9"/>
      <c r="B35" s="60" t="s">
        <v>12</v>
      </c>
      <c r="C35" s="60" t="s">
        <v>21</v>
      </c>
      <c r="D35" s="9" t="s">
        <v>24</v>
      </c>
      <c r="E35" s="9"/>
      <c r="F35" s="9"/>
      <c r="G35" s="9"/>
      <c r="H35" s="10" t="s">
        <v>25</v>
      </c>
      <c r="I35" s="14">
        <f>I32*I36</f>
        <v>-771.48797336390942</v>
      </c>
      <c r="J35" s="14">
        <f t="shared" ref="J35:K35" si="13">J32*J36</f>
        <v>5669.9873367841319</v>
      </c>
      <c r="K35" s="14">
        <f t="shared" si="13"/>
        <v>-819.08453751817478</v>
      </c>
      <c r="L35" s="14">
        <f>L32*L36</f>
        <v>-3197.4975441404317</v>
      </c>
      <c r="M35" s="40">
        <f t="shared" ref="M35:O35" si="14">M32*M36</f>
        <v>3899.2135499842516</v>
      </c>
      <c r="N35" s="40">
        <f t="shared" si="14"/>
        <v>1403.9148498780437</v>
      </c>
      <c r="O35" s="40">
        <f t="shared" si="14"/>
        <v>4610.0148623918794</v>
      </c>
      <c r="P35" s="40">
        <f>P32*P36-P33</f>
        <v>-8816.1440431655938</v>
      </c>
      <c r="Q35" s="14">
        <f>SUM(I35:P35)</f>
        <v>1978.9165008501968</v>
      </c>
      <c r="R35" s="14"/>
      <c r="S35" s="41"/>
    </row>
    <row r="36" spans="1:19" x14ac:dyDescent="0.35">
      <c r="A36" s="9"/>
      <c r="B36" s="60"/>
      <c r="C36" s="60"/>
      <c r="D36" s="9" t="s">
        <v>26</v>
      </c>
      <c r="E36" s="9"/>
      <c r="F36" s="9"/>
      <c r="G36" s="9"/>
      <c r="H36" s="10" t="s">
        <v>20</v>
      </c>
      <c r="I36" s="19">
        <f>I$22</f>
        <v>-5.9086162260307828E-4</v>
      </c>
      <c r="J36" s="19">
        <f t="shared" ref="J36:O36" si="15">J$22</f>
        <v>4.7472793480429765E-3</v>
      </c>
      <c r="K36" s="19">
        <f t="shared" si="15"/>
        <v>-7.5214395147966961E-4</v>
      </c>
      <c r="L36" s="19">
        <f t="shared" si="15"/>
        <v>-4.8509864481167241E-3</v>
      </c>
      <c r="M36" s="45">
        <f t="shared" si="15"/>
        <v>6.4759588502745838E-3</v>
      </c>
      <c r="N36" s="45">
        <f t="shared" si="15"/>
        <v>2.4284016968051103E-3</v>
      </c>
      <c r="O36" s="45">
        <f t="shared" si="15"/>
        <v>7.0394926670664035E-3</v>
      </c>
      <c r="P36" s="45">
        <f>P$22</f>
        <v>0.14974616229757154</v>
      </c>
    </row>
    <row r="37" spans="1:19" x14ac:dyDescent="0.35">
      <c r="A37" s="9"/>
      <c r="B37" s="9"/>
      <c r="C37" s="9"/>
      <c r="D37" s="9"/>
      <c r="E37" s="9"/>
      <c r="F37" s="9"/>
      <c r="G37" s="9"/>
      <c r="H37" s="10"/>
      <c r="I37" s="52"/>
      <c r="J37" s="52"/>
      <c r="K37" s="52"/>
      <c r="L37" s="52"/>
      <c r="M37" s="15"/>
      <c r="N37" s="15"/>
      <c r="O37" s="15"/>
      <c r="P37" s="15"/>
    </row>
    <row r="38" spans="1:19" x14ac:dyDescent="0.35">
      <c r="A38" s="9"/>
      <c r="B38" s="61" t="s">
        <v>12</v>
      </c>
      <c r="C38" s="61" t="s">
        <v>30</v>
      </c>
      <c r="D38" s="32" t="s">
        <v>24</v>
      </c>
      <c r="E38" s="32"/>
      <c r="F38" s="32"/>
      <c r="G38" s="32"/>
      <c r="H38" s="33" t="s">
        <v>25</v>
      </c>
      <c r="I38" s="34">
        <f>I32*(I36+I39)</f>
        <v>0</v>
      </c>
      <c r="J38" s="34">
        <f t="shared" ref="J38:L38" si="16">J32*(J36+J39)</f>
        <v>0</v>
      </c>
      <c r="K38" s="34">
        <f t="shared" si="16"/>
        <v>0</v>
      </c>
      <c r="L38" s="34">
        <f t="shared" si="16"/>
        <v>-1534.3347289305252</v>
      </c>
      <c r="M38" s="15">
        <f>M35</f>
        <v>3899.2135499842516</v>
      </c>
      <c r="N38" s="15">
        <f t="shared" ref="N38:P38" si="17">N35</f>
        <v>1403.9148498780437</v>
      </c>
      <c r="O38" s="15">
        <f t="shared" si="17"/>
        <v>4610.0148623918794</v>
      </c>
      <c r="P38" s="15">
        <f t="shared" si="17"/>
        <v>-8816.1440431655938</v>
      </c>
      <c r="Q38" s="25">
        <f>SUM(I38:P38)</f>
        <v>-437.33550984194517</v>
      </c>
      <c r="R38" s="41"/>
    </row>
    <row r="39" spans="1:19" x14ac:dyDescent="0.35">
      <c r="A39" s="9"/>
      <c r="B39" s="61"/>
      <c r="C39" s="61"/>
      <c r="D39" s="35" t="s">
        <v>32</v>
      </c>
      <c r="E39" s="35"/>
      <c r="F39" s="35"/>
      <c r="G39" s="35"/>
      <c r="H39" s="36" t="s">
        <v>20</v>
      </c>
      <c r="I39" s="28">
        <f>I$27</f>
        <v>5.9086162260307828E-4</v>
      </c>
      <c r="J39" s="28">
        <f t="shared" ref="J39:L39" si="18">J$27</f>
        <v>-4.7472793480429765E-3</v>
      </c>
      <c r="K39" s="28">
        <f t="shared" si="18"/>
        <v>7.5214395147966961E-4</v>
      </c>
      <c r="L39" s="28">
        <f t="shared" si="18"/>
        <v>2.5232170365165341E-3</v>
      </c>
      <c r="M39" s="15"/>
      <c r="N39" s="15"/>
      <c r="O39" s="15"/>
      <c r="P39" s="15"/>
    </row>
    <row r="40" spans="1:19" x14ac:dyDescent="0.35">
      <c r="E40" s="21" t="s">
        <v>35</v>
      </c>
      <c r="H40" s="10" t="s">
        <v>25</v>
      </c>
      <c r="Q40" s="14">
        <f>IF(Q38&lt;Q35,0,Q38-Q35)</f>
        <v>0</v>
      </c>
    </row>
    <row r="41" spans="1:19" x14ac:dyDescent="0.35">
      <c r="E41" s="21" t="s">
        <v>36</v>
      </c>
      <c r="H41" s="10" t="s">
        <v>25</v>
      </c>
      <c r="L41" s="20"/>
      <c r="Q41" s="14">
        <f>IF(Q38&lt;Q35,Q38-Q35,0)</f>
        <v>-2416.252010692142</v>
      </c>
    </row>
    <row r="42" spans="1:19" x14ac:dyDescent="0.35">
      <c r="E42" s="53" t="s">
        <v>37</v>
      </c>
      <c r="F42" s="54"/>
      <c r="G42" s="54"/>
      <c r="H42" s="54"/>
      <c r="I42" s="55">
        <f>I32/I$11</f>
        <v>1.0031688059230226E-3</v>
      </c>
      <c r="J42" s="55">
        <f t="shared" ref="J42:L42" si="19">J32/J$11</f>
        <v>8.4574265869629967E-4</v>
      </c>
      <c r="K42" s="55">
        <f t="shared" si="19"/>
        <v>6.3247915313540824E-4</v>
      </c>
      <c r="L42" s="55">
        <f t="shared" si="19"/>
        <v>3.5843539521120859E-4</v>
      </c>
      <c r="M42" s="56" t="str">
        <f>"2015 "&amp;IF(J42&gt;L42,"&gt;","&lt;")&amp;" 2017"&amp;IF(J42&gt;L42," therefore refund is reduced, or charge is increased"," therefore refund is increased, or charge is decreased")</f>
        <v>2015 &gt; 2017 therefore refund is reduced, or charge is increased</v>
      </c>
      <c r="N42" s="54"/>
      <c r="O42" s="54"/>
    </row>
    <row r="43" spans="1:19" s="4" customFormat="1" x14ac:dyDescent="0.35">
      <c r="A43" s="6" t="s">
        <v>34</v>
      </c>
      <c r="B43" s="6"/>
      <c r="C43" s="17"/>
      <c r="D43" s="6"/>
      <c r="E43" s="6"/>
      <c r="F43" s="6"/>
      <c r="G43" s="6"/>
      <c r="H43" s="6"/>
      <c r="I43" s="6"/>
      <c r="J43" s="6"/>
      <c r="K43" s="6"/>
      <c r="L43" s="6"/>
      <c r="M43" s="1"/>
      <c r="N43" s="1"/>
      <c r="O43" s="1"/>
      <c r="P43" s="1"/>
      <c r="Q43" s="1"/>
    </row>
    <row r="44" spans="1:19" s="4" customFormat="1" x14ac:dyDescent="0.35">
      <c r="A44" s="7">
        <v>2</v>
      </c>
      <c r="B44" s="8" t="s">
        <v>10</v>
      </c>
      <c r="C44" s="7"/>
      <c r="D44" s="8" t="s">
        <v>10</v>
      </c>
      <c r="E44" s="7"/>
      <c r="F44" s="7"/>
      <c r="G44" s="7"/>
      <c r="H44" s="7"/>
      <c r="I44" s="7">
        <v>2014</v>
      </c>
      <c r="J44" s="7">
        <v>2015</v>
      </c>
      <c r="K44" s="7">
        <v>2016</v>
      </c>
      <c r="L44" s="7">
        <v>2017</v>
      </c>
      <c r="M44" s="7">
        <v>2018</v>
      </c>
      <c r="N44" s="7">
        <v>2019</v>
      </c>
      <c r="O44" s="7">
        <v>2020</v>
      </c>
      <c r="P44" s="7">
        <v>2021</v>
      </c>
      <c r="Q44" s="7" t="s">
        <v>14</v>
      </c>
    </row>
    <row r="45" spans="1:19" x14ac:dyDescent="0.35">
      <c r="A45" s="9"/>
      <c r="B45" s="9"/>
      <c r="C45" s="9"/>
      <c r="D45" s="9" t="s">
        <v>16</v>
      </c>
      <c r="E45" s="9"/>
      <c r="F45" s="9"/>
      <c r="G45" s="9"/>
      <c r="H45" s="10" t="s">
        <v>17</v>
      </c>
      <c r="I45" s="11">
        <v>7106916.9800000004</v>
      </c>
      <c r="J45" s="11">
        <v>8317499.3799999999</v>
      </c>
      <c r="K45" s="11">
        <v>10974993.640000001</v>
      </c>
      <c r="L45" s="11">
        <v>11604936.560000001</v>
      </c>
      <c r="M45" s="11">
        <v>10510934.939999999</v>
      </c>
      <c r="N45" s="11">
        <v>10751961.58</v>
      </c>
      <c r="O45" s="11">
        <v>10358001.07</v>
      </c>
      <c r="P45" s="11">
        <v>10873594.09</v>
      </c>
      <c r="Q45" s="14">
        <f>SUM(I45:P45)</f>
        <v>80498838.24000001</v>
      </c>
    </row>
    <row r="46" spans="1:19" x14ac:dyDescent="0.35">
      <c r="A46" s="9"/>
      <c r="B46" s="9"/>
      <c r="C46" s="9"/>
      <c r="D46" s="9" t="s">
        <v>22</v>
      </c>
      <c r="E46" s="9"/>
      <c r="F46" s="9"/>
      <c r="G46" s="9"/>
      <c r="H46" s="10" t="s">
        <v>20</v>
      </c>
      <c r="I46" s="16">
        <f t="shared" ref="I46" si="20">I45/$L45</f>
        <v>0.61240463859976502</v>
      </c>
      <c r="J46" s="16">
        <f>J45/$L45</f>
        <v>0.71672079696401192</v>
      </c>
      <c r="K46" s="16">
        <f t="shared" ref="K46:L46" si="21">K45/$L45</f>
        <v>0.94571767654712624</v>
      </c>
      <c r="L46" s="16">
        <f t="shared" si="21"/>
        <v>1</v>
      </c>
      <c r="M46" s="9"/>
      <c r="N46" s="9"/>
      <c r="O46" s="9"/>
      <c r="P46" s="47">
        <f>ROUND(P45*$P$28,2)</f>
        <v>1755226.79</v>
      </c>
    </row>
    <row r="47" spans="1:19" x14ac:dyDescent="0.35">
      <c r="A47" s="9"/>
      <c r="B47" s="9"/>
      <c r="C47" s="9"/>
      <c r="D47" s="9"/>
      <c r="E47" s="9"/>
      <c r="F47" s="9"/>
      <c r="G47" s="9"/>
      <c r="H47" s="10"/>
      <c r="I47" s="16"/>
      <c r="J47" s="16"/>
      <c r="K47" s="16"/>
      <c r="L47" s="16"/>
      <c r="M47" s="9"/>
      <c r="N47" s="9"/>
      <c r="O47" s="9"/>
      <c r="P47" s="9"/>
    </row>
    <row r="48" spans="1:19" x14ac:dyDescent="0.35">
      <c r="A48" s="9"/>
      <c r="B48" s="60" t="s">
        <v>12</v>
      </c>
      <c r="C48" s="60" t="s">
        <v>21</v>
      </c>
      <c r="D48" s="9" t="s">
        <v>24</v>
      </c>
      <c r="E48" s="9"/>
      <c r="F48" s="9"/>
      <c r="G48" s="9"/>
      <c r="H48" s="10" t="s">
        <v>25</v>
      </c>
      <c r="I48" s="14">
        <f>I45*I49</f>
        <v>-4199.2044985081693</v>
      </c>
      <c r="J48" s="14">
        <f t="shared" ref="J48:K48" si="22">J45*J49</f>
        <v>39485.493034034262</v>
      </c>
      <c r="K48" s="14">
        <f t="shared" si="22"/>
        <v>-8254.7750838538432</v>
      </c>
      <c r="L48" s="14">
        <f>L45*L49</f>
        <v>-56295.389983814319</v>
      </c>
      <c r="M48" s="40">
        <f t="shared" ref="M48:O48" si="23">M45*M49</f>
        <v>68068.382149353347</v>
      </c>
      <c r="N48" s="40">
        <f t="shared" si="23"/>
        <v>26110.081744855353</v>
      </c>
      <c r="O48" s="40">
        <f t="shared" si="23"/>
        <v>72915.072577730956</v>
      </c>
      <c r="P48" s="40">
        <f>P45*P49-P46</f>
        <v>-126947.80464094528</v>
      </c>
      <c r="Q48" s="14">
        <f>SUM(I48:P48)</f>
        <v>10881.855298852315</v>
      </c>
      <c r="R48" s="14"/>
    </row>
    <row r="49" spans="1:17" x14ac:dyDescent="0.35">
      <c r="A49" s="9"/>
      <c r="B49" s="60"/>
      <c r="C49" s="60"/>
      <c r="D49" s="9" t="s">
        <v>26</v>
      </c>
      <c r="E49" s="9"/>
      <c r="F49" s="9"/>
      <c r="G49" s="9"/>
      <c r="H49" s="10" t="s">
        <v>20</v>
      </c>
      <c r="I49" s="19">
        <f>I$22</f>
        <v>-5.9086162260307828E-4</v>
      </c>
      <c r="J49" s="19">
        <f t="shared" ref="J49:O49" si="24">J$22</f>
        <v>4.7472793480429765E-3</v>
      </c>
      <c r="K49" s="19">
        <f t="shared" si="24"/>
        <v>-7.5214395147966961E-4</v>
      </c>
      <c r="L49" s="19">
        <f t="shared" si="24"/>
        <v>-4.8509864481167241E-3</v>
      </c>
      <c r="M49" s="45">
        <f t="shared" si="24"/>
        <v>6.4759588502745838E-3</v>
      </c>
      <c r="N49" s="45">
        <f t="shared" si="24"/>
        <v>2.4284016968051103E-3</v>
      </c>
      <c r="O49" s="45">
        <f t="shared" si="24"/>
        <v>7.0394926670664035E-3</v>
      </c>
      <c r="P49" s="45">
        <f>P$22</f>
        <v>0.14974616229757154</v>
      </c>
    </row>
    <row r="50" spans="1:17" x14ac:dyDescent="0.35">
      <c r="A50" s="9"/>
      <c r="B50" s="9"/>
      <c r="C50" s="9"/>
      <c r="D50" s="9"/>
      <c r="E50" s="9"/>
      <c r="F50" s="9"/>
      <c r="G50" s="9"/>
      <c r="H50" s="10"/>
      <c r="I50" s="14"/>
      <c r="J50" s="14"/>
      <c r="K50" s="14"/>
      <c r="L50" s="14"/>
      <c r="M50" s="15"/>
      <c r="N50" s="15"/>
      <c r="O50" s="15"/>
      <c r="P50" s="15"/>
    </row>
    <row r="51" spans="1:17" x14ac:dyDescent="0.35">
      <c r="A51" s="9"/>
      <c r="B51" s="61" t="s">
        <v>12</v>
      </c>
      <c r="C51" s="61" t="s">
        <v>30</v>
      </c>
      <c r="D51" s="32" t="s">
        <v>24</v>
      </c>
      <c r="E51" s="32"/>
      <c r="F51" s="32"/>
      <c r="G51" s="32"/>
      <c r="H51" s="33" t="s">
        <v>25</v>
      </c>
      <c r="I51" s="34">
        <f>I45*(I49+I52)</f>
        <v>0</v>
      </c>
      <c r="J51" s="34">
        <f t="shared" ref="J51:L51" si="25">J45*(J49+J52)</f>
        <v>0</v>
      </c>
      <c r="K51" s="34">
        <f t="shared" si="25"/>
        <v>0</v>
      </c>
      <c r="L51" s="34">
        <f t="shared" si="25"/>
        <v>-27013.616347928735</v>
      </c>
      <c r="M51" s="15">
        <f>M48</f>
        <v>68068.382149353347</v>
      </c>
      <c r="N51" s="15">
        <f t="shared" ref="N51:P51" si="26">N48</f>
        <v>26110.081744855353</v>
      </c>
      <c r="O51" s="15">
        <f t="shared" si="26"/>
        <v>72915.072577730956</v>
      </c>
      <c r="P51" s="15">
        <f t="shared" si="26"/>
        <v>-126947.80464094528</v>
      </c>
      <c r="Q51" s="25">
        <f>SUM(I51:P51)</f>
        <v>13132.11548306566</v>
      </c>
    </row>
    <row r="52" spans="1:17" x14ac:dyDescent="0.35">
      <c r="A52" s="9"/>
      <c r="B52" s="61"/>
      <c r="C52" s="61"/>
      <c r="D52" s="35" t="s">
        <v>32</v>
      </c>
      <c r="E52" s="35"/>
      <c r="F52" s="35"/>
      <c r="G52" s="35"/>
      <c r="H52" s="36" t="s">
        <v>20</v>
      </c>
      <c r="I52" s="28">
        <f>I$27</f>
        <v>5.9086162260307828E-4</v>
      </c>
      <c r="J52" s="28">
        <f t="shared" ref="J52:L52" si="27">J$27</f>
        <v>-4.7472793480429765E-3</v>
      </c>
      <c r="K52" s="28">
        <f t="shared" si="27"/>
        <v>7.5214395147966961E-4</v>
      </c>
      <c r="L52" s="28">
        <f t="shared" si="27"/>
        <v>2.5232170365165341E-3</v>
      </c>
      <c r="M52" s="15"/>
      <c r="N52" s="15"/>
      <c r="O52" s="15"/>
      <c r="P52" s="15"/>
    </row>
    <row r="53" spans="1:17" x14ac:dyDescent="0.35">
      <c r="E53" s="21" t="s">
        <v>35</v>
      </c>
      <c r="H53" s="10" t="s">
        <v>25</v>
      </c>
      <c r="Q53" s="14">
        <f>IF(Q51&lt;Q48,0,Q51-Q48)</f>
        <v>2250.2601842133445</v>
      </c>
    </row>
    <row r="54" spans="1:17" x14ac:dyDescent="0.35">
      <c r="E54" s="21" t="s">
        <v>36</v>
      </c>
      <c r="H54" s="10" t="s">
        <v>25</v>
      </c>
      <c r="L54" s="20"/>
      <c r="Q54" s="14">
        <f>IF(Q51&lt;Q48,Q51-Q48,0)</f>
        <v>0</v>
      </c>
    </row>
    <row r="55" spans="1:17" x14ac:dyDescent="0.35">
      <c r="E55" s="53" t="s">
        <v>37</v>
      </c>
      <c r="F55" s="54"/>
      <c r="G55" s="54"/>
      <c r="H55" s="54"/>
      <c r="I55" s="55">
        <f>I45/I$11</f>
        <v>5.4602419065941698E-3</v>
      </c>
      <c r="J55" s="55">
        <f t="shared" ref="J55:L55" si="28">J45/J$11</f>
        <v>5.8897073088489257E-3</v>
      </c>
      <c r="K55" s="55">
        <f t="shared" si="28"/>
        <v>6.374156653205407E-3</v>
      </c>
      <c r="L55" s="55">
        <f t="shared" si="28"/>
        <v>6.3106413934219388E-3</v>
      </c>
      <c r="M55" s="56" t="str">
        <f>"2015 "&amp;IF(J55&gt;L55,"&gt;","&lt;")&amp;" 2017"&amp;IF(J55&gt;L55," therefore refund is reduced, or charge is increased"," therefore refund is increased, or charge is decreased")</f>
        <v>2015 &lt; 2017 therefore refund is increased, or charge is decreased</v>
      </c>
      <c r="N55" s="54"/>
      <c r="O55" s="54"/>
    </row>
    <row r="56" spans="1:17" s="4" customFormat="1" x14ac:dyDescent="0.35">
      <c r="A56" s="6" t="s">
        <v>34</v>
      </c>
      <c r="B56" s="6"/>
      <c r="C56" s="17"/>
      <c r="D56" s="6"/>
      <c r="E56" s="6"/>
      <c r="F56" s="6"/>
      <c r="G56" s="6"/>
      <c r="H56" s="6"/>
      <c r="I56" s="6"/>
      <c r="J56" s="6"/>
      <c r="K56" s="6"/>
      <c r="L56" s="6"/>
      <c r="M56" s="1"/>
      <c r="N56" s="1"/>
      <c r="O56" s="1"/>
      <c r="P56" s="1"/>
      <c r="Q56" s="1"/>
    </row>
    <row r="57" spans="1:17" s="4" customFormat="1" x14ac:dyDescent="0.35">
      <c r="A57" s="7">
        <v>3</v>
      </c>
      <c r="B57" s="8" t="s">
        <v>10</v>
      </c>
      <c r="C57" s="7"/>
      <c r="D57" s="8" t="s">
        <v>10</v>
      </c>
      <c r="E57" s="7"/>
      <c r="F57" s="7"/>
      <c r="G57" s="7"/>
      <c r="H57" s="7"/>
      <c r="I57" s="7">
        <v>2014</v>
      </c>
      <c r="J57" s="7">
        <v>2015</v>
      </c>
      <c r="K57" s="7">
        <v>2016</v>
      </c>
      <c r="L57" s="7">
        <v>2017</v>
      </c>
      <c r="M57" s="7">
        <v>2018</v>
      </c>
      <c r="N57" s="7">
        <v>2019</v>
      </c>
      <c r="O57" s="7">
        <v>2020</v>
      </c>
      <c r="P57" s="7">
        <v>2021</v>
      </c>
      <c r="Q57" s="7" t="s">
        <v>14</v>
      </c>
    </row>
    <row r="58" spans="1:17" x14ac:dyDescent="0.35">
      <c r="A58" s="9"/>
      <c r="B58" s="9"/>
      <c r="C58" s="9"/>
      <c r="D58" s="9" t="s">
        <v>16</v>
      </c>
      <c r="E58" s="9"/>
      <c r="F58" s="9"/>
      <c r="G58" s="9"/>
      <c r="H58" s="10" t="s">
        <v>17</v>
      </c>
      <c r="I58" s="11">
        <v>1737474.35</v>
      </c>
      <c r="J58" s="11">
        <v>1885021.71</v>
      </c>
      <c r="K58" s="11">
        <v>2077538.01</v>
      </c>
      <c r="L58" s="11">
        <v>2339997.96</v>
      </c>
      <c r="M58" s="11">
        <v>2315230.66</v>
      </c>
      <c r="N58" s="11">
        <v>2358687.6</v>
      </c>
      <c r="O58" s="11">
        <v>2138775.2799999998</v>
      </c>
      <c r="P58" s="11">
        <v>2652882.2200000002</v>
      </c>
      <c r="Q58" s="14">
        <f>SUM(I58:P58)</f>
        <v>17505607.789999999</v>
      </c>
    </row>
    <row r="59" spans="1:17" x14ac:dyDescent="0.35">
      <c r="A59" s="9"/>
      <c r="B59" s="9"/>
      <c r="C59" s="9"/>
      <c r="D59" s="9" t="s">
        <v>22</v>
      </c>
      <c r="E59" s="9"/>
      <c r="F59" s="9"/>
      <c r="G59" s="9"/>
      <c r="H59" s="10" t="s">
        <v>20</v>
      </c>
      <c r="I59" s="16">
        <f t="shared" ref="I59" si="29">I58/$L58</f>
        <v>0.74251105330023459</v>
      </c>
      <c r="J59" s="16">
        <f>J58/$L58</f>
        <v>0.80556553562123623</v>
      </c>
      <c r="K59" s="16">
        <f t="shared" ref="K59:L59" si="30">K58/$L58</f>
        <v>0.88783753042246238</v>
      </c>
      <c r="L59" s="16">
        <f t="shared" si="30"/>
        <v>1</v>
      </c>
      <c r="M59" s="9"/>
      <c r="N59" s="9"/>
      <c r="O59" s="9"/>
      <c r="P59" s="47">
        <f>ROUND(P58*$P$28,2)</f>
        <v>428230.99</v>
      </c>
    </row>
    <row r="60" spans="1:17" x14ac:dyDescent="0.35">
      <c r="A60" s="9"/>
      <c r="B60" s="9"/>
      <c r="C60" s="9"/>
      <c r="D60" s="9"/>
      <c r="E60" s="9"/>
      <c r="F60" s="9"/>
      <c r="G60" s="9"/>
      <c r="H60" s="10"/>
      <c r="I60" s="16"/>
      <c r="J60" s="16"/>
      <c r="K60" s="16"/>
      <c r="L60" s="16"/>
      <c r="M60" s="9"/>
      <c r="N60" s="9"/>
      <c r="O60" s="9"/>
      <c r="P60" s="9"/>
    </row>
    <row r="61" spans="1:17" x14ac:dyDescent="0.35">
      <c r="A61" s="9"/>
      <c r="B61" s="60" t="s">
        <v>12</v>
      </c>
      <c r="C61" s="60" t="s">
        <v>21</v>
      </c>
      <c r="D61" s="9" t="s">
        <v>24</v>
      </c>
      <c r="E61" s="9"/>
      <c r="F61" s="9"/>
      <c r="G61" s="9"/>
      <c r="H61" s="10" t="s">
        <v>25</v>
      </c>
      <c r="I61" s="14">
        <f>I58*I62</f>
        <v>-1026.6069136722288</v>
      </c>
      <c r="J61" s="14">
        <f t="shared" ref="J61:K61" si="31">J58*J62</f>
        <v>8948.7246344956566</v>
      </c>
      <c r="K61" s="14">
        <f t="shared" si="31"/>
        <v>-1562.6076481906093</v>
      </c>
      <c r="L61" s="14">
        <f>L58*L62</f>
        <v>-11351.29839258078</v>
      </c>
      <c r="M61" s="40">
        <f t="shared" ref="M61:O61" si="32">M58*M62</f>
        <v>14993.338483054067</v>
      </c>
      <c r="N61" s="40">
        <f t="shared" si="32"/>
        <v>5727.8409700731736</v>
      </c>
      <c r="O61" s="40">
        <f t="shared" si="32"/>
        <v>15055.892900062892</v>
      </c>
      <c r="P61" s="40">
        <f>P58*P62-P59</f>
        <v>-30972.058527538087</v>
      </c>
      <c r="Q61" s="14">
        <f>SUM(I61:P61)</f>
        <v>-186.77449429591798</v>
      </c>
    </row>
    <row r="62" spans="1:17" x14ac:dyDescent="0.35">
      <c r="A62" s="9"/>
      <c r="B62" s="60"/>
      <c r="C62" s="60"/>
      <c r="D62" s="9" t="s">
        <v>38</v>
      </c>
      <c r="E62" s="9"/>
      <c r="F62" s="9"/>
      <c r="G62" s="9"/>
      <c r="H62" s="10" t="s">
        <v>20</v>
      </c>
      <c r="I62" s="19">
        <f>I$22</f>
        <v>-5.9086162260307828E-4</v>
      </c>
      <c r="J62" s="19">
        <f t="shared" ref="J62:O62" si="33">J$22</f>
        <v>4.7472793480429765E-3</v>
      </c>
      <c r="K62" s="19">
        <f t="shared" si="33"/>
        <v>-7.5214395147966961E-4</v>
      </c>
      <c r="L62" s="19">
        <f t="shared" si="33"/>
        <v>-4.8509864481167241E-3</v>
      </c>
      <c r="M62" s="45">
        <f t="shared" si="33"/>
        <v>6.4759588502745838E-3</v>
      </c>
      <c r="N62" s="45">
        <f t="shared" si="33"/>
        <v>2.4284016968051103E-3</v>
      </c>
      <c r="O62" s="45">
        <f t="shared" si="33"/>
        <v>7.0394926670664035E-3</v>
      </c>
      <c r="P62" s="45">
        <f>P$22</f>
        <v>0.14974616229757154</v>
      </c>
    </row>
    <row r="63" spans="1:17" x14ac:dyDescent="0.35">
      <c r="A63" s="9"/>
      <c r="B63" s="9"/>
      <c r="C63" s="9"/>
      <c r="D63" s="9"/>
      <c r="E63" s="9"/>
      <c r="F63" s="9"/>
      <c r="G63" s="9"/>
      <c r="H63" s="10"/>
      <c r="I63" s="14"/>
      <c r="J63" s="14"/>
      <c r="K63" s="14"/>
      <c r="L63" s="14"/>
      <c r="M63" s="15"/>
      <c r="N63" s="15"/>
      <c r="O63" s="15"/>
      <c r="P63" s="15"/>
    </row>
    <row r="64" spans="1:17" x14ac:dyDescent="0.35">
      <c r="A64" s="9"/>
      <c r="B64" s="61" t="s">
        <v>12</v>
      </c>
      <c r="C64" s="61" t="s">
        <v>30</v>
      </c>
      <c r="D64" s="32" t="s">
        <v>24</v>
      </c>
      <c r="E64" s="32"/>
      <c r="F64" s="32"/>
      <c r="G64" s="32"/>
      <c r="H64" s="33" t="s">
        <v>25</v>
      </c>
      <c r="I64" s="34">
        <f>I58*(I62+I65)</f>
        <v>0</v>
      </c>
      <c r="J64" s="34">
        <f t="shared" ref="J64:L64" si="34">J58*(J62+J65)</f>
        <v>0</v>
      </c>
      <c r="K64" s="34">
        <f t="shared" si="34"/>
        <v>0</v>
      </c>
      <c r="L64" s="34">
        <f t="shared" si="34"/>
        <v>-5446.9756744948454</v>
      </c>
      <c r="M64" s="15">
        <f>M61</f>
        <v>14993.338483054067</v>
      </c>
      <c r="N64" s="15">
        <f t="shared" ref="N64:P64" si="35">N61</f>
        <v>5727.8409700731736</v>
      </c>
      <c r="O64" s="15">
        <f t="shared" si="35"/>
        <v>15055.892900062892</v>
      </c>
      <c r="P64" s="15">
        <f t="shared" si="35"/>
        <v>-30972.058527538087</v>
      </c>
      <c r="Q64" s="25">
        <f>SUM(I64:P64)</f>
        <v>-641.96184884280228</v>
      </c>
    </row>
    <row r="65" spans="1:17" x14ac:dyDescent="0.35">
      <c r="A65" s="9"/>
      <c r="B65" s="61"/>
      <c r="C65" s="61"/>
      <c r="D65" s="35" t="s">
        <v>38</v>
      </c>
      <c r="E65" s="35"/>
      <c r="F65" s="35"/>
      <c r="G65" s="35"/>
      <c r="H65" s="36" t="s">
        <v>20</v>
      </c>
      <c r="I65" s="28">
        <f>I$27</f>
        <v>5.9086162260307828E-4</v>
      </c>
      <c r="J65" s="28">
        <f t="shared" ref="J65:L65" si="36">J$27</f>
        <v>-4.7472793480429765E-3</v>
      </c>
      <c r="K65" s="28">
        <f t="shared" si="36"/>
        <v>7.5214395147966961E-4</v>
      </c>
      <c r="L65" s="28">
        <f t="shared" si="36"/>
        <v>2.5232170365165341E-3</v>
      </c>
      <c r="M65" s="15"/>
      <c r="N65" s="15"/>
      <c r="O65" s="15"/>
      <c r="P65" s="15"/>
    </row>
    <row r="66" spans="1:17" x14ac:dyDescent="0.35">
      <c r="E66" s="21" t="s">
        <v>35</v>
      </c>
      <c r="H66" s="10" t="s">
        <v>25</v>
      </c>
      <c r="Q66" s="14">
        <f>IF(Q64&lt;Q61,0,Q64-Q61)</f>
        <v>0</v>
      </c>
    </row>
    <row r="67" spans="1:17" x14ac:dyDescent="0.35">
      <c r="E67" s="21" t="s">
        <v>36</v>
      </c>
      <c r="H67" s="10" t="s">
        <v>25</v>
      </c>
      <c r="L67" s="12"/>
      <c r="Q67" s="14">
        <f>IF(Q64&lt;Q61,Q64-Q61,0)</f>
        <v>-455.18735454688431</v>
      </c>
    </row>
    <row r="68" spans="1:17" x14ac:dyDescent="0.35">
      <c r="E68" s="53" t="s">
        <v>37</v>
      </c>
      <c r="F68" s="54"/>
      <c r="G68" s="54"/>
      <c r="H68" s="57" t="s">
        <v>20</v>
      </c>
      <c r="I68" s="55">
        <f>I58/I$11</f>
        <v>1.3349009541268717E-3</v>
      </c>
      <c r="J68" s="55">
        <f t="shared" ref="J68:L68" si="37">J58/J$11</f>
        <v>1.3348033628258473E-3</v>
      </c>
      <c r="K68" s="55">
        <f t="shared" si="37"/>
        <v>1.2066114262211656E-3</v>
      </c>
      <c r="L68" s="55">
        <f t="shared" si="37"/>
        <v>1.2724660673973467E-3</v>
      </c>
      <c r="M68" s="56" t="str">
        <f>"2015 "&amp;IF(J68&gt;L68,"&gt;","&lt;")&amp;" 2017"&amp;IF(J68&gt;L68," therefore refund is reduced, or charge is increased"," therefore refund is increased, or charge is decreased")</f>
        <v>2015 &gt; 2017 therefore refund is reduced, or charge is increased</v>
      </c>
      <c r="N68" s="54"/>
      <c r="O68" s="54"/>
    </row>
    <row r="69" spans="1:17" s="4" customFormat="1" x14ac:dyDescent="0.35">
      <c r="A69" s="6" t="s">
        <v>34</v>
      </c>
      <c r="B69" s="6"/>
      <c r="C69" s="17"/>
      <c r="D69" s="6"/>
      <c r="E69" s="6"/>
      <c r="F69" s="6"/>
      <c r="G69" s="6"/>
      <c r="H69" s="6"/>
      <c r="I69" s="6"/>
      <c r="J69" s="6"/>
      <c r="K69" s="6"/>
      <c r="L69" s="6"/>
      <c r="M69" s="1"/>
      <c r="N69" s="1"/>
      <c r="O69" s="1"/>
      <c r="P69" s="1"/>
      <c r="Q69" s="1"/>
    </row>
    <row r="70" spans="1:17" s="4" customFormat="1" x14ac:dyDescent="0.35">
      <c r="A70" s="7">
        <v>4</v>
      </c>
      <c r="B70" s="8" t="s">
        <v>10</v>
      </c>
      <c r="C70" s="7"/>
      <c r="D70" s="8" t="s">
        <v>10</v>
      </c>
      <c r="E70" s="7"/>
      <c r="F70" s="7"/>
      <c r="G70" s="7"/>
      <c r="H70" s="7"/>
      <c r="I70" s="7">
        <v>2014</v>
      </c>
      <c r="J70" s="7">
        <v>2015</v>
      </c>
      <c r="K70" s="7">
        <v>2016</v>
      </c>
      <c r="L70" s="7">
        <v>2017</v>
      </c>
      <c r="M70" s="7">
        <v>2018</v>
      </c>
      <c r="N70" s="7">
        <v>2019</v>
      </c>
      <c r="O70" s="7">
        <v>2020</v>
      </c>
      <c r="P70" s="7">
        <v>2021</v>
      </c>
      <c r="Q70" s="7" t="s">
        <v>14</v>
      </c>
    </row>
    <row r="71" spans="1:17" x14ac:dyDescent="0.35">
      <c r="A71" s="9"/>
      <c r="B71" s="9"/>
      <c r="C71" s="9"/>
      <c r="D71" s="9" t="s">
        <v>16</v>
      </c>
      <c r="E71" s="9"/>
      <c r="F71" s="9"/>
      <c r="G71" s="9"/>
      <c r="H71" s="10" t="s">
        <v>17</v>
      </c>
      <c r="I71" s="11">
        <v>3899815.54</v>
      </c>
      <c r="J71" s="11">
        <v>3905745.35</v>
      </c>
      <c r="K71" s="11">
        <v>5157862.04</v>
      </c>
      <c r="L71" s="11">
        <v>5690848.2599999998</v>
      </c>
      <c r="M71" s="11">
        <v>5229754.76</v>
      </c>
      <c r="N71" s="11">
        <v>5384750.8200000003</v>
      </c>
      <c r="O71" s="11">
        <v>5408480.2699999996</v>
      </c>
      <c r="P71" s="11">
        <v>5438876.5800000001</v>
      </c>
      <c r="Q71" s="14">
        <f>SUM(I71:P71)</f>
        <v>40116133.61999999</v>
      </c>
    </row>
    <row r="72" spans="1:17" x14ac:dyDescent="0.35">
      <c r="A72" s="9"/>
      <c r="B72" s="9"/>
      <c r="C72" s="9"/>
      <c r="D72" s="9" t="s">
        <v>22</v>
      </c>
      <c r="E72" s="9"/>
      <c r="F72" s="9"/>
      <c r="G72" s="9"/>
      <c r="H72" s="10" t="s">
        <v>20</v>
      </c>
      <c r="I72" s="16">
        <f t="shared" ref="I72" si="38">I71/$L71</f>
        <v>0.6852784263131978</v>
      </c>
      <c r="J72" s="16">
        <f>J71/$L71</f>
        <v>0.68632041684414902</v>
      </c>
      <c r="K72" s="16">
        <f t="shared" ref="K72:L72" si="39">K71/$L71</f>
        <v>0.90634327333127662</v>
      </c>
      <c r="L72" s="16">
        <f t="shared" si="39"/>
        <v>1</v>
      </c>
      <c r="M72" s="9"/>
      <c r="N72" s="9"/>
      <c r="O72" s="9"/>
      <c r="P72" s="47">
        <f>ROUND(P71*$P$28,2)</f>
        <v>877949.08</v>
      </c>
    </row>
    <row r="73" spans="1:17" x14ac:dyDescent="0.35">
      <c r="A73" s="9"/>
      <c r="B73" s="9"/>
      <c r="C73" s="9"/>
      <c r="D73" s="9"/>
      <c r="E73" s="9"/>
      <c r="F73" s="9"/>
      <c r="G73" s="9"/>
      <c r="H73" s="10"/>
      <c r="I73" s="16"/>
      <c r="J73" s="16"/>
      <c r="K73" s="16"/>
      <c r="L73" s="16"/>
      <c r="M73" s="9"/>
      <c r="N73" s="9"/>
      <c r="O73" s="9"/>
      <c r="P73" s="9"/>
    </row>
    <row r="74" spans="1:17" x14ac:dyDescent="0.35">
      <c r="A74" s="9"/>
      <c r="B74" s="60" t="s">
        <v>12</v>
      </c>
      <c r="C74" s="60" t="s">
        <v>21</v>
      </c>
      <c r="D74" s="9" t="s">
        <v>24</v>
      </c>
      <c r="E74" s="9"/>
      <c r="F74" s="9"/>
      <c r="G74" s="9"/>
      <c r="H74" s="10" t="s">
        <v>25</v>
      </c>
      <c r="I74" s="14">
        <f>I71*I75</f>
        <v>-2304.2513378171002</v>
      </c>
      <c r="J74" s="14">
        <f t="shared" ref="J74:K74" si="40">J71*J75</f>
        <v>18541.664238769888</v>
      </c>
      <c r="K74" s="14">
        <f t="shared" si="40"/>
        <v>-3879.4547359525895</v>
      </c>
      <c r="L74" s="14">
        <f>L71*L75</f>
        <v>-27606.22778754864</v>
      </c>
      <c r="M74" s="40">
        <f t="shared" ref="M74:O74" si="41">M71*M75</f>
        <v>33867.676622787629</v>
      </c>
      <c r="N74" s="40">
        <f t="shared" si="41"/>
        <v>13076.33802816071</v>
      </c>
      <c r="O74" s="40">
        <f t="shared" si="41"/>
        <v>38072.957200638317</v>
      </c>
      <c r="P74" s="40">
        <f>P71*P75-P72</f>
        <v>-63498.184934859164</v>
      </c>
      <c r="Q74" s="14">
        <f>SUM(I74:P74)</f>
        <v>6270.5172941790515</v>
      </c>
    </row>
    <row r="75" spans="1:17" x14ac:dyDescent="0.35">
      <c r="A75" s="9"/>
      <c r="B75" s="60"/>
      <c r="C75" s="60"/>
      <c r="D75" s="9" t="s">
        <v>38</v>
      </c>
      <c r="E75" s="9"/>
      <c r="F75" s="9"/>
      <c r="G75" s="9"/>
      <c r="H75" s="10" t="s">
        <v>20</v>
      </c>
      <c r="I75" s="19">
        <f>I$22</f>
        <v>-5.9086162260307828E-4</v>
      </c>
      <c r="J75" s="19">
        <f t="shared" ref="J75:O75" si="42">J$22</f>
        <v>4.7472793480429765E-3</v>
      </c>
      <c r="K75" s="19">
        <f t="shared" si="42"/>
        <v>-7.5214395147966961E-4</v>
      </c>
      <c r="L75" s="19">
        <f t="shared" si="42"/>
        <v>-4.8509864481167241E-3</v>
      </c>
      <c r="M75" s="45">
        <f t="shared" si="42"/>
        <v>6.4759588502745838E-3</v>
      </c>
      <c r="N75" s="45">
        <f t="shared" si="42"/>
        <v>2.4284016968051103E-3</v>
      </c>
      <c r="O75" s="45">
        <f t="shared" si="42"/>
        <v>7.0394926670664035E-3</v>
      </c>
      <c r="P75" s="45">
        <f>P$22</f>
        <v>0.14974616229757154</v>
      </c>
    </row>
    <row r="76" spans="1:17" x14ac:dyDescent="0.35">
      <c r="A76" s="9"/>
      <c r="B76" s="9"/>
      <c r="C76" s="9"/>
      <c r="D76" s="9"/>
      <c r="E76" s="9"/>
      <c r="F76" s="9"/>
      <c r="G76" s="9"/>
      <c r="H76" s="10"/>
      <c r="I76" s="14"/>
      <c r="J76" s="14"/>
      <c r="K76" s="14"/>
      <c r="L76" s="14"/>
      <c r="M76" s="15"/>
      <c r="N76" s="15"/>
      <c r="O76" s="15"/>
      <c r="P76" s="15"/>
    </row>
    <row r="77" spans="1:17" x14ac:dyDescent="0.35">
      <c r="A77" s="9"/>
      <c r="B77" s="61" t="s">
        <v>12</v>
      </c>
      <c r="C77" s="61" t="s">
        <v>30</v>
      </c>
      <c r="D77" s="32" t="s">
        <v>24</v>
      </c>
      <c r="E77" s="32"/>
      <c r="F77" s="32"/>
      <c r="G77" s="32"/>
      <c r="H77" s="33" t="s">
        <v>25</v>
      </c>
      <c r="I77" s="34">
        <f>I71*(I75+I78)</f>
        <v>0</v>
      </c>
      <c r="J77" s="34">
        <f t="shared" ref="J77:L77" si="43">J71*(J75+J78)</f>
        <v>0</v>
      </c>
      <c r="K77" s="34">
        <f t="shared" si="43"/>
        <v>0</v>
      </c>
      <c r="L77" s="34">
        <f t="shared" si="43"/>
        <v>-13246.982505686165</v>
      </c>
      <c r="M77" s="15">
        <f>M74</f>
        <v>33867.676622787629</v>
      </c>
      <c r="N77" s="15">
        <f t="shared" ref="N77:P77" si="44">N74</f>
        <v>13076.33802816071</v>
      </c>
      <c r="O77" s="15">
        <f t="shared" si="44"/>
        <v>38072.957200638317</v>
      </c>
      <c r="P77" s="15">
        <f t="shared" si="44"/>
        <v>-63498.184934859164</v>
      </c>
      <c r="Q77" s="25">
        <f>SUM(I77:P77)</f>
        <v>8271.8044110413175</v>
      </c>
    </row>
    <row r="78" spans="1:17" x14ac:dyDescent="0.35">
      <c r="A78" s="9"/>
      <c r="B78" s="61"/>
      <c r="C78" s="61"/>
      <c r="D78" s="35" t="s">
        <v>38</v>
      </c>
      <c r="E78" s="35"/>
      <c r="F78" s="35"/>
      <c r="G78" s="35"/>
      <c r="H78" s="36" t="s">
        <v>20</v>
      </c>
      <c r="I78" s="28">
        <f>I$27</f>
        <v>5.9086162260307828E-4</v>
      </c>
      <c r="J78" s="28">
        <f t="shared" ref="J78:L78" si="45">J$27</f>
        <v>-4.7472793480429765E-3</v>
      </c>
      <c r="K78" s="28">
        <f t="shared" si="45"/>
        <v>7.5214395147966961E-4</v>
      </c>
      <c r="L78" s="28">
        <f t="shared" si="45"/>
        <v>2.5232170365165341E-3</v>
      </c>
      <c r="M78" s="15"/>
      <c r="N78" s="15"/>
      <c r="O78" s="15"/>
      <c r="P78" s="15"/>
    </row>
    <row r="79" spans="1:17" x14ac:dyDescent="0.35">
      <c r="E79" s="21" t="s">
        <v>35</v>
      </c>
      <c r="H79" s="10" t="s">
        <v>25</v>
      </c>
      <c r="Q79" s="14">
        <f>IF(Q77&lt;Q74,0,Q77-Q74)</f>
        <v>2001.287116862266</v>
      </c>
    </row>
    <row r="80" spans="1:17" x14ac:dyDescent="0.35">
      <c r="E80" s="21" t="s">
        <v>36</v>
      </c>
      <c r="H80" s="10" t="s">
        <v>25</v>
      </c>
      <c r="L80" s="12"/>
      <c r="Q80" s="14">
        <f>IF(Q77&lt;Q74,Q77-Q74,0)</f>
        <v>0</v>
      </c>
    </row>
    <row r="81" spans="1:17" x14ac:dyDescent="0.35">
      <c r="E81" s="53" t="s">
        <v>37</v>
      </c>
      <c r="F81" s="54"/>
      <c r="G81" s="54"/>
      <c r="H81" s="57" t="s">
        <v>20</v>
      </c>
      <c r="I81" s="55">
        <f>I71/I$11</f>
        <v>2.9962269574021635E-3</v>
      </c>
      <c r="J81" s="55">
        <f t="shared" ref="J81:L81" si="46">J71/J$11</f>
        <v>2.7656986653598892E-3</v>
      </c>
      <c r="K81" s="55">
        <f t="shared" si="46"/>
        <v>2.9956300401629767E-3</v>
      </c>
      <c r="L81" s="55">
        <f t="shared" si="46"/>
        <v>3.0946229139264861E-3</v>
      </c>
      <c r="M81" s="56" t="str">
        <f>"2015 "&amp;IF(J81&gt;L81,"&gt;","&lt;")&amp;" 2017"&amp;IF(J81&gt;L81," therefore refund is reduced, or charge is increased"," therefore refund is increased, or charge is decreased")</f>
        <v>2015 &lt; 2017 therefore refund is increased, or charge is decreased</v>
      </c>
      <c r="N81" s="54"/>
      <c r="O81" s="54"/>
    </row>
    <row r="82" spans="1:17" s="4" customFormat="1" x14ac:dyDescent="0.35">
      <c r="A82" s="6" t="s">
        <v>34</v>
      </c>
      <c r="B82" s="6"/>
      <c r="C82" s="17"/>
      <c r="D82" s="6"/>
      <c r="E82" s="6"/>
      <c r="F82" s="6"/>
      <c r="G82" s="6"/>
      <c r="H82" s="6"/>
      <c r="I82" s="6"/>
      <c r="J82" s="6"/>
      <c r="K82" s="6"/>
      <c r="L82" s="6"/>
      <c r="M82" s="1"/>
      <c r="N82" s="1"/>
      <c r="O82" s="1"/>
      <c r="P82" s="1"/>
      <c r="Q82" s="1"/>
    </row>
    <row r="83" spans="1:17" s="4" customFormat="1" x14ac:dyDescent="0.35">
      <c r="A83" s="7">
        <v>5</v>
      </c>
      <c r="B83" s="8" t="s">
        <v>10</v>
      </c>
      <c r="C83" s="7"/>
      <c r="D83" s="8" t="s">
        <v>10</v>
      </c>
      <c r="E83" s="7"/>
      <c r="F83" s="7"/>
      <c r="G83" s="7"/>
      <c r="H83" s="7"/>
      <c r="I83" s="7">
        <v>2014</v>
      </c>
      <c r="J83" s="7">
        <v>2015</v>
      </c>
      <c r="K83" s="7">
        <v>2016</v>
      </c>
      <c r="L83" s="7">
        <v>2017</v>
      </c>
      <c r="M83" s="7">
        <v>2018</v>
      </c>
      <c r="N83" s="7">
        <v>2019</v>
      </c>
      <c r="O83" s="7">
        <v>2020</v>
      </c>
      <c r="P83" s="7">
        <v>2021</v>
      </c>
      <c r="Q83" s="7" t="s">
        <v>14</v>
      </c>
    </row>
    <row r="84" spans="1:17" x14ac:dyDescent="0.35">
      <c r="A84" s="9"/>
      <c r="B84" s="9"/>
      <c r="C84" s="9"/>
      <c r="D84" s="9" t="s">
        <v>16</v>
      </c>
      <c r="E84" s="9"/>
      <c r="F84" s="9"/>
      <c r="G84" s="9"/>
      <c r="H84" s="10" t="s">
        <v>17</v>
      </c>
      <c r="I84" s="11">
        <v>6785389.4900000002</v>
      </c>
      <c r="J84" s="11">
        <v>8658525.5600000005</v>
      </c>
      <c r="K84" s="11">
        <v>10163197.24</v>
      </c>
      <c r="L84" s="11">
        <v>9787054.5099999998</v>
      </c>
      <c r="M84" s="11">
        <v>9024371.9700000007</v>
      </c>
      <c r="N84" s="11">
        <v>5055397.26</v>
      </c>
      <c r="O84" s="11">
        <v>6424237.8700000001</v>
      </c>
      <c r="P84" s="11">
        <v>5614867.7000000002</v>
      </c>
      <c r="Q84" s="14">
        <f>SUM(I84:P84)</f>
        <v>61513041.599999994</v>
      </c>
    </row>
    <row r="85" spans="1:17" x14ac:dyDescent="0.35">
      <c r="A85" s="9"/>
      <c r="B85" s="9"/>
      <c r="C85" s="9"/>
      <c r="D85" s="9" t="s">
        <v>22</v>
      </c>
      <c r="E85" s="9"/>
      <c r="F85" s="9"/>
      <c r="G85" s="9"/>
      <c r="H85" s="10" t="s">
        <v>20</v>
      </c>
      <c r="I85" s="16">
        <f t="shared" ref="I85" si="47">I84/$L84</f>
        <v>0.6933025133421884</v>
      </c>
      <c r="J85" s="16">
        <f>J84/$L84</f>
        <v>0.88469166603221472</v>
      </c>
      <c r="K85" s="16">
        <f t="shared" ref="K85:L85" si="48">K84/$L84</f>
        <v>1.0384326795784855</v>
      </c>
      <c r="L85" s="16">
        <f t="shared" si="48"/>
        <v>1</v>
      </c>
      <c r="M85" s="9"/>
      <c r="N85" s="9"/>
      <c r="O85" s="9"/>
      <c r="P85" s="47">
        <f>ROUND(P84*$P$28,2)</f>
        <v>906357.74</v>
      </c>
    </row>
    <row r="86" spans="1:17" x14ac:dyDescent="0.35">
      <c r="A86" s="9"/>
      <c r="B86" s="9"/>
      <c r="C86" s="9"/>
      <c r="D86" s="9"/>
      <c r="E86" s="9"/>
      <c r="F86" s="9"/>
      <c r="G86" s="9"/>
      <c r="H86" s="10"/>
      <c r="I86" s="16"/>
      <c r="J86" s="16"/>
      <c r="K86" s="16"/>
      <c r="L86" s="16"/>
      <c r="M86" s="9"/>
      <c r="N86" s="9"/>
      <c r="O86" s="9"/>
      <c r="P86" s="9"/>
    </row>
    <row r="87" spans="1:17" x14ac:dyDescent="0.35">
      <c r="A87" s="9"/>
      <c r="B87" s="60" t="s">
        <v>12</v>
      </c>
      <c r="C87" s="60" t="s">
        <v>21</v>
      </c>
      <c r="D87" s="9" t="s">
        <v>24</v>
      </c>
      <c r="E87" s="9"/>
      <c r="F87" s="9"/>
      <c r="G87" s="9"/>
      <c r="H87" s="10" t="s">
        <v>25</v>
      </c>
      <c r="I87" s="14">
        <f>I84*I88</f>
        <v>-4009.226244055274</v>
      </c>
      <c r="J87" s="14">
        <f t="shared" ref="J87:K87" si="49">J84*J88</f>
        <v>41104.439575490251</v>
      </c>
      <c r="K87" s="14">
        <f t="shared" si="49"/>
        <v>-7644.1873317608724</v>
      </c>
      <c r="L87" s="14">
        <f>L84*L88</f>
        <v>-47476.868794989663</v>
      </c>
      <c r="M87" s="40">
        <f t="shared" ref="M87:O87" si="50">M84*M88</f>
        <v>58441.461527291387</v>
      </c>
      <c r="N87" s="40">
        <f t="shared" si="50"/>
        <v>12276.535284207905</v>
      </c>
      <c r="O87" s="40">
        <f t="shared" si="50"/>
        <v>45223.375377355289</v>
      </c>
      <c r="P87" s="40">
        <f>P84*P88-P85</f>
        <v>-65552.850116407732</v>
      </c>
      <c r="Q87" s="14">
        <f>SUM(I87:P87)</f>
        <v>32362.67927713129</v>
      </c>
    </row>
    <row r="88" spans="1:17" x14ac:dyDescent="0.35">
      <c r="A88" s="9"/>
      <c r="B88" s="60"/>
      <c r="C88" s="60"/>
      <c r="D88" s="9" t="s">
        <v>38</v>
      </c>
      <c r="E88" s="9"/>
      <c r="F88" s="9"/>
      <c r="G88" s="9"/>
      <c r="H88" s="10" t="s">
        <v>20</v>
      </c>
      <c r="I88" s="19">
        <f>I$22</f>
        <v>-5.9086162260307828E-4</v>
      </c>
      <c r="J88" s="19">
        <f t="shared" ref="J88:O88" si="51">J$22</f>
        <v>4.7472793480429765E-3</v>
      </c>
      <c r="K88" s="19">
        <f t="shared" si="51"/>
        <v>-7.5214395147966961E-4</v>
      </c>
      <c r="L88" s="19">
        <f t="shared" si="51"/>
        <v>-4.8509864481167241E-3</v>
      </c>
      <c r="M88" s="45">
        <f t="shared" si="51"/>
        <v>6.4759588502745838E-3</v>
      </c>
      <c r="N88" s="45">
        <f t="shared" si="51"/>
        <v>2.4284016968051103E-3</v>
      </c>
      <c r="O88" s="45">
        <f t="shared" si="51"/>
        <v>7.0394926670664035E-3</v>
      </c>
      <c r="P88" s="45">
        <f>P$22</f>
        <v>0.14974616229757154</v>
      </c>
    </row>
    <row r="89" spans="1:17" x14ac:dyDescent="0.35">
      <c r="A89" s="9"/>
      <c r="B89" s="9"/>
      <c r="C89" s="9"/>
      <c r="D89" s="9"/>
      <c r="E89" s="9"/>
      <c r="F89" s="9"/>
      <c r="G89" s="9"/>
      <c r="H89" s="10"/>
      <c r="I89" s="14"/>
      <c r="J89" s="14"/>
      <c r="K89" s="14"/>
      <c r="L89" s="14"/>
      <c r="M89" s="15"/>
      <c r="N89" s="15"/>
      <c r="O89" s="15"/>
      <c r="P89" s="15"/>
    </row>
    <row r="90" spans="1:17" x14ac:dyDescent="0.35">
      <c r="A90" s="9"/>
      <c r="B90" s="61" t="s">
        <v>12</v>
      </c>
      <c r="C90" s="61" t="s">
        <v>30</v>
      </c>
      <c r="D90" s="32" t="s">
        <v>24</v>
      </c>
      <c r="E90" s="32"/>
      <c r="F90" s="32"/>
      <c r="G90" s="32"/>
      <c r="H90" s="33" t="s">
        <v>25</v>
      </c>
      <c r="I90" s="34">
        <f>I84*(I88+I91)</f>
        <v>0</v>
      </c>
      <c r="J90" s="34">
        <f t="shared" ref="J90:L90" si="52">J84*(J88+J91)</f>
        <v>0</v>
      </c>
      <c r="K90" s="34">
        <f t="shared" si="52"/>
        <v>0</v>
      </c>
      <c r="L90" s="34">
        <f t="shared" si="52"/>
        <v>-22782.006118041685</v>
      </c>
      <c r="M90" s="15">
        <f>M87</f>
        <v>58441.461527291387</v>
      </c>
      <c r="N90" s="15">
        <f t="shared" ref="N90:P90" si="53">N87</f>
        <v>12276.535284207905</v>
      </c>
      <c r="O90" s="15">
        <f t="shared" si="53"/>
        <v>45223.375377355289</v>
      </c>
      <c r="P90" s="15">
        <f t="shared" si="53"/>
        <v>-65552.850116407732</v>
      </c>
      <c r="Q90" s="25">
        <f>SUM(I90:P90)</f>
        <v>27606.515954405157</v>
      </c>
    </row>
    <row r="91" spans="1:17" x14ac:dyDescent="0.35">
      <c r="A91" s="9"/>
      <c r="B91" s="61"/>
      <c r="C91" s="61"/>
      <c r="D91" s="35" t="s">
        <v>38</v>
      </c>
      <c r="E91" s="35"/>
      <c r="F91" s="35"/>
      <c r="G91" s="35"/>
      <c r="H91" s="36" t="s">
        <v>20</v>
      </c>
      <c r="I91" s="28">
        <f>I$27</f>
        <v>5.9086162260307828E-4</v>
      </c>
      <c r="J91" s="28">
        <f t="shared" ref="J91:L91" si="54">J$27</f>
        <v>-4.7472793480429765E-3</v>
      </c>
      <c r="K91" s="28">
        <f t="shared" si="54"/>
        <v>7.5214395147966961E-4</v>
      </c>
      <c r="L91" s="28">
        <f t="shared" si="54"/>
        <v>2.5232170365165341E-3</v>
      </c>
      <c r="M91" s="15"/>
      <c r="N91" s="15"/>
      <c r="O91" s="15"/>
      <c r="P91" s="15"/>
    </row>
    <row r="92" spans="1:17" x14ac:dyDescent="0.35">
      <c r="E92" s="21" t="s">
        <v>35</v>
      </c>
      <c r="H92" s="10" t="s">
        <v>25</v>
      </c>
      <c r="Q92" s="14">
        <f>IF(Q90&lt;Q87,0,Q90-Q87)</f>
        <v>0</v>
      </c>
    </row>
    <row r="93" spans="1:17" x14ac:dyDescent="0.35">
      <c r="E93" s="21" t="s">
        <v>36</v>
      </c>
      <c r="H93" s="10" t="s">
        <v>25</v>
      </c>
      <c r="L93" s="12"/>
      <c r="Q93" s="14">
        <f>IF(Q90&lt;Q87,Q90-Q87,0)</f>
        <v>-4756.1633227261336</v>
      </c>
    </row>
    <row r="94" spans="1:17" x14ac:dyDescent="0.35">
      <c r="E94" s="53" t="s">
        <v>37</v>
      </c>
      <c r="F94" s="54"/>
      <c r="G94" s="54"/>
      <c r="H94" s="57" t="s">
        <v>20</v>
      </c>
      <c r="I94" s="55">
        <f>I84/I$11</f>
        <v>5.2132124450202369E-3</v>
      </c>
      <c r="J94" s="55">
        <f t="shared" ref="J94:L94" si="55">J84/J$11</f>
        <v>6.1311914729096431E-3</v>
      </c>
      <c r="K94" s="55">
        <f t="shared" si="55"/>
        <v>5.9026741545505652E-3</v>
      </c>
      <c r="L94" s="55">
        <f t="shared" si="55"/>
        <v>5.3220964191537865E-3</v>
      </c>
      <c r="M94" s="56" t="str">
        <f>"2015 "&amp;IF(J94&gt;L94,"&gt;","&lt;")&amp;" 2017"&amp;IF(J94&gt;L94," therefore refund is reduced, or charge is increased"," therefore refund is increased, or charge is decreased")</f>
        <v>2015 &gt; 2017 therefore refund is reduced, or charge is increased</v>
      </c>
      <c r="N94" s="54"/>
      <c r="O94" s="54"/>
    </row>
    <row r="95" spans="1:17" s="4" customFormat="1" x14ac:dyDescent="0.35">
      <c r="A95" s="6" t="s">
        <v>39</v>
      </c>
      <c r="B95" s="6"/>
      <c r="C95" s="6" t="s">
        <v>40</v>
      </c>
      <c r="D95" s="6"/>
      <c r="E95" s="6"/>
      <c r="F95" s="6"/>
      <c r="G95" s="6"/>
      <c r="H95" s="6"/>
      <c r="I95" s="6"/>
      <c r="J95" s="6"/>
      <c r="K95" s="6"/>
      <c r="L95" s="6"/>
      <c r="M95" s="1"/>
      <c r="N95" s="1"/>
      <c r="O95" s="1"/>
      <c r="P95" s="1"/>
      <c r="Q95" s="1"/>
    </row>
    <row r="96" spans="1:17" s="4" customFormat="1" x14ac:dyDescent="0.35">
      <c r="A96" s="7">
        <v>6</v>
      </c>
      <c r="B96" s="8" t="s">
        <v>10</v>
      </c>
      <c r="C96" s="7"/>
      <c r="D96" s="8" t="s">
        <v>10</v>
      </c>
      <c r="E96" s="7"/>
      <c r="F96" s="7"/>
      <c r="G96" s="7"/>
      <c r="H96" s="7"/>
      <c r="I96" s="7">
        <v>2014</v>
      </c>
      <c r="J96" s="7">
        <v>2015</v>
      </c>
      <c r="K96" s="7">
        <v>2016</v>
      </c>
      <c r="L96" s="7">
        <v>2017</v>
      </c>
      <c r="M96" s="7">
        <v>2018</v>
      </c>
      <c r="N96" s="7">
        <v>2019</v>
      </c>
      <c r="O96" s="7">
        <v>2020</v>
      </c>
      <c r="P96" s="7">
        <v>2021</v>
      </c>
      <c r="Q96" s="7" t="s">
        <v>14</v>
      </c>
    </row>
    <row r="97" spans="1:17" x14ac:dyDescent="0.35">
      <c r="A97" s="9"/>
      <c r="B97" s="9"/>
      <c r="C97" s="9"/>
      <c r="D97" s="9" t="s">
        <v>16</v>
      </c>
      <c r="E97" s="9"/>
      <c r="F97" s="9"/>
      <c r="G97" s="9"/>
      <c r="H97" s="10" t="s">
        <v>17</v>
      </c>
      <c r="I97" s="11">
        <v>401568802.20000017</v>
      </c>
      <c r="J97" s="11">
        <v>424409714.92000002</v>
      </c>
      <c r="K97" s="11">
        <v>499789562.61999995</v>
      </c>
      <c r="L97" s="11">
        <v>543876278.80999994</v>
      </c>
      <c r="M97" s="11">
        <v>521520525.4199999</v>
      </c>
      <c r="N97" s="11">
        <v>534604969.37</v>
      </c>
      <c r="O97" s="11">
        <v>564114791.56000018</v>
      </c>
      <c r="P97" s="11">
        <v>606978232.37000024</v>
      </c>
      <c r="Q97" s="14">
        <f>SUM(I97:P97)</f>
        <v>4096862877.27</v>
      </c>
    </row>
    <row r="98" spans="1:17" x14ac:dyDescent="0.35">
      <c r="A98" s="9"/>
      <c r="B98" s="9"/>
      <c r="C98" s="9"/>
      <c r="D98" s="9" t="s">
        <v>22</v>
      </c>
      <c r="E98" s="9"/>
      <c r="F98" s="9"/>
      <c r="G98" s="9"/>
      <c r="H98" s="10" t="s">
        <v>20</v>
      </c>
      <c r="I98" s="16">
        <f t="shared" ref="I98" si="56">I97/$L97</f>
        <v>0.73834586623015031</v>
      </c>
      <c r="J98" s="16">
        <f>J97/$L97</f>
        <v>0.78034238935481337</v>
      </c>
      <c r="K98" s="16">
        <f t="shared" ref="K98:L98" si="57">K97/$L97</f>
        <v>0.91893980688685006</v>
      </c>
      <c r="L98" s="16">
        <f t="shared" si="57"/>
        <v>1</v>
      </c>
      <c r="M98" s="9"/>
      <c r="N98" s="9"/>
      <c r="O98" s="9"/>
      <c r="P98" s="9"/>
    </row>
    <row r="99" spans="1:17" x14ac:dyDescent="0.35">
      <c r="A99" s="9"/>
      <c r="B99" s="9"/>
      <c r="C99" s="9"/>
      <c r="D99" s="9"/>
      <c r="E99" s="9"/>
      <c r="F99" s="9"/>
      <c r="G99" s="9"/>
      <c r="H99" s="9"/>
      <c r="I99" s="14"/>
      <c r="J99" s="14"/>
      <c r="K99" s="14"/>
      <c r="L99" s="14"/>
      <c r="M99" s="14"/>
      <c r="N99" s="14"/>
      <c r="O99" s="14"/>
      <c r="P99" s="14"/>
    </row>
    <row r="100" spans="1:17" x14ac:dyDescent="0.35">
      <c r="A100" s="9"/>
      <c r="B100" s="60" t="s">
        <v>12</v>
      </c>
      <c r="C100" s="60" t="s">
        <v>21</v>
      </c>
      <c r="D100" s="9" t="s">
        <v>24</v>
      </c>
      <c r="E100" s="9"/>
      <c r="F100" s="9"/>
      <c r="G100" s="9"/>
      <c r="H100" s="10" t="s">
        <v>25</v>
      </c>
      <c r="I100" s="14">
        <v>-237167.18632817015</v>
      </c>
      <c r="J100" s="14">
        <v>2017388.1140821567</v>
      </c>
      <c r="K100" s="14">
        <v>-375839.67184889369</v>
      </c>
      <c r="L100" s="14">
        <v>-2638336.4578959802</v>
      </c>
      <c r="M100" s="40">
        <v>3377345.4620502996</v>
      </c>
      <c r="N100" s="40">
        <v>1307297.0292089609</v>
      </c>
      <c r="O100" s="40">
        <v>3986330.0423861751</v>
      </c>
      <c r="P100" s="40">
        <v>-4195268.7541832961</v>
      </c>
      <c r="Q100" s="14">
        <f>SUM(I100:P100)</f>
        <v>3241748.5774712525</v>
      </c>
    </row>
    <row r="101" spans="1:17" x14ac:dyDescent="0.35">
      <c r="A101" s="9"/>
      <c r="B101" s="60"/>
      <c r="C101" s="60" t="s">
        <v>21</v>
      </c>
      <c r="D101" s="9" t="s">
        <v>38</v>
      </c>
      <c r="E101" s="9"/>
      <c r="F101" s="9"/>
      <c r="G101" s="9"/>
      <c r="H101" s="10" t="s">
        <v>20</v>
      </c>
      <c r="I101" s="19">
        <f>I$22</f>
        <v>-5.9086162260307828E-4</v>
      </c>
      <c r="J101" s="19">
        <f t="shared" ref="J101:L101" si="58">J$22</f>
        <v>4.7472793480429765E-3</v>
      </c>
      <c r="K101" s="19">
        <f t="shared" si="58"/>
        <v>-7.5214395147966961E-4</v>
      </c>
      <c r="L101" s="19">
        <f t="shared" si="58"/>
        <v>-4.8509864481167241E-3</v>
      </c>
      <c r="M101" s="45"/>
      <c r="N101" s="45"/>
      <c r="O101" s="45"/>
      <c r="P101" s="45"/>
    </row>
    <row r="102" spans="1:17" x14ac:dyDescent="0.35">
      <c r="A102" s="9"/>
      <c r="B102" s="9"/>
      <c r="C102" s="9"/>
      <c r="D102" s="9"/>
      <c r="E102" s="9"/>
      <c r="F102" s="9"/>
      <c r="G102" s="9"/>
      <c r="H102" s="10"/>
      <c r="I102" s="14"/>
      <c r="J102" s="14"/>
      <c r="K102" s="14"/>
      <c r="L102" s="14"/>
      <c r="M102" s="15"/>
      <c r="N102" s="15"/>
      <c r="O102" s="15"/>
      <c r="P102" s="15"/>
    </row>
    <row r="103" spans="1:17" x14ac:dyDescent="0.35">
      <c r="A103" s="9"/>
      <c r="B103" s="61" t="s">
        <v>12</v>
      </c>
      <c r="C103" s="61" t="s">
        <v>30</v>
      </c>
      <c r="D103" s="32" t="s">
        <v>24</v>
      </c>
      <c r="E103" s="32"/>
      <c r="F103" s="32"/>
      <c r="G103" s="32"/>
      <c r="H103" s="33" t="s">
        <v>25</v>
      </c>
      <c r="I103" s="34">
        <v>0</v>
      </c>
      <c r="J103" s="34">
        <v>0</v>
      </c>
      <c r="K103" s="34">
        <v>0</v>
      </c>
      <c r="L103" s="34">
        <v>-1292367.5853449467</v>
      </c>
      <c r="M103" s="15">
        <v>3377345.4620502996</v>
      </c>
      <c r="N103" s="15">
        <v>1307297.0292089609</v>
      </c>
      <c r="O103" s="15">
        <v>3986330.0423861751</v>
      </c>
      <c r="P103" s="15">
        <v>-4195268.7541832961</v>
      </c>
      <c r="Q103" s="25">
        <f>SUM(I103:P103)</f>
        <v>3183336.1941171931</v>
      </c>
    </row>
    <row r="104" spans="1:17" x14ac:dyDescent="0.35">
      <c r="A104" s="9"/>
      <c r="B104" s="61"/>
      <c r="C104" s="61" t="s">
        <v>30</v>
      </c>
      <c r="D104" s="35" t="s">
        <v>38</v>
      </c>
      <c r="E104" s="35"/>
      <c r="F104" s="35"/>
      <c r="G104" s="35"/>
      <c r="H104" s="36" t="s">
        <v>20</v>
      </c>
      <c r="I104" s="28">
        <f>I$27</f>
        <v>5.9086162260307828E-4</v>
      </c>
      <c r="J104" s="28">
        <f t="shared" ref="J104:L104" si="59">J$27</f>
        <v>-4.7472793480429765E-3</v>
      </c>
      <c r="K104" s="28">
        <f t="shared" si="59"/>
        <v>7.5214395147966961E-4</v>
      </c>
      <c r="L104" s="28">
        <f t="shared" si="59"/>
        <v>2.5232170365165341E-3</v>
      </c>
      <c r="M104" s="15"/>
      <c r="N104" s="15"/>
      <c r="O104" s="15"/>
      <c r="P104" s="15"/>
    </row>
    <row r="105" spans="1:17" x14ac:dyDescent="0.35">
      <c r="E105" s="21" t="s">
        <v>35</v>
      </c>
      <c r="H105" s="10" t="s">
        <v>25</v>
      </c>
      <c r="Q105" s="14">
        <f>IF(Q103&lt;Q100,0,Q103-Q100)</f>
        <v>0</v>
      </c>
    </row>
    <row r="106" spans="1:17" x14ac:dyDescent="0.35">
      <c r="E106" s="21" t="s">
        <v>36</v>
      </c>
      <c r="H106" s="10" t="s">
        <v>25</v>
      </c>
      <c r="L106" s="12"/>
      <c r="Q106" s="14">
        <f>IF(Q103&lt;Q100,Q103-Q100,0)</f>
        <v>-58412.383354059421</v>
      </c>
    </row>
    <row r="107" spans="1:17" x14ac:dyDescent="0.35">
      <c r="E107" s="53" t="s">
        <v>37</v>
      </c>
      <c r="F107" s="54"/>
      <c r="G107" s="54"/>
      <c r="H107" s="57" t="s">
        <v>20</v>
      </c>
      <c r="I107" s="55">
        <f>I97/I$11</f>
        <v>0.30852517460437057</v>
      </c>
      <c r="J107" s="55">
        <f t="shared" ref="J107:L107" si="60">J97/J$11</f>
        <v>0.30052890727246595</v>
      </c>
      <c r="K107" s="55">
        <f t="shared" si="60"/>
        <v>0.29027232910331718</v>
      </c>
      <c r="L107" s="55">
        <f t="shared" si="60"/>
        <v>0.29575415084894496</v>
      </c>
      <c r="M107" s="56" t="str">
        <f>"2015 "&amp;IF(J107&gt;L107,"&gt;","&lt;")&amp;" 2017"&amp;IF(J107&gt;L107," therefore refund is reduced, or charge is increased"," therefore refund is increased, or charge is decreased")</f>
        <v>2015 &gt; 2017 therefore refund is reduced, or charge is increased</v>
      </c>
      <c r="N107" s="54"/>
      <c r="O107" s="54"/>
    </row>
    <row r="108" spans="1:17" s="4" customFormat="1" x14ac:dyDescent="0.35">
      <c r="A108" s="6" t="s">
        <v>39</v>
      </c>
      <c r="B108" s="6"/>
      <c r="C108" s="6" t="s">
        <v>41</v>
      </c>
      <c r="D108" s="6"/>
      <c r="E108" s="6"/>
      <c r="F108" s="6"/>
      <c r="G108" s="6"/>
      <c r="H108" s="6"/>
      <c r="I108" s="6"/>
      <c r="J108" s="6"/>
      <c r="K108" s="6"/>
      <c r="L108" s="6"/>
      <c r="M108" s="1"/>
      <c r="N108" s="1"/>
      <c r="O108" s="1"/>
      <c r="P108" s="1"/>
      <c r="Q108" s="1"/>
    </row>
    <row r="109" spans="1:17" s="4" customFormat="1" x14ac:dyDescent="0.35">
      <c r="A109" s="7">
        <v>7</v>
      </c>
      <c r="B109" s="8" t="s">
        <v>10</v>
      </c>
      <c r="C109" s="7"/>
      <c r="D109" s="8" t="s">
        <v>10</v>
      </c>
      <c r="E109" s="7"/>
      <c r="F109" s="7"/>
      <c r="G109" s="7"/>
      <c r="H109" s="7"/>
      <c r="I109" s="7">
        <v>2014</v>
      </c>
      <c r="J109" s="7">
        <v>2015</v>
      </c>
      <c r="K109" s="7">
        <v>2016</v>
      </c>
      <c r="L109" s="7">
        <v>2017</v>
      </c>
      <c r="M109" s="7">
        <v>2018</v>
      </c>
      <c r="N109" s="7">
        <v>2019</v>
      </c>
      <c r="O109" s="7">
        <v>2020</v>
      </c>
      <c r="P109" s="7">
        <v>2021</v>
      </c>
      <c r="Q109" s="7" t="s">
        <v>14</v>
      </c>
    </row>
    <row r="110" spans="1:17" x14ac:dyDescent="0.35">
      <c r="A110" s="9"/>
      <c r="B110" s="9"/>
      <c r="C110" s="9"/>
      <c r="D110" s="9" t="s">
        <v>16</v>
      </c>
      <c r="E110" s="9"/>
      <c r="F110" s="9"/>
      <c r="G110" s="9"/>
      <c r="H110" s="10" t="s">
        <v>17</v>
      </c>
      <c r="I110" s="11">
        <v>139650863.31</v>
      </c>
      <c r="J110" s="11">
        <v>159824305.94999999</v>
      </c>
      <c r="K110" s="11">
        <v>206958563.68000001</v>
      </c>
      <c r="L110" s="11">
        <v>223449809.72999996</v>
      </c>
      <c r="M110" s="11">
        <v>214053132.91</v>
      </c>
      <c r="N110" s="11">
        <v>220314831.14999998</v>
      </c>
      <c r="O110" s="11">
        <v>227151208.87000003</v>
      </c>
      <c r="P110" s="11">
        <v>244342108.15999997</v>
      </c>
      <c r="Q110" s="14">
        <f>SUM(I110:P110)</f>
        <v>1635744823.7600002</v>
      </c>
    </row>
    <row r="111" spans="1:17" x14ac:dyDescent="0.35">
      <c r="A111" s="9"/>
      <c r="B111" s="9"/>
      <c r="C111" s="9"/>
      <c r="D111" s="9" t="s">
        <v>22</v>
      </c>
      <c r="E111" s="9"/>
      <c r="F111" s="9"/>
      <c r="G111" s="9"/>
      <c r="H111" s="10" t="s">
        <v>20</v>
      </c>
      <c r="I111" s="16">
        <f t="shared" ref="I111" si="61">I110/$L110</f>
        <v>0.6249764252596306</v>
      </c>
      <c r="J111" s="16">
        <f>J110/$L110</f>
        <v>0.71525818770273164</v>
      </c>
      <c r="K111" s="16">
        <f t="shared" ref="K111:L111" si="62">K110/$L110</f>
        <v>0.92619709065795697</v>
      </c>
      <c r="L111" s="16">
        <f t="shared" si="62"/>
        <v>1</v>
      </c>
      <c r="M111" s="9"/>
      <c r="N111" s="9"/>
      <c r="O111" s="9"/>
      <c r="P111" s="9"/>
    </row>
    <row r="112" spans="1:17" x14ac:dyDescent="0.35">
      <c r="A112" s="9"/>
      <c r="B112" s="9"/>
      <c r="C112" s="9"/>
      <c r="D112" s="9"/>
      <c r="E112" s="9"/>
      <c r="F112" s="9"/>
      <c r="G112" s="9"/>
      <c r="H112" s="9"/>
      <c r="I112" s="16"/>
      <c r="J112" s="16"/>
      <c r="K112" s="16"/>
      <c r="L112" s="9"/>
      <c r="M112" s="9"/>
      <c r="N112" s="9"/>
      <c r="O112" s="9"/>
      <c r="P112" s="9"/>
    </row>
    <row r="113" spans="1:17" x14ac:dyDescent="0.35">
      <c r="A113" s="9"/>
      <c r="B113" s="60" t="s">
        <v>12</v>
      </c>
      <c r="C113" s="60" t="s">
        <v>21</v>
      </c>
      <c r="D113" s="9" t="s">
        <v>24</v>
      </c>
      <c r="E113" s="9"/>
      <c r="F113" s="9"/>
      <c r="G113" s="9"/>
      <c r="H113" s="10" t="s">
        <v>25</v>
      </c>
      <c r="I113" s="14">
        <v>-82505.589019851235</v>
      </c>
      <c r="J113" s="14">
        <v>755809.21739443799</v>
      </c>
      <c r="K113" s="14">
        <v>-155628.39726461589</v>
      </c>
      <c r="L113" s="14">
        <v>-1083951.9988084086</v>
      </c>
      <c r="M113" s="15">
        <v>1386199.2804387407</v>
      </c>
      <c r="N113" s="15">
        <v>535012.90983892849</v>
      </c>
      <c r="O113" s="15">
        <v>1599029.2691405506</v>
      </c>
      <c r="P113" s="15">
        <v>-1913854.8297795383</v>
      </c>
      <c r="Q113" s="14">
        <f>SUM(I113:P113)</f>
        <v>1040109.8619402442</v>
      </c>
    </row>
    <row r="114" spans="1:17" x14ac:dyDescent="0.35">
      <c r="A114" s="9"/>
      <c r="B114" s="60"/>
      <c r="C114" s="60" t="s">
        <v>21</v>
      </c>
      <c r="D114" s="9" t="s">
        <v>38</v>
      </c>
      <c r="E114" s="9"/>
      <c r="F114" s="9"/>
      <c r="G114" s="9"/>
      <c r="H114" s="10" t="s">
        <v>20</v>
      </c>
      <c r="I114" s="19">
        <f>I$22</f>
        <v>-5.9086162260307828E-4</v>
      </c>
      <c r="J114" s="19">
        <f t="shared" ref="J114:L114" si="63">J$22</f>
        <v>4.7472793480429765E-3</v>
      </c>
      <c r="K114" s="19">
        <f t="shared" si="63"/>
        <v>-7.5214395147966961E-4</v>
      </c>
      <c r="L114" s="19">
        <f t="shared" si="63"/>
        <v>-4.8509864481167241E-3</v>
      </c>
      <c r="M114" s="15"/>
      <c r="N114" s="15"/>
      <c r="O114" s="15"/>
      <c r="P114" s="15"/>
    </row>
    <row r="115" spans="1:17" x14ac:dyDescent="0.35">
      <c r="A115" s="9"/>
      <c r="B115" s="9"/>
      <c r="C115" s="9"/>
      <c r="D115" s="9"/>
      <c r="E115" s="9"/>
      <c r="F115" s="9"/>
      <c r="G115" s="9"/>
      <c r="H115" s="10"/>
      <c r="I115" s="14"/>
      <c r="J115" s="14"/>
      <c r="K115" s="14"/>
      <c r="L115" s="14"/>
      <c r="M115" s="15"/>
      <c r="N115" s="15"/>
      <c r="O115" s="15"/>
      <c r="P115" s="15"/>
    </row>
    <row r="116" spans="1:17" x14ac:dyDescent="0.35">
      <c r="A116" s="9"/>
      <c r="B116" s="61" t="s">
        <v>12</v>
      </c>
      <c r="C116" s="61" t="s">
        <v>30</v>
      </c>
      <c r="D116" s="32" t="s">
        <v>24</v>
      </c>
      <c r="E116" s="32"/>
      <c r="F116" s="32"/>
      <c r="G116" s="32"/>
      <c r="H116" s="33" t="s">
        <v>25</v>
      </c>
      <c r="I116" s="34">
        <v>0</v>
      </c>
      <c r="J116" s="34">
        <v>0</v>
      </c>
      <c r="K116" s="34">
        <v>0</v>
      </c>
      <c r="L116" s="34">
        <v>-530965.04167895799</v>
      </c>
      <c r="M116" s="15">
        <v>1386199.2804387407</v>
      </c>
      <c r="N116" s="15">
        <v>535012.90983892849</v>
      </c>
      <c r="O116" s="15">
        <v>1599029.2691405506</v>
      </c>
      <c r="P116" s="15">
        <v>-1913854.8297795383</v>
      </c>
      <c r="Q116" s="25">
        <f>SUM(I116:P116)</f>
        <v>1075421.5879597235</v>
      </c>
    </row>
    <row r="117" spans="1:17" x14ac:dyDescent="0.35">
      <c r="A117" s="9"/>
      <c r="B117" s="61"/>
      <c r="C117" s="61" t="s">
        <v>30</v>
      </c>
      <c r="D117" s="35" t="s">
        <v>38</v>
      </c>
      <c r="E117" s="35"/>
      <c r="F117" s="35"/>
      <c r="G117" s="35"/>
      <c r="H117" s="36" t="s">
        <v>20</v>
      </c>
      <c r="I117" s="28">
        <f>I$27</f>
        <v>5.9086162260307828E-4</v>
      </c>
      <c r="J117" s="28">
        <f t="shared" ref="J117:L117" si="64">J$27</f>
        <v>-4.7472793480429765E-3</v>
      </c>
      <c r="K117" s="28">
        <f t="shared" si="64"/>
        <v>7.5214395147966961E-4</v>
      </c>
      <c r="L117" s="28">
        <f t="shared" si="64"/>
        <v>2.5232170365165341E-3</v>
      </c>
      <c r="M117" s="15"/>
      <c r="N117" s="15"/>
      <c r="O117" s="15"/>
      <c r="P117" s="15"/>
    </row>
    <row r="118" spans="1:17" x14ac:dyDescent="0.35">
      <c r="E118" s="21" t="s">
        <v>35</v>
      </c>
      <c r="H118" s="10" t="s">
        <v>25</v>
      </c>
      <c r="Q118" s="14">
        <f>IF(Q116&lt;Q113,0,Q116-Q113)</f>
        <v>35311.726019479334</v>
      </c>
    </row>
    <row r="119" spans="1:17" x14ac:dyDescent="0.35">
      <c r="E119" s="21" t="s">
        <v>36</v>
      </c>
      <c r="H119" s="10" t="s">
        <v>25</v>
      </c>
      <c r="L119" s="12"/>
      <c r="Q119" s="14">
        <f>IF(Q116&lt;Q113,Q116-Q113,0)</f>
        <v>0</v>
      </c>
    </row>
    <row r="120" spans="1:17" x14ac:dyDescent="0.35">
      <c r="E120" s="53" t="s">
        <v>37</v>
      </c>
      <c r="F120" s="54"/>
      <c r="G120" s="54"/>
      <c r="H120" s="57" t="s">
        <v>20</v>
      </c>
      <c r="I120" s="55">
        <f>I110/I$11</f>
        <v>0.10729371094149409</v>
      </c>
      <c r="J120" s="55">
        <f t="shared" ref="J120:L120" si="65">J110/J$11</f>
        <v>0.11317324352904512</v>
      </c>
      <c r="K120" s="55">
        <f t="shared" si="65"/>
        <v>0.12019927745659331</v>
      </c>
      <c r="L120" s="55">
        <f t="shared" si="65"/>
        <v>0.12150963612285304</v>
      </c>
      <c r="M120" s="56" t="str">
        <f>"2015 "&amp;IF(J120&gt;L120,"&gt;","&lt;")&amp;" 2017"&amp;IF(J120&gt;L120," therefore refund is reduced, or charge is increased"," therefore refund is increased, or charge is decreased")</f>
        <v>2015 &lt; 2017 therefore refund is increased, or charge is decreased</v>
      </c>
      <c r="N120" s="54"/>
      <c r="O120" s="54"/>
    </row>
    <row r="121" spans="1:17" s="4" customFormat="1" x14ac:dyDescent="0.35">
      <c r="A121" s="6" t="s">
        <v>39</v>
      </c>
      <c r="B121" s="6"/>
      <c r="C121" s="6" t="s">
        <v>42</v>
      </c>
      <c r="D121" s="6"/>
      <c r="E121" s="6"/>
      <c r="F121" s="6"/>
      <c r="G121" s="6"/>
      <c r="H121" s="6"/>
      <c r="I121" s="6"/>
      <c r="J121" s="6"/>
      <c r="K121" s="6"/>
      <c r="L121" s="6"/>
      <c r="M121" s="1"/>
      <c r="N121" s="1"/>
      <c r="O121" s="1"/>
      <c r="P121" s="1"/>
      <c r="Q121" s="1"/>
    </row>
    <row r="122" spans="1:17" s="4" customFormat="1" x14ac:dyDescent="0.35">
      <c r="A122" s="7">
        <v>8</v>
      </c>
      <c r="B122" s="8" t="s">
        <v>10</v>
      </c>
      <c r="C122" s="7"/>
      <c r="D122" s="8" t="s">
        <v>10</v>
      </c>
      <c r="E122" s="7"/>
      <c r="F122" s="7"/>
      <c r="G122" s="7"/>
      <c r="H122" s="7"/>
      <c r="I122" s="7">
        <v>2014</v>
      </c>
      <c r="J122" s="7">
        <v>2015</v>
      </c>
      <c r="K122" s="7">
        <v>2016</v>
      </c>
      <c r="L122" s="7">
        <v>2017</v>
      </c>
      <c r="M122" s="7">
        <v>2018</v>
      </c>
      <c r="N122" s="7">
        <v>2019</v>
      </c>
      <c r="O122" s="7">
        <v>2020</v>
      </c>
      <c r="P122" s="7">
        <v>2021</v>
      </c>
      <c r="Q122" s="7" t="s">
        <v>14</v>
      </c>
    </row>
    <row r="123" spans="1:17" x14ac:dyDescent="0.35">
      <c r="A123" s="9"/>
      <c r="B123" s="9"/>
      <c r="C123" s="9"/>
      <c r="D123" s="9" t="s">
        <v>16</v>
      </c>
      <c r="E123" s="9"/>
      <c r="F123" s="9"/>
      <c r="G123" s="9"/>
      <c r="H123" s="10" t="s">
        <v>17</v>
      </c>
      <c r="I123" s="11">
        <v>197963884.63</v>
      </c>
      <c r="J123" s="11">
        <v>223153368.74000001</v>
      </c>
      <c r="K123" s="11">
        <v>280157856.67999995</v>
      </c>
      <c r="L123" s="11">
        <v>305087967.34000003</v>
      </c>
      <c r="M123" s="11">
        <v>287365141.31000006</v>
      </c>
      <c r="N123" s="11">
        <v>297581526.81</v>
      </c>
      <c r="O123" s="11">
        <v>308679299.10999995</v>
      </c>
      <c r="P123" s="11">
        <v>333009101.13</v>
      </c>
      <c r="Q123" s="14">
        <f>SUM(I123:P123)</f>
        <v>2232998145.75</v>
      </c>
    </row>
    <row r="124" spans="1:17" x14ac:dyDescent="0.35">
      <c r="A124" s="9"/>
      <c r="B124" s="9"/>
      <c r="C124" s="9"/>
      <c r="D124" s="9" t="s">
        <v>22</v>
      </c>
      <c r="E124" s="9"/>
      <c r="F124" s="9"/>
      <c r="G124" s="9"/>
      <c r="H124" s="10" t="s">
        <v>20</v>
      </c>
      <c r="I124" s="16">
        <f t="shared" ref="I124" si="66">I123/$L123</f>
        <v>0.64887476997538407</v>
      </c>
      <c r="J124" s="16">
        <f>J123/$L123</f>
        <v>0.73143942937385853</v>
      </c>
      <c r="K124" s="16">
        <f t="shared" ref="K124:L124" si="67">K123/$L123</f>
        <v>0.91828550015472377</v>
      </c>
      <c r="L124" s="16">
        <f t="shared" si="67"/>
        <v>1</v>
      </c>
      <c r="M124" s="9"/>
      <c r="N124" s="9"/>
      <c r="O124" s="9"/>
      <c r="P124" s="9"/>
    </row>
    <row r="125" spans="1:17" x14ac:dyDescent="0.35">
      <c r="A125" s="9"/>
      <c r="B125" s="9"/>
      <c r="C125" s="9"/>
      <c r="D125" s="9"/>
      <c r="E125" s="9"/>
      <c r="F125" s="9"/>
      <c r="G125" s="9"/>
      <c r="H125" s="9"/>
      <c r="I125" s="16"/>
      <c r="J125" s="16"/>
      <c r="K125" s="16"/>
      <c r="L125" s="9"/>
      <c r="M125" s="9"/>
      <c r="N125" s="9"/>
      <c r="O125" s="9"/>
      <c r="P125" s="9"/>
    </row>
    <row r="126" spans="1:17" x14ac:dyDescent="0.35">
      <c r="A126" s="9"/>
      <c r="B126" s="60" t="s">
        <v>12</v>
      </c>
      <c r="C126" s="60" t="s">
        <v>21</v>
      </c>
      <c r="D126" s="9" t="s">
        <v>24</v>
      </c>
      <c r="E126" s="9"/>
      <c r="F126" s="9"/>
      <c r="G126" s="9"/>
      <c r="H126" s="10" t="s">
        <v>25</v>
      </c>
      <c r="I126" s="14">
        <v>-116958.39503040757</v>
      </c>
      <c r="J126" s="14">
        <v>1056173.9692358561</v>
      </c>
      <c r="K126" s="14">
        <v>-210755.39483512571</v>
      </c>
      <c r="L126" s="14">
        <v>-1479977.5950142068</v>
      </c>
      <c r="M126" s="15">
        <v>1860964.8300479953</v>
      </c>
      <c r="N126" s="15">
        <v>722647.48470125522</v>
      </c>
      <c r="O126" s="15">
        <v>2172945.662539545</v>
      </c>
      <c r="P126" s="15">
        <v>-2591810.0406970726</v>
      </c>
      <c r="Q126" s="14">
        <f>SUM(I126:P126)</f>
        <v>1413230.5209478387</v>
      </c>
    </row>
    <row r="127" spans="1:17" x14ac:dyDescent="0.35">
      <c r="A127" s="9"/>
      <c r="B127" s="60"/>
      <c r="C127" s="60" t="s">
        <v>21</v>
      </c>
      <c r="D127" s="9" t="s">
        <v>38</v>
      </c>
      <c r="E127" s="9"/>
      <c r="F127" s="9"/>
      <c r="G127" s="9"/>
      <c r="H127" s="10" t="s">
        <v>20</v>
      </c>
      <c r="I127" s="19">
        <f>I$22</f>
        <v>-5.9086162260307828E-4</v>
      </c>
      <c r="J127" s="19">
        <f t="shared" ref="J127:L127" si="68">J$22</f>
        <v>4.7472793480429765E-3</v>
      </c>
      <c r="K127" s="19">
        <f t="shared" si="68"/>
        <v>-7.5214395147966961E-4</v>
      </c>
      <c r="L127" s="19">
        <f t="shared" si="68"/>
        <v>-4.8509864481167241E-3</v>
      </c>
      <c r="M127" s="15"/>
      <c r="N127" s="15"/>
      <c r="O127" s="15"/>
      <c r="P127" s="15"/>
    </row>
    <row r="128" spans="1:17" x14ac:dyDescent="0.35">
      <c r="A128" s="9"/>
      <c r="B128" s="9"/>
      <c r="C128" s="9"/>
      <c r="D128" s="9"/>
      <c r="E128" s="9"/>
      <c r="F128" s="9"/>
      <c r="G128" s="9"/>
      <c r="H128" s="10"/>
      <c r="I128" s="14"/>
      <c r="J128" s="14"/>
      <c r="K128" s="14"/>
      <c r="L128" s="14"/>
      <c r="M128" s="15"/>
      <c r="N128" s="15"/>
      <c r="O128" s="15"/>
      <c r="P128" s="15"/>
    </row>
    <row r="129" spans="1:17" x14ac:dyDescent="0.35">
      <c r="A129" s="9"/>
      <c r="B129" s="61" t="s">
        <v>12</v>
      </c>
      <c r="C129" s="61" t="s">
        <v>30</v>
      </c>
      <c r="D129" s="32" t="s">
        <v>24</v>
      </c>
      <c r="E129" s="32"/>
      <c r="F129" s="32"/>
      <c r="G129" s="32"/>
      <c r="H129" s="33" t="s">
        <v>25</v>
      </c>
      <c r="I129" s="34">
        <v>0</v>
      </c>
      <c r="J129" s="34">
        <v>0</v>
      </c>
      <c r="K129" s="34">
        <v>0</v>
      </c>
      <c r="L129" s="34">
        <v>-724954.9484520487</v>
      </c>
      <c r="M129" s="15">
        <v>1860964.8300479953</v>
      </c>
      <c r="N129" s="15">
        <v>722647.48470125522</v>
      </c>
      <c r="O129" s="15">
        <v>2172945.662539545</v>
      </c>
      <c r="P129" s="15">
        <v>-2591810.0406970726</v>
      </c>
      <c r="Q129" s="25">
        <f>SUM(I129:P129)</f>
        <v>1439792.9881396741</v>
      </c>
    </row>
    <row r="130" spans="1:17" x14ac:dyDescent="0.35">
      <c r="A130" s="9"/>
      <c r="B130" s="61"/>
      <c r="C130" s="61" t="s">
        <v>30</v>
      </c>
      <c r="D130" s="35" t="s">
        <v>38</v>
      </c>
      <c r="E130" s="35"/>
      <c r="F130" s="35"/>
      <c r="G130" s="35"/>
      <c r="H130" s="36" t="s">
        <v>20</v>
      </c>
      <c r="I130" s="28">
        <f>I$27</f>
        <v>5.9086162260307828E-4</v>
      </c>
      <c r="J130" s="28">
        <f t="shared" ref="J130:L130" si="69">J$27</f>
        <v>-4.7472793480429765E-3</v>
      </c>
      <c r="K130" s="28">
        <f t="shared" si="69"/>
        <v>7.5214395147966961E-4</v>
      </c>
      <c r="L130" s="28">
        <f t="shared" si="69"/>
        <v>2.5232170365165341E-3</v>
      </c>
      <c r="M130" s="15"/>
      <c r="N130" s="15"/>
      <c r="O130" s="15"/>
      <c r="P130" s="15"/>
    </row>
    <row r="131" spans="1:17" x14ac:dyDescent="0.35">
      <c r="E131" s="21" t="s">
        <v>35</v>
      </c>
      <c r="H131" s="10" t="s">
        <v>25</v>
      </c>
      <c r="Q131" s="14">
        <f>IF(Q129&lt;Q126,0,Q129-Q126)</f>
        <v>26562.4671918354</v>
      </c>
    </row>
    <row r="132" spans="1:17" x14ac:dyDescent="0.35">
      <c r="E132" s="21" t="s">
        <v>36</v>
      </c>
      <c r="H132" s="10" t="s">
        <v>25</v>
      </c>
      <c r="L132" s="12"/>
      <c r="Q132" s="14">
        <f>IF(Q129&lt;Q126,Q129-Q126,0)</f>
        <v>0</v>
      </c>
    </row>
    <row r="133" spans="1:17" x14ac:dyDescent="0.35">
      <c r="E133" s="53" t="s">
        <v>37</v>
      </c>
      <c r="F133" s="54"/>
      <c r="G133" s="54"/>
      <c r="H133" s="57" t="s">
        <v>20</v>
      </c>
      <c r="I133" s="55">
        <f>I123/I$11</f>
        <v>0.15209558545439761</v>
      </c>
      <c r="J133" s="55">
        <f t="shared" ref="J133:L133" si="70">J123/J$11</f>
        <v>0.15801720767453037</v>
      </c>
      <c r="K133" s="55">
        <f t="shared" si="70"/>
        <v>0.16271262878878429</v>
      </c>
      <c r="L133" s="55">
        <f t="shared" si="70"/>
        <v>0.16590360019432665</v>
      </c>
      <c r="M133" s="56" t="str">
        <f>"2015 "&amp;IF(J133&gt;L133,"&gt;","&lt;")&amp;" 2017"&amp;IF(J133&gt;L133," therefore refund is reduced, or charge is increased"," therefore refund is increased, or charge is decreased")</f>
        <v>2015 &lt; 2017 therefore refund is increased, or charge is decreased</v>
      </c>
      <c r="N133" s="54"/>
      <c r="O133" s="54"/>
    </row>
  </sheetData>
  <mergeCells count="38">
    <mergeCell ref="B129:B130"/>
    <mergeCell ref="C129:C130"/>
    <mergeCell ref="B113:B114"/>
    <mergeCell ref="C113:C114"/>
    <mergeCell ref="B116:B117"/>
    <mergeCell ref="C116:C117"/>
    <mergeCell ref="B126:B127"/>
    <mergeCell ref="C126:C127"/>
    <mergeCell ref="B90:B91"/>
    <mergeCell ref="C90:C91"/>
    <mergeCell ref="B100:B101"/>
    <mergeCell ref="C100:C101"/>
    <mergeCell ref="B103:B104"/>
    <mergeCell ref="C103:C104"/>
    <mergeCell ref="B74:B75"/>
    <mergeCell ref="C74:C75"/>
    <mergeCell ref="B77:B78"/>
    <mergeCell ref="C77:C78"/>
    <mergeCell ref="B87:B88"/>
    <mergeCell ref="C87:C88"/>
    <mergeCell ref="B51:B52"/>
    <mergeCell ref="C51:C52"/>
    <mergeCell ref="B61:B62"/>
    <mergeCell ref="C61:C62"/>
    <mergeCell ref="B64:B65"/>
    <mergeCell ref="C64:C65"/>
    <mergeCell ref="B35:B36"/>
    <mergeCell ref="C35:C36"/>
    <mergeCell ref="B38:B39"/>
    <mergeCell ref="C38:C39"/>
    <mergeCell ref="B48:B49"/>
    <mergeCell ref="C48:C49"/>
    <mergeCell ref="I9:P9"/>
    <mergeCell ref="B11:B13"/>
    <mergeCell ref="B16:B22"/>
    <mergeCell ref="C16:C22"/>
    <mergeCell ref="B24:B27"/>
    <mergeCell ref="C24:C27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Tariff Document" ma:contentTypeID="0x010100F0E8FBDC6DD87E4D98B4C26689EB5DAB010300630C6533C07B0645B9839959E5FB7A07" ma:contentTypeVersion="79" ma:contentTypeDescription="" ma:contentTypeScope="" ma:versionID="ec7abf6099d8c330cb92da2546f46821">
  <xsd:schema xmlns:xsd="http://www.w3.org/2001/XMLSchema" xmlns:xs="http://www.w3.org/2001/XMLSchema" xmlns:p="http://schemas.microsoft.com/office/2006/metadata/properties" xmlns:ns2="f6fe1e25-11e1-4e26-9b89-bdb29b4c4011" xmlns:ns3="38d0fe5b-0f48-419e-8584-f6021dd4db26" targetNamespace="http://schemas.microsoft.com/office/2006/metadata/properties" ma:root="true" ma:fieldsID="e5aebf8c598d4494199e54716673339f" ns2:_="" ns3:_="">
    <xsd:import namespace="f6fe1e25-11e1-4e26-9b89-bdb29b4c4011"/>
    <xsd:import namespace="38d0fe5b-0f48-419e-8584-f6021dd4db26"/>
    <xsd:element name="properties">
      <xsd:complexType>
        <xsd:sequence>
          <xsd:element name="documentManagement">
            <xsd:complexType>
              <xsd:all>
                <xsd:element ref="ns2:Activity_x0020_Complete_x0020_Date" minOccurs="0"/>
                <xsd:element ref="ns2:LARA_x0020_Status" minOccurs="0"/>
                <xsd:element ref="ns2:Filing_x0020_Date" minOccurs="0"/>
                <xsd:element ref="ns2:CWRMItemRecordState" minOccurs="0"/>
                <xsd:element ref="ns2:CWRMItemRecordCategory" minOccurs="0"/>
                <xsd:element ref="ns2:TaxCatchAll" minOccurs="0"/>
                <xsd:element ref="ns2:CWRMItemRecordStatus" minOccurs="0"/>
                <xsd:element ref="ns2:CWRMItemRecordDeclaredDate" minOccurs="0"/>
                <xsd:element ref="ns2:CWRMItemRecordVital" minOccurs="0"/>
                <xsd:element ref="ns2:CWRMItemRecordData" minOccurs="0"/>
                <xsd:element ref="ns2:CWRMItemUniqueId" minOccurs="0"/>
                <xsd:element ref="ns2:SharedWithUsers" minOccurs="0"/>
                <xsd:element ref="ns2:SharedWithDetails" minOccurs="0"/>
                <xsd:element ref="ns2:e94be97ffb024deb9c3d6d978a059d35" minOccurs="0"/>
                <xsd:element ref="ns2:TaxCatchAllLabel" minOccurs="0"/>
                <xsd:element ref="ns2:fdc7710463144dc19a8992998d0907da" minOccurs="0"/>
                <xsd:element ref="ns2:o74c417c636446b2936ee46a3b1dd71d" minOccurs="0"/>
                <xsd:element ref="ns3:MediaServiceMetadata" minOccurs="0"/>
                <xsd:element ref="ns3:MediaServiceFastMetadata" minOccurs="0"/>
                <xsd:element ref="ns2:_ip_UnifiedCompliancePolicyProperties" minOccurs="0"/>
                <xsd:element ref="ns2:_ip_UnifiedCompliancePolicyUIAction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2:_dlc_DocId" minOccurs="0"/>
                <xsd:element ref="ns2:_dlc_DocIdUrl" minOccurs="0"/>
                <xsd:element ref="ns2:_dlc_DocIdPersistId" minOccurs="0"/>
                <xsd:element ref="ns3:MediaServiceDateTaken" minOccurs="0"/>
                <xsd:element ref="ns3:MediaServiceLocati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fe1e25-11e1-4e26-9b89-bdb29b4c4011" elementFormDefault="qualified">
    <xsd:import namespace="http://schemas.microsoft.com/office/2006/documentManagement/types"/>
    <xsd:import namespace="http://schemas.microsoft.com/office/infopath/2007/PartnerControls"/>
    <xsd:element name="Activity_x0020_Complete_x0020_Date" ma:index="2" nillable="true" ma:displayName="Activity Complete Date" ma:description="Example: 02/23/2020" ma:format="DateOnly" ma:internalName="Activity_x0020_Complete_x0020_Date" ma:readOnly="false">
      <xsd:simpleType>
        <xsd:restriction base="dms:DateTime"/>
      </xsd:simpleType>
    </xsd:element>
    <xsd:element name="LARA_x0020_Status" ma:index="5" nillable="true" ma:displayName="LARA Status" ma:default="Active" ma:format="Dropdown" ma:internalName="LARA_x0020_Status" ma:readOnly="false">
      <xsd:simpleType>
        <xsd:restriction base="dms:Choice">
          <xsd:enumeration value="Active"/>
          <xsd:enumeration value="Inactive"/>
        </xsd:restriction>
      </xsd:simpleType>
    </xsd:element>
    <xsd:element name="Filing_x0020_Date" ma:index="6" nillable="true" ma:displayName="AUC Registration Date" ma:format="DateOnly" ma:internalName="Filing_x0020_Date" ma:readOnly="false">
      <xsd:simpleType>
        <xsd:restriction base="dms:DateTime"/>
      </xsd:simpleType>
    </xsd:element>
    <xsd:element name="CWRMItemRecordState" ma:index="7" nillable="true" ma:displayName="Record State" ma:description="The current state of this item as it pertains to records management." ma:internalName="CWRMItemRecordState" ma:readOnly="true">
      <xsd:simpleType>
        <xsd:restriction base="dms:Text"/>
      </xsd:simpleType>
    </xsd:element>
    <xsd:element name="CWRMItemRecordCategory" ma:index="8" nillable="true" ma:displayName="Record Category" ma:description="Identifies the current record category for the item." ma:internalName="CWRMItemRecordCategory" ma:readOnly="true">
      <xsd:simpleType>
        <xsd:restriction base="dms:Text"/>
      </xsd:simpleType>
    </xsd:element>
    <xsd:element name="TaxCatchAll" ma:index="9" nillable="true" ma:displayName="Taxonomy Catch All Column" ma:hidden="true" ma:list="{0d6a8663-176b-4e4a-bd5f-b49ea1c63f03}" ma:internalName="TaxCatchAll" ma:readOnly="false" ma:showField="CatchAllData" ma:web="f6fe1e25-11e1-4e26-9b89-bdb29b4c40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WRMItemRecordStatus" ma:index="11" nillable="true" ma:displayName="Record Status" ma:description="The current status of this item as it pertains to records management." ma:internalName="CWRMItemRecordStatus" ma:readOnly="true">
      <xsd:simpleType>
        <xsd:restriction base="dms:Text"/>
      </xsd:simpleType>
    </xsd:element>
    <xsd:element name="CWRMItemRecordDeclaredDate" ma:index="12" nillable="true" ma:displayName="Record Declared Date" ma:description="The date and time that the item was declared a record." ma:format="DateTime" ma:internalName="CWRMItemRecordDeclaredDate" ma:readOnly="true">
      <xsd:simpleType>
        <xsd:restriction base="dms:DateTime"/>
      </xsd:simpleType>
    </xsd:element>
    <xsd:element name="CWRMItemRecordVital" ma:index="13" nillable="true" ma:displayName="Record Vital" ma:description="Indicates if this item is considered vital to the organization." ma:internalName="CWRMItemRecordVital" ma:readOnly="true">
      <xsd:simpleType>
        <xsd:restriction base="dms:Boolean"/>
      </xsd:simpleType>
    </xsd:element>
    <xsd:element name="CWRMItemRecordData" ma:index="14" nillable="true" ma:displayName="Record Data" ma:description="Contains system specific record data for the item." ma:hidden="true" ma:internalName="CWRMItemRecordData" ma:readOnly="false">
      <xsd:simpleType>
        <xsd:restriction base="dms:Note"/>
      </xsd:simpleType>
    </xsd:element>
    <xsd:element name="CWRMItemUniqueId" ma:index="19" nillable="true" ma:displayName="Content ID" ma:description="A universally unique identifier assigned to the item." ma:internalName="CWRMItemUniqueId" ma:readOnly="true">
      <xsd:simpleType>
        <xsd:restriction base="dms:Text"/>
      </xsd:simpleType>
    </xsd:element>
    <xsd:element name="SharedWithUsers" ma:index="22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e94be97ffb024deb9c3d6d978a059d35" ma:index="24" nillable="true" ma:taxonomy="true" ma:internalName="CWRMItemRecordClassificationTaxHTField0" ma:taxonomyFieldName="CWRMItemRecordClassification" ma:displayName="Record Classification" ma:readOnly="false" ma:fieldId="{e94be97f-fb02-4deb-9c3d-6d978a059d35}" ma:sspId="3faea631-0b04-4e0a-a5a6-8cc3f73a1699" ma:termSetId="cdfcbdf3-8cad-4f84-bedc-a05c42b6c04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25" nillable="true" ma:displayName="Taxonomy Catch All Column1" ma:hidden="true" ma:list="{0d6a8663-176b-4e4a-bd5f-b49ea1c63f03}" ma:internalName="TaxCatchAllLabel" ma:readOnly="false" ma:showField="CatchAllDataLabel" ma:web="f6fe1e25-11e1-4e26-9b89-bdb29b4c40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fdc7710463144dc19a8992998d0907da" ma:index="26" nillable="true" ma:taxonomy="true" ma:internalName="fdc7710463144dc19a8992998d0907da" ma:taxonomyFieldName="Confidentiality_x0020_Classification" ma:displayName="Confidentiality Classification" ma:readOnly="false" ma:default="-1;#AESO Internal|fe2129cc-e616-4c1e-9a39-b6921e014562" ma:fieldId="{fdc77104-6314-4dc1-9a89-92998d0907da}" ma:sspId="3faea631-0b04-4e0a-a5a6-8cc3f73a1699" ma:termSetId="86da2f9e-e637-434c-a22c-d8de590d1e9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74c417c636446b2936ee46a3b1dd71d" ma:index="27" nillable="true" ma:taxonomy="true" ma:internalName="o74c417c636446b2936ee46a3b1dd71d" ma:taxonomyFieldName="LARA_x0020_Category0" ma:displayName="LARA Category" ma:readOnly="false" ma:fieldId="{874c417c-6364-46b2-936e-e46a3b1dd71d}" ma:sspId="3faea631-0b04-4e0a-a5a6-8cc3f73a1699" ma:termSetId="2637bfa7-984d-4f49-a627-0ad3095dbdc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ip_UnifiedCompliancePolicyProperties" ma:index="30" nillable="true" ma:displayName="Unified Compliance Policy Properties" ma:internalName="_ip_UnifiedCompliancePolicyProperties" ma:readOnly="false">
      <xsd:simpleType>
        <xsd:restriction base="dms:Note"/>
      </xsd:simpleType>
    </xsd:element>
    <xsd:element name="_ip_UnifiedCompliancePolicyUIAction" ma:index="31" nillable="true" ma:displayName="Unified Compliance Policy UI Action" ma:hidden="true" ma:internalName="_ip_UnifiedCompliancePolicyUIAction" ma:readOnly="false">
      <xsd:simpleType>
        <xsd:restriction base="dms:Text"/>
      </xsd:simpleType>
    </xsd:element>
    <xsd:element name="_dlc_DocId" ma:index="37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3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39" nillable="true" ma:displayName="Persist ID" ma:description="Keep ID on add." ma:hidden="true" ma:internalName="_dlc_DocIdPersistId" ma:readOnly="fals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d0fe5b-0f48-419e-8584-f6021dd4db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33" nillable="true" ma:taxonomy="true" ma:internalName="lcf76f155ced4ddcb4097134ff3c332f" ma:taxonomyFieldName="MediaServiceImageTags" ma:displayName="Image Tags" ma:readOnly="false" ma:fieldId="{5cf76f15-5ced-4ddc-b409-7134ff3c332f}" ma:taxonomyMulti="true" ma:sspId="3faea631-0b04-4e0a-a5a6-8cc3f73a169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4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41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4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f6fe1e25-11e1-4e26-9b89-bdb29b4c4011" xsi:nil="true"/>
    <_ip_UnifiedCompliancePolicyProperties xmlns="f6fe1e25-11e1-4e26-9b89-bdb29b4c4011" xsi:nil="true"/>
    <fdc7710463144dc19a8992998d0907da xmlns="f6fe1e25-11e1-4e26-9b89-bdb29b4c4011">
      <Terms xmlns="http://schemas.microsoft.com/office/infopath/2007/PartnerControls">
        <TermInfo xmlns="http://schemas.microsoft.com/office/infopath/2007/PartnerControls">
          <TermName xmlns="http://schemas.microsoft.com/office/infopath/2007/PartnerControls">AESO Internal</TermName>
          <TermId xmlns="http://schemas.microsoft.com/office/infopath/2007/PartnerControls">fe2129cc-e616-4c1e-9a39-b6921e014562</TermId>
        </TermInfo>
      </Terms>
    </fdc7710463144dc19a8992998d0907da>
    <Activity_x0020_Complete_x0020_Date xmlns="f6fe1e25-11e1-4e26-9b89-bdb29b4c4011" xsi:nil="true"/>
    <CWRMItemRecordData xmlns="f6fe1e25-11e1-4e26-9b89-bdb29b4c4011" xsi:nil="true"/>
    <LARA_x0020_Status xmlns="f6fe1e25-11e1-4e26-9b89-bdb29b4c4011">Active</LARA_x0020_Status>
    <TaxCatchAllLabel xmlns="f6fe1e25-11e1-4e26-9b89-bdb29b4c4011" xsi:nil="true"/>
    <Filing_x0020_Date xmlns="f6fe1e25-11e1-4e26-9b89-bdb29b4c4011" xsi:nil="true"/>
    <_dlc_DocIdPersistId xmlns="f6fe1e25-11e1-4e26-9b89-bdb29b4c4011" xsi:nil="true"/>
    <TaxCatchAll xmlns="f6fe1e25-11e1-4e26-9b89-bdb29b4c4011">
      <Value>2</Value>
      <Value>16</Value>
    </TaxCatchAll>
    <lcf76f155ced4ddcb4097134ff3c332f xmlns="38d0fe5b-0f48-419e-8584-f6021dd4db26">
      <Terms xmlns="http://schemas.microsoft.com/office/infopath/2007/PartnerControls"/>
    </lcf76f155ced4ddcb4097134ff3c332f>
    <o74c417c636446b2936ee46a3b1dd71d xmlns="f6fe1e25-11e1-4e26-9b89-bdb29b4c4011">
      <Terms xmlns="http://schemas.microsoft.com/office/infopath/2007/PartnerControls">
        <TermInfo xmlns="http://schemas.microsoft.com/office/infopath/2007/PartnerControls">
          <TermName xmlns="http://schemas.microsoft.com/office/infopath/2007/PartnerControls">Applications</TermName>
          <TermId xmlns="http://schemas.microsoft.com/office/infopath/2007/PartnerControls">c658717d-8430-44ce-8a58-d7dd4c19296a</TermId>
        </TermInfo>
      </Terms>
    </o74c417c636446b2936ee46a3b1dd71d>
    <e94be97ffb024deb9c3d6d978a059d35 xmlns="f6fe1e25-11e1-4e26-9b89-bdb29b4c4011">
      <Terms xmlns="http://schemas.microsoft.com/office/infopath/2007/PartnerControls"/>
    </e94be97ffb024deb9c3d6d978a059d35>
    <_dlc_DocId xmlns="f6fe1e25-11e1-4e26-9b89-bdb29b4c4011">WPVA353K5JT4-892273271-9415</_dlc_DocId>
    <_dlc_DocIdUrl xmlns="f6fe1e25-11e1-4e26-9b89-bdb29b4c4011">
      <Url>https://aeso.sharepoint.com/sites/CS-DEPT-LAW-LARA/_layouts/15/DocIdRedir.aspx?ID=WPVA353K5JT4-892273271-9415</Url>
      <Description>WPVA353K5JT4-892273271-9415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CEE792-4275-4F91-8E14-9AC95DCCE432}"/>
</file>

<file path=customXml/itemProps2.xml><?xml version="1.0" encoding="utf-8"?>
<ds:datastoreItem xmlns:ds="http://schemas.openxmlformats.org/officeDocument/2006/customXml" ds:itemID="{76C96601-E6AE-4071-AC03-A6B339AA40F0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729D78F5-D23C-493C-AC8D-870248059A56}">
  <ds:schemaRefs>
    <ds:schemaRef ds:uri="http://www.w3.org/XML/1998/namespace"/>
    <ds:schemaRef ds:uri="f6fe1e25-11e1-4e26-9b89-bdb29b4c4011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38d0fe5b-0f48-419e-8584-f6021dd4db26"/>
    <ds:schemaRef ds:uri="http://schemas.microsoft.com/office/2006/metadata/properties"/>
    <ds:schemaRef ds:uri="http://purl.org/dc/dcmitype/"/>
    <ds:schemaRef ds:uri="http://purl.org/dc/terms/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AEC83315-D6F2-4FB9-B85B-52B37DDCC269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854f2212-fe43-4578-b841-38c95b77cb60}" enabled="1" method="Privileged" siteId="{9869aa0d-ebba-4f8c-9399-7dff7665b1d1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Theoretical &amp; DFO Sites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LaRhonda Papworth</dc:creator>
  <cp:keywords/>
  <dc:description/>
  <cp:lastModifiedBy>Justin Legue</cp:lastModifiedBy>
  <cp:revision/>
  <dcterms:created xsi:type="dcterms:W3CDTF">2023-06-22T14:36:36Z</dcterms:created>
  <dcterms:modified xsi:type="dcterms:W3CDTF">2023-06-29T19:50:47Z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0x010100F0E8FBDC6DD87E4D98B4C26689EB5DAB010300630C6533C07B0645B9839959E5FB7A07</vt:lpwstr>
  </property>
  <property fmtid="{D5CDD505-2E9C-101B-9397-08002B2CF9AE}" pid="3" name="MediaServiceImageTags">
    <vt:lpwstr/>
  </property>
  <property fmtid="{D5CDD505-2E9C-101B-9397-08002B2CF9AE}" pid="4" name="Confidentiality Classification">
    <vt:lpwstr>2</vt:lpwstr>
  </property>
  <property fmtid="{D5CDD505-2E9C-101B-9397-08002B2CF9AE}" pid="5" name="LARA Category0">
    <vt:lpwstr>16</vt:lpwstr>
  </property>
  <property fmtid="{D5CDD505-2E9C-101B-9397-08002B2CF9AE}" pid="6" name="_dlc_DocIdItemGuid">
    <vt:lpwstr>0a8df3ff-867e-4131-8820-4e0f54e9982c</vt:lpwstr>
  </property>
  <property fmtid="{D5CDD505-2E9C-101B-9397-08002B2CF9AE}" pid="8" name="_docset_NoMedatataSyncRequired">
    <vt:lpwstr>False</vt:lpwstr>
  </property>
</Properties>
</file>