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always" codeName="ThisWorkbook" defaultThemeVersion="124226"/>
  <xr:revisionPtr revIDLastSave="0" documentId="13_ncr:1_{726F16CA-482D-4171-B512-445B01C5FE87}" xr6:coauthVersionLast="47" xr6:coauthVersionMax="47" xr10:uidLastSave="{00000000-0000-0000-0000-000000000000}"/>
  <bookViews>
    <workbookView xWindow="-120" yWindow="-120" windowWidth="29040" windowHeight="15840" tabRatio="859" xr2:uid="{00000000-000D-0000-FFFF-FFFF00000000}"/>
  </bookViews>
  <sheets>
    <sheet name="Contents" sheetId="64" r:id="rId1"/>
    <sheet name="B-1 Rev Req" sheetId="57" r:id="rId2"/>
    <sheet name="B-2 TFO Rev Req" sheetId="65" r:id="rId3"/>
    <sheet name="B-3 Allocation" sheetId="23" r:id="rId4"/>
    <sheet name="B-4 Offsets" sheetId="24" r:id="rId5"/>
    <sheet name="B-5 DTS Classification" sheetId="25" r:id="rId6"/>
    <sheet name="B-6 POD Classification" sheetId="26" r:id="rId7"/>
    <sheet name="B-7 DTS Costs" sheetId="27" r:id="rId8"/>
    <sheet name="B-8 DTS Rate" sheetId="28" r:id="rId9"/>
    <sheet name="B-9 STS Classification" sheetId="29" r:id="rId10"/>
    <sheet name="B-10 STS Rate" sheetId="30" r:id="rId11"/>
    <sheet name="B-11 Other Rates" sheetId="31" r:id="rId12"/>
    <sheet name="B-12 Determinants" sheetId="32" r:id="rId13"/>
    <sheet name="B-13 Impact" sheetId="33" r:id="rId14"/>
    <sheet name="B-14 FTS Rate" sheetId="34" r:id="rId15"/>
    <sheet name="B-15 FTS Determinants" sheetId="35" r:id="rId16"/>
    <sheet name="B-16 Bill Estimator" sheetId="60" r:id="rId17"/>
  </sheets>
  <definedNames>
    <definedName name="Applicant">"Alberta Electric System Operator"</definedName>
    <definedName name="Application">"2024 ISO Tariff Update Application"</definedName>
    <definedName name="ApplicationSection">"Appendix B — 2024 Rate Calculations"</definedName>
    <definedName name="_xlnm.Print_Area" localSheetId="1">'B-1 Rev Req'!$A$1:$L$94</definedName>
    <definedName name="_xlnm.Print_Area" localSheetId="10">'B-10 STS Rate'!$A$1:$U$19</definedName>
    <definedName name="_xlnm.Print_Area" localSheetId="11">'B-11 Other Rates'!$A$1:$T$34</definedName>
    <definedName name="_xlnm.Print_Area" localSheetId="12">'B-12 Determinants'!$A$1:$K$27</definedName>
    <definedName name="_xlnm.Print_Area" localSheetId="13">'B-13 Impact'!$A$1:$R$37</definedName>
    <definedName name="_xlnm.Print_Area" localSheetId="14">'B-14 FTS Rate'!$A$1:$Q$38</definedName>
    <definedName name="_xlnm.Print_Area" localSheetId="15">'B-15 FTS Determinants'!$A$1:$G$17</definedName>
    <definedName name="_xlnm.Print_Area" localSheetId="16">'B-16 Bill Estimator'!$A$1:$H$95</definedName>
    <definedName name="_xlnm.Print_Area" localSheetId="2">'B-2 TFO Rev Req'!$A$1:$M$27</definedName>
    <definedName name="_xlnm.Print_Area" localSheetId="3">'B-3 Allocation'!$A$1:$P$37</definedName>
    <definedName name="_xlnm.Print_Area" localSheetId="4">'B-4 Offsets'!$A$1:$O$41</definedName>
    <definedName name="_xlnm.Print_Area" localSheetId="5">'B-5 DTS Classification'!$A$1:$Z$34</definedName>
    <definedName name="_xlnm.Print_Area" localSheetId="6">'B-6 POD Classification'!$A$1:$U$24</definedName>
    <definedName name="_xlnm.Print_Area" localSheetId="7">'B-7 DTS Costs'!$A$1:$X$34</definedName>
    <definedName name="_xlnm.Print_Area" localSheetId="8">'B-8 DTS Rate'!$A$1:$U$36</definedName>
    <definedName name="_xlnm.Print_Area" localSheetId="9">'B-9 STS Classification'!$A$1:$Z$33</definedName>
    <definedName name="_xlnm.Print_Area" localSheetId="0">Contents!$A$1:$B$27</definedName>
    <definedName name="_xlnm.Print_Titles" localSheetId="1">'B-1 Rev Req'!$9:$13</definedName>
    <definedName name="_xlnm.Print_Titles" localSheetId="16">'B-16 Bill Estimator'!$1:$8</definedName>
    <definedName name="TableDate">"November 16, 2023"</definedName>
    <definedName name="TableGroup1">"Appendix B — 2024 Rate Calculations"</definedName>
    <definedName name="TablePrefix">"Table "</definedName>
    <definedName name="TableSuffix">""</definedName>
    <definedName name="TotalPages">"1"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27" l="1"/>
  <c r="C32" i="27"/>
  <c r="A32" i="27"/>
  <c r="A33" i="27"/>
  <c r="A34" i="27" s="1"/>
  <c r="A24" i="25"/>
  <c r="A25" i="25" s="1"/>
  <c r="O23" i="23"/>
  <c r="H23" i="23"/>
  <c r="L23" i="23" s="1"/>
  <c r="F24" i="25" s="1"/>
  <c r="A23" i="23"/>
  <c r="A24" i="23" s="1"/>
  <c r="A59" i="57"/>
  <c r="A58" i="57"/>
  <c r="V24" i="25" l="1"/>
  <c r="R32" i="27" s="1"/>
  <c r="Y24" i="25"/>
  <c r="Z24" i="25" s="1"/>
  <c r="U32" i="27" s="1"/>
  <c r="N24" i="25"/>
  <c r="L32" i="27" s="1"/>
  <c r="J24" i="25"/>
  <c r="I32" i="27" s="1"/>
  <c r="P23" i="23"/>
  <c r="X32" i="27" l="1"/>
  <c r="I19" i="57"/>
  <c r="I30" i="57" s="1"/>
  <c r="I36" i="57" s="1"/>
  <c r="H35" i="57"/>
  <c r="H27" i="57"/>
  <c r="K19" i="65" l="1"/>
  <c r="L19" i="65" s="1"/>
  <c r="M19" i="65" s="1"/>
  <c r="H26" i="57" s="1"/>
  <c r="K18" i="65"/>
  <c r="L18" i="65" s="1"/>
  <c r="M18" i="65" s="1"/>
  <c r="H25" i="57" s="1"/>
  <c r="K11" i="65"/>
  <c r="L11" i="65" s="1"/>
  <c r="M11" i="65" s="1"/>
  <c r="H16" i="57" s="1"/>
  <c r="M14" i="65"/>
  <c r="H21" i="57" s="1"/>
  <c r="M13" i="65"/>
  <c r="H20" i="57" s="1"/>
  <c r="M12" i="65"/>
  <c r="H17" i="57" s="1"/>
  <c r="H19" i="57" s="1"/>
  <c r="Q39" i="24" l="1"/>
  <c r="I67" i="57" l="1"/>
  <c r="H67" i="57"/>
  <c r="H19" i="23"/>
  <c r="H20" i="23"/>
  <c r="H21" i="23"/>
  <c r="H22" i="23"/>
  <c r="H24" i="23"/>
  <c r="H25" i="23"/>
  <c r="H26" i="23"/>
  <c r="K88" i="57"/>
  <c r="K82" i="57"/>
  <c r="K73" i="57"/>
  <c r="K67" i="57"/>
  <c r="K62" i="57"/>
  <c r="K49" i="57"/>
  <c r="K44" i="57"/>
  <c r="K35" i="57"/>
  <c r="J35" i="57"/>
  <c r="K19" i="57"/>
  <c r="K30" i="57" s="1"/>
  <c r="H49" i="57" l="1"/>
  <c r="H28" i="23"/>
  <c r="H82" i="57"/>
  <c r="H73" i="57"/>
  <c r="H29" i="23"/>
  <c r="H88" i="57"/>
  <c r="H62" i="57"/>
  <c r="H44" i="57"/>
  <c r="K89" i="57"/>
  <c r="K91" i="57" s="1"/>
  <c r="K51" i="57"/>
  <c r="K63" i="57" s="1"/>
  <c r="K36" i="57"/>
  <c r="H51" i="57" l="1"/>
  <c r="H89" i="57"/>
  <c r="H30" i="23" s="1"/>
  <c r="K93" i="57"/>
  <c r="M21" i="65"/>
  <c r="H29" i="57" s="1"/>
  <c r="M17" i="65"/>
  <c r="H24" i="57" s="1"/>
  <c r="M16" i="65"/>
  <c r="H23" i="57" s="1"/>
  <c r="M15" i="65"/>
  <c r="H22" i="57" s="1"/>
  <c r="H30" i="57" l="1"/>
  <c r="H36" i="57" s="1"/>
  <c r="H15" i="23" s="1"/>
  <c r="H17" i="23"/>
  <c r="H63" i="57"/>
  <c r="H91" i="57"/>
  <c r="J88" i="57"/>
  <c r="J82" i="57"/>
  <c r="J73" i="57"/>
  <c r="J67" i="57"/>
  <c r="J62" i="57"/>
  <c r="J49" i="57"/>
  <c r="J44" i="57"/>
  <c r="J19" i="57"/>
  <c r="J30" i="57" s="1"/>
  <c r="J36" i="57" s="1"/>
  <c r="H93" i="57" l="1"/>
  <c r="J89" i="57"/>
  <c r="J91" i="57" s="1"/>
  <c r="J51" i="57"/>
  <c r="J63" i="57" s="1"/>
  <c r="J93" i="57" l="1"/>
  <c r="A4" i="23"/>
  <c r="A4" i="24"/>
  <c r="A4" i="25"/>
  <c r="A4" i="26"/>
  <c r="A4" i="27"/>
  <c r="A4" i="28"/>
  <c r="A4" i="29"/>
  <c r="A4" i="30"/>
  <c r="A4" i="31"/>
  <c r="A4" i="33"/>
  <c r="A4" i="34"/>
  <c r="A4" i="35"/>
  <c r="D4" i="60"/>
  <c r="A4" i="32"/>
  <c r="I82" i="57" l="1"/>
  <c r="I12" i="26" l="1"/>
  <c r="A2" i="60" l="1"/>
  <c r="F15" i="23" l="1"/>
  <c r="Q12" i="24" l="1"/>
  <c r="F15" i="35" l="1"/>
  <c r="I44" i="57" l="1"/>
  <c r="I49" i="57"/>
  <c r="I51" i="57" l="1"/>
  <c r="X17" i="27"/>
  <c r="C31" i="27" l="1"/>
  <c r="Q26" i="25" l="1"/>
  <c r="I26" i="25"/>
  <c r="Q28" i="24" l="1"/>
  <c r="I73" i="57" l="1"/>
  <c r="I88" i="57"/>
  <c r="I89" i="57" s="1"/>
  <c r="I91" i="57" l="1"/>
  <c r="R28" i="24"/>
  <c r="R19" i="24"/>
  <c r="Q18" i="24"/>
  <c r="R18" i="24" s="1"/>
  <c r="R12" i="24"/>
  <c r="L12" i="26" l="1"/>
  <c r="I16" i="26" s="1"/>
  <c r="D88" i="60"/>
  <c r="F40" i="24" l="1"/>
  <c r="I12" i="24" l="1"/>
  <c r="F30" i="60" l="1"/>
  <c r="L40" i="24"/>
  <c r="N20" i="34"/>
  <c r="A16" i="26"/>
  <c r="A17" i="26" s="1"/>
  <c r="A18" i="26" s="1"/>
  <c r="A19" i="26" s="1"/>
  <c r="O27" i="28"/>
  <c r="L26" i="23"/>
  <c r="F27" i="25" s="1"/>
  <c r="V27" i="25" s="1"/>
  <c r="I13" i="24"/>
  <c r="I14" i="24"/>
  <c r="I15" i="24"/>
  <c r="I16" i="24"/>
  <c r="I17" i="24"/>
  <c r="I18" i="24"/>
  <c r="I19" i="24"/>
  <c r="I20" i="24"/>
  <c r="I26" i="24"/>
  <c r="I28" i="24"/>
  <c r="M1" i="65"/>
  <c r="L1" i="57"/>
  <c r="O25" i="23"/>
  <c r="L25" i="23"/>
  <c r="F26" i="25" s="1"/>
  <c r="J26" i="25" s="1"/>
  <c r="O1" i="24"/>
  <c r="L39" i="24"/>
  <c r="L29" i="24"/>
  <c r="K38" i="24"/>
  <c r="L38" i="24" s="1"/>
  <c r="K37" i="24"/>
  <c r="L37" i="24" s="1"/>
  <c r="K36" i="24"/>
  <c r="L36" i="24" s="1"/>
  <c r="K34" i="24"/>
  <c r="L34" i="24" s="1"/>
  <c r="K33" i="24"/>
  <c r="L33" i="24" s="1"/>
  <c r="H2" i="60"/>
  <c r="H1" i="60"/>
  <c r="A1" i="60"/>
  <c r="J12" i="26"/>
  <c r="K12" i="26"/>
  <c r="M12" i="26"/>
  <c r="N12" i="26"/>
  <c r="P12" i="26"/>
  <c r="Q12" i="26"/>
  <c r="R12" i="26"/>
  <c r="L16" i="26"/>
  <c r="J34" i="27"/>
  <c r="K34" i="27"/>
  <c r="M34" i="27"/>
  <c r="N34" i="27"/>
  <c r="P34" i="27"/>
  <c r="Q34" i="27"/>
  <c r="S34" i="27"/>
  <c r="T34" i="27"/>
  <c r="V34" i="27"/>
  <c r="W34" i="27"/>
  <c r="O17" i="23"/>
  <c r="M30" i="33"/>
  <c r="P1" i="23"/>
  <c r="U1" i="28"/>
  <c r="X1" i="27"/>
  <c r="L2" i="57"/>
  <c r="A2" i="57"/>
  <c r="A1" i="57"/>
  <c r="Z1" i="25"/>
  <c r="U1" i="26"/>
  <c r="Z1" i="29"/>
  <c r="U1" i="30"/>
  <c r="T1" i="31"/>
  <c r="P33" i="23"/>
  <c r="F32" i="29" s="1"/>
  <c r="J32" i="29" s="1"/>
  <c r="B13" i="64"/>
  <c r="R16" i="27"/>
  <c r="G2" i="35"/>
  <c r="G1" i="35"/>
  <c r="Q2" i="34"/>
  <c r="Q1" i="34"/>
  <c r="R2" i="33"/>
  <c r="R1" i="33"/>
  <c r="K2" i="32"/>
  <c r="K1" i="32"/>
  <c r="T2" i="31"/>
  <c r="U2" i="30"/>
  <c r="Z2" i="29"/>
  <c r="U2" i="28"/>
  <c r="X2" i="27"/>
  <c r="U2" i="26"/>
  <c r="Z2" i="25"/>
  <c r="O2" i="24"/>
  <c r="P2" i="23"/>
  <c r="M2" i="65"/>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2" i="65"/>
  <c r="A1" i="65"/>
  <c r="A4" i="57"/>
  <c r="A2" i="35"/>
  <c r="A2" i="34"/>
  <c r="A2" i="33"/>
  <c r="A2" i="32"/>
  <c r="A2" i="31"/>
  <c r="A2" i="30"/>
  <c r="A2" i="29"/>
  <c r="A2" i="28"/>
  <c r="A2" i="27"/>
  <c r="A2" i="26"/>
  <c r="A2" i="25"/>
  <c r="A2" i="24"/>
  <c r="A2" i="23"/>
  <c r="A6" i="64"/>
  <c r="A4" i="64"/>
  <c r="A3" i="64"/>
  <c r="M25" i="25"/>
  <c r="H30" i="33"/>
  <c r="I30" i="33" s="1"/>
  <c r="A17" i="57"/>
  <c r="A18" i="57" s="1"/>
  <c r="A19" i="57" s="1"/>
  <c r="A20" i="57" s="1"/>
  <c r="A21" i="57" s="1"/>
  <c r="A22" i="57" s="1"/>
  <c r="A23" i="57" s="1"/>
  <c r="A24" i="57" s="1"/>
  <c r="A25" i="57" s="1"/>
  <c r="A26" i="57" s="1"/>
  <c r="A27" i="57" s="1"/>
  <c r="A28" i="57" s="1"/>
  <c r="A29" i="57" s="1"/>
  <c r="A30" i="57" s="1"/>
  <c r="O14" i="23"/>
  <c r="O29" i="23"/>
  <c r="O30" i="23"/>
  <c r="O19" i="23"/>
  <c r="O20" i="23"/>
  <c r="O21" i="23"/>
  <c r="O22" i="23"/>
  <c r="O24" i="23"/>
  <c r="U24" i="29"/>
  <c r="O28" i="23"/>
  <c r="K31" i="24"/>
  <c r="L31" i="24" s="1"/>
  <c r="J20" i="32"/>
  <c r="C17" i="30" s="1"/>
  <c r="D74" i="60"/>
  <c r="F23" i="60"/>
  <c r="F46" i="60" s="1"/>
  <c r="D75" i="60"/>
  <c r="F28" i="60"/>
  <c r="F88" i="60" s="1"/>
  <c r="H88" i="60" s="1"/>
  <c r="D77" i="60"/>
  <c r="F25" i="60"/>
  <c r="F49" i="60" s="1"/>
  <c r="D78" i="60"/>
  <c r="D81" i="60"/>
  <c r="D82" i="60"/>
  <c r="D83" i="60"/>
  <c r="D84" i="60"/>
  <c r="D80" i="60"/>
  <c r="F80" i="60"/>
  <c r="D86" i="60"/>
  <c r="D90" i="60"/>
  <c r="D92" i="60"/>
  <c r="F92" i="60"/>
  <c r="F52" i="60"/>
  <c r="F64" i="60"/>
  <c r="G17" i="31"/>
  <c r="K24" i="31"/>
  <c r="K25" i="31"/>
  <c r="K22" i="31"/>
  <c r="J30" i="31"/>
  <c r="K30" i="31"/>
  <c r="J31" i="31"/>
  <c r="K32" i="31"/>
  <c r="J32" i="31"/>
  <c r="J33" i="31"/>
  <c r="K33" i="31"/>
  <c r="J20" i="31"/>
  <c r="J21" i="31"/>
  <c r="J22" i="31"/>
  <c r="J23" i="31"/>
  <c r="J24" i="31"/>
  <c r="J25" i="31"/>
  <c r="R22" i="31"/>
  <c r="S22" i="31"/>
  <c r="R23" i="31"/>
  <c r="R24" i="31"/>
  <c r="S24" i="31"/>
  <c r="R25" i="31"/>
  <c r="S25" i="31"/>
  <c r="N22" i="31"/>
  <c r="O22" i="31"/>
  <c r="N23" i="31"/>
  <c r="N24" i="31"/>
  <c r="O24" i="31"/>
  <c r="N25" i="31"/>
  <c r="O25" i="31"/>
  <c r="N14" i="30"/>
  <c r="R14" i="30" s="1"/>
  <c r="A2" i="64"/>
  <c r="A1" i="23"/>
  <c r="A12" i="23"/>
  <c r="A13" i="23" s="1"/>
  <c r="A14" i="23" s="1"/>
  <c r="A15" i="23" s="1"/>
  <c r="A16" i="23" s="1"/>
  <c r="A17" i="23" s="1"/>
  <c r="A18" i="23" s="1"/>
  <c r="A19" i="23" s="1"/>
  <c r="A20" i="23" s="1"/>
  <c r="A21" i="23" s="1"/>
  <c r="A22" i="23" s="1"/>
  <c r="O12" i="23"/>
  <c r="A1" i="24"/>
  <c r="A12" i="24"/>
  <c r="A13" i="24" s="1"/>
  <c r="A16" i="24" s="1"/>
  <c r="A19" i="24" s="1"/>
  <c r="A20" i="24" s="1"/>
  <c r="A26" i="24" s="1"/>
  <c r="A27" i="24" s="1"/>
  <c r="A28" i="24" s="1"/>
  <c r="A29" i="24" s="1"/>
  <c r="A30" i="24" s="1"/>
  <c r="A31" i="24" s="1"/>
  <c r="A32" i="24" s="1"/>
  <c r="A35" i="24" s="1"/>
  <c r="A40" i="24" s="1"/>
  <c r="A41" i="24" s="1"/>
  <c r="A1" i="25"/>
  <c r="A13" i="25"/>
  <c r="A14" i="25" s="1"/>
  <c r="A15" i="25" s="1"/>
  <c r="A16" i="25" s="1"/>
  <c r="A17" i="25" s="1"/>
  <c r="A18" i="25" s="1"/>
  <c r="A19" i="25" s="1"/>
  <c r="A20" i="25" s="1"/>
  <c r="A21" i="25" s="1"/>
  <c r="A22" i="25" s="1"/>
  <c r="A23" i="25" s="1"/>
  <c r="A1" i="26"/>
  <c r="A1" i="27"/>
  <c r="A13" i="27"/>
  <c r="A14" i="27" s="1"/>
  <c r="A15" i="27" s="1"/>
  <c r="A16" i="27" s="1"/>
  <c r="A17" i="27" s="1"/>
  <c r="A18" i="27" s="1"/>
  <c r="A19" i="27" s="1"/>
  <c r="A20" i="27" s="1"/>
  <c r="A21" i="27" s="1"/>
  <c r="A22" i="27" s="1"/>
  <c r="A23" i="27" s="1"/>
  <c r="A24" i="27" s="1"/>
  <c r="A25" i="27" s="1"/>
  <c r="A26" i="27" s="1"/>
  <c r="A27" i="27" s="1"/>
  <c r="A28" i="27" s="1"/>
  <c r="A29" i="27" s="1"/>
  <c r="A30" i="27" s="1"/>
  <c r="A1" i="28"/>
  <c r="O13" i="28"/>
  <c r="O14" i="28"/>
  <c r="O16" i="28"/>
  <c r="O17" i="28"/>
  <c r="O20" i="28"/>
  <c r="O21" i="28"/>
  <c r="O22" i="28"/>
  <c r="O23" i="28"/>
  <c r="O19" i="28"/>
  <c r="O25" i="28"/>
  <c r="O29" i="28"/>
  <c r="O31" i="28"/>
  <c r="A1" i="29"/>
  <c r="A13" i="29"/>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Q24" i="29"/>
  <c r="I31" i="29"/>
  <c r="M31" i="29"/>
  <c r="Q31" i="29"/>
  <c r="A1" i="30"/>
  <c r="A12" i="30"/>
  <c r="A13" i="30" s="1"/>
  <c r="A14" i="30" s="1"/>
  <c r="A15" i="30" s="1"/>
  <c r="O14" i="30"/>
  <c r="A1" i="31"/>
  <c r="A12" i="3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1" i="32"/>
  <c r="A12" i="32"/>
  <c r="A13" i="32" s="1"/>
  <c r="A14" i="32" s="1"/>
  <c r="A15" i="32" s="1"/>
  <c r="A16" i="32" s="1"/>
  <c r="A17" i="32" s="1"/>
  <c r="A18" i="32" s="1"/>
  <c r="A19" i="32" s="1"/>
  <c r="A20" i="32" s="1"/>
  <c r="A21" i="32" s="1"/>
  <c r="A1" i="33"/>
  <c r="A1" i="34"/>
  <c r="A12" i="34"/>
  <c r="A13" i="34" s="1"/>
  <c r="A14" i="34" s="1"/>
  <c r="A15" i="34" s="1"/>
  <c r="A16" i="34" s="1"/>
  <c r="A17" i="34" s="1"/>
  <c r="A18" i="34" s="1"/>
  <c r="A19" i="34" s="1"/>
  <c r="A20" i="34" s="1"/>
  <c r="A21" i="34" s="1"/>
  <c r="A22" i="34" s="1"/>
  <c r="A23" i="34" s="1"/>
  <c r="A24" i="34" s="1"/>
  <c r="A25" i="34" s="1"/>
  <c r="N12" i="34"/>
  <c r="N13" i="34"/>
  <c r="N15" i="34"/>
  <c r="N16" i="34"/>
  <c r="N18" i="34"/>
  <c r="N22" i="34"/>
  <c r="N24" i="34"/>
  <c r="N29" i="34"/>
  <c r="N30" i="34"/>
  <c r="A1" i="35"/>
  <c r="A12" i="35"/>
  <c r="A13" i="35" s="1"/>
  <c r="A14" i="35" s="1"/>
  <c r="A15" i="35" s="1"/>
  <c r="A31" i="27" l="1"/>
  <c r="A25" i="23"/>
  <c r="A26" i="23" s="1"/>
  <c r="A27" i="23" s="1"/>
  <c r="A28" i="23" s="1"/>
  <c r="A29" i="23" s="1"/>
  <c r="A30" i="23" s="1"/>
  <c r="A31" i="23" s="1"/>
  <c r="A32" i="23" s="1"/>
  <c r="A33" i="23" s="1"/>
  <c r="A34" i="23" s="1"/>
  <c r="A26" i="25"/>
  <c r="A27" i="25" s="1"/>
  <c r="A28" i="25" s="1"/>
  <c r="A29" i="25" s="1"/>
  <c r="A30" i="25" s="1"/>
  <c r="A31" i="25" s="1"/>
  <c r="A32" i="25" s="1"/>
  <c r="A33" i="25" s="1"/>
  <c r="A34" i="25" s="1"/>
  <c r="Q33" i="24"/>
  <c r="R33" i="24" s="1"/>
  <c r="D27" i="32"/>
  <c r="Q36" i="24"/>
  <c r="R36" i="24" s="1"/>
  <c r="D36" i="28"/>
  <c r="Q37" i="24"/>
  <c r="R37" i="24" s="1"/>
  <c r="Q34" i="24"/>
  <c r="R34" i="24" s="1"/>
  <c r="Q38" i="24"/>
  <c r="R38" i="24" s="1"/>
  <c r="D38" i="34"/>
  <c r="C17" i="35"/>
  <c r="D36" i="33"/>
  <c r="L25" i="31"/>
  <c r="P24" i="31"/>
  <c r="T25" i="31"/>
  <c r="T22" i="31"/>
  <c r="L33" i="31"/>
  <c r="L30" i="31"/>
  <c r="F50" i="60"/>
  <c r="F55" i="60"/>
  <c r="T24" i="31"/>
  <c r="L24" i="31"/>
  <c r="F60" i="60"/>
  <c r="F90" i="60"/>
  <c r="H90" i="60" s="1"/>
  <c r="F47" i="60"/>
  <c r="F75" i="60"/>
  <c r="H75" i="60" s="1"/>
  <c r="P22" i="31"/>
  <c r="F53" i="60"/>
  <c r="L32" i="31"/>
  <c r="R16" i="26"/>
  <c r="P21" i="23"/>
  <c r="F22" i="29" s="1"/>
  <c r="Y22" i="29" s="1"/>
  <c r="Z22" i="29" s="1"/>
  <c r="P25" i="31"/>
  <c r="L22" i="31"/>
  <c r="J26" i="31"/>
  <c r="H92" i="60"/>
  <c r="P20" i="23"/>
  <c r="F21" i="29" s="1"/>
  <c r="R21" i="29" s="1"/>
  <c r="F62" i="60"/>
  <c r="P16" i="26"/>
  <c r="P24" i="23"/>
  <c r="F24" i="29" s="1"/>
  <c r="R24" i="29" s="1"/>
  <c r="F58" i="60"/>
  <c r="F86" i="60"/>
  <c r="H86" i="60" s="1"/>
  <c r="H80" i="60"/>
  <c r="F77" i="60"/>
  <c r="H77" i="60" s="1"/>
  <c r="F84" i="60"/>
  <c r="H84" i="60" s="1"/>
  <c r="F81" i="60"/>
  <c r="H81" i="60" s="1"/>
  <c r="F56" i="60"/>
  <c r="F83" i="60"/>
  <c r="H83" i="60" s="1"/>
  <c r="F54" i="60"/>
  <c r="F82" i="60"/>
  <c r="H82" i="60" s="1"/>
  <c r="G13" i="60"/>
  <c r="F78" i="60"/>
  <c r="H78" i="60" s="1"/>
  <c r="G12" i="60"/>
  <c r="F74" i="60"/>
  <c r="H74" i="60" s="1"/>
  <c r="N16" i="26"/>
  <c r="A33" i="57"/>
  <c r="A34" i="57" s="1"/>
  <c r="A35" i="57" s="1"/>
  <c r="A36" i="57" s="1"/>
  <c r="A41" i="57" s="1"/>
  <c r="A42" i="57" s="1"/>
  <c r="A43" i="57" s="1"/>
  <c r="A44" i="57" s="1"/>
  <c r="A46" i="57" s="1"/>
  <c r="A47" i="57" s="1"/>
  <c r="A48" i="57" s="1"/>
  <c r="A49" i="57" s="1"/>
  <c r="A50" i="57" s="1"/>
  <c r="A51" i="57" s="1"/>
  <c r="A54" i="57" s="1"/>
  <c r="A55" i="57" s="1"/>
  <c r="A56" i="57" s="1"/>
  <c r="A57" i="57" s="1"/>
  <c r="R39" i="24"/>
  <c r="I18" i="27"/>
  <c r="L41" i="24"/>
  <c r="P32" i="23" s="1"/>
  <c r="F31" i="29" s="1"/>
  <c r="Y31" i="29" s="1"/>
  <c r="Z31" i="29" s="1"/>
  <c r="I62" i="57"/>
  <c r="I63" i="57" s="1"/>
  <c r="P29" i="23"/>
  <c r="F28" i="29" s="1"/>
  <c r="Y28" i="29" s="1"/>
  <c r="Z28" i="29" s="1"/>
  <c r="N32" i="29"/>
  <c r="J14" i="30" s="1"/>
  <c r="L21" i="23"/>
  <c r="F22" i="25" s="1"/>
  <c r="N22" i="25" s="1"/>
  <c r="L24" i="23"/>
  <c r="F25" i="25" s="1"/>
  <c r="Y25" i="25" s="1"/>
  <c r="Z25" i="25" s="1"/>
  <c r="L20" i="23"/>
  <c r="F21" i="25" s="1"/>
  <c r="N21" i="25" s="1"/>
  <c r="L29" i="27" s="1"/>
  <c r="P30" i="23"/>
  <c r="F29" i="29" s="1"/>
  <c r="P28" i="23"/>
  <c r="F27" i="29" s="1"/>
  <c r="L28" i="23"/>
  <c r="F29" i="25" s="1"/>
  <c r="L19" i="23"/>
  <c r="F20" i="25" s="1"/>
  <c r="P19" i="23"/>
  <c r="F20" i="29" s="1"/>
  <c r="V26" i="25"/>
  <c r="Z26" i="25"/>
  <c r="N26" i="25"/>
  <c r="L18" i="27" s="1"/>
  <c r="R26" i="25"/>
  <c r="P22" i="23"/>
  <c r="F23" i="29" s="1"/>
  <c r="L22" i="23"/>
  <c r="F23" i="25" s="1"/>
  <c r="A60" i="57" l="1"/>
  <c r="A61" i="57" s="1"/>
  <c r="A62" i="57" s="1"/>
  <c r="A63" i="57" s="1"/>
  <c r="A66" i="57" s="1"/>
  <c r="A67" i="57" s="1"/>
  <c r="A70" i="57" s="1"/>
  <c r="A71" i="57" s="1"/>
  <c r="A72" i="57" s="1"/>
  <c r="A73" i="57" s="1"/>
  <c r="A77" i="57" s="1"/>
  <c r="A78" i="57" s="1"/>
  <c r="A79" i="57" s="1"/>
  <c r="A80" i="57" s="1"/>
  <c r="A81" i="57" s="1"/>
  <c r="A82" i="57" s="1"/>
  <c r="A85" i="57" s="1"/>
  <c r="A86" i="57" s="1"/>
  <c r="A87" i="57" s="1"/>
  <c r="A88" i="57" s="1"/>
  <c r="A89" i="57" s="1"/>
  <c r="A91" i="57" s="1"/>
  <c r="A93" i="57" s="1"/>
  <c r="I93" i="57"/>
  <c r="G14" i="60"/>
  <c r="G15" i="60" s="1"/>
  <c r="V24" i="29"/>
  <c r="R22" i="29"/>
  <c r="N22" i="29"/>
  <c r="Y21" i="29"/>
  <c r="Z21" i="29" s="1"/>
  <c r="J22" i="29"/>
  <c r="J21" i="29"/>
  <c r="N21" i="29"/>
  <c r="V21" i="29"/>
  <c r="V22" i="29"/>
  <c r="J24" i="29"/>
  <c r="N24" i="29"/>
  <c r="Y24" i="29"/>
  <c r="Z24" i="29" s="1"/>
  <c r="H94" i="60"/>
  <c r="H95" i="60" s="1"/>
  <c r="N25" i="25"/>
  <c r="O18" i="27"/>
  <c r="U18" i="27"/>
  <c r="R18" i="27"/>
  <c r="J25" i="25"/>
  <c r="N31" i="29"/>
  <c r="J31" i="29"/>
  <c r="R31" i="29"/>
  <c r="V31" i="29"/>
  <c r="J12" i="30" s="1"/>
  <c r="J15" i="30" s="1"/>
  <c r="L29" i="23"/>
  <c r="F30" i="25" s="1"/>
  <c r="J22" i="25"/>
  <c r="R22" i="25"/>
  <c r="T14" i="30"/>
  <c r="K14" i="30"/>
  <c r="Y22" i="25"/>
  <c r="Z22" i="25" s="1"/>
  <c r="V22" i="25"/>
  <c r="R26" i="27" s="1"/>
  <c r="X26" i="27" s="1"/>
  <c r="L30" i="23"/>
  <c r="F31" i="25" s="1"/>
  <c r="R21" i="25"/>
  <c r="O29" i="27" s="1"/>
  <c r="I29" i="28" s="1"/>
  <c r="Y21" i="25"/>
  <c r="Z21" i="25" s="1"/>
  <c r="U29" i="27" s="1"/>
  <c r="J21" i="25"/>
  <c r="I29" i="27" s="1"/>
  <c r="V21" i="25"/>
  <c r="R29" i="27" s="1"/>
  <c r="V25" i="25"/>
  <c r="R28" i="27" s="1"/>
  <c r="R25" i="25"/>
  <c r="Y29" i="29"/>
  <c r="Z29" i="29" s="1"/>
  <c r="J29" i="25"/>
  <c r="R29" i="25"/>
  <c r="Y29" i="25"/>
  <c r="Z29" i="25" s="1"/>
  <c r="N29" i="25"/>
  <c r="V29" i="25"/>
  <c r="N27" i="29"/>
  <c r="J27" i="29"/>
  <c r="V27" i="29"/>
  <c r="Y27" i="29"/>
  <c r="Z27" i="29" s="1"/>
  <c r="R27" i="29"/>
  <c r="J23" i="25"/>
  <c r="I31" i="27" s="1"/>
  <c r="I33" i="27" s="1"/>
  <c r="Y23" i="25"/>
  <c r="Z23" i="25" s="1"/>
  <c r="U31" i="27" s="1"/>
  <c r="U33" i="27" s="1"/>
  <c r="N23" i="25"/>
  <c r="L31" i="27" s="1"/>
  <c r="L33" i="27" s="1"/>
  <c r="R23" i="25"/>
  <c r="O31" i="27" s="1"/>
  <c r="O33" i="27" s="1"/>
  <c r="V23" i="25"/>
  <c r="R31" i="27" s="1"/>
  <c r="R33" i="27" s="1"/>
  <c r="Y23" i="29"/>
  <c r="Z23" i="29" s="1"/>
  <c r="R23" i="29"/>
  <c r="J23" i="29"/>
  <c r="N23" i="29"/>
  <c r="V23" i="29"/>
  <c r="Y20" i="25"/>
  <c r="Z20" i="25" s="1"/>
  <c r="U25" i="27" s="1"/>
  <c r="V20" i="25"/>
  <c r="R25" i="27" s="1"/>
  <c r="R20" i="25"/>
  <c r="O25" i="27" s="1"/>
  <c r="N20" i="25"/>
  <c r="L25" i="27" s="1"/>
  <c r="J20" i="25"/>
  <c r="I25" i="27" s="1"/>
  <c r="J20" i="29"/>
  <c r="V20" i="29"/>
  <c r="R20" i="29"/>
  <c r="N20" i="29"/>
  <c r="Y20" i="29"/>
  <c r="Z20" i="29" s="1"/>
  <c r="H27" i="23"/>
  <c r="L17" i="23"/>
  <c r="P17" i="23"/>
  <c r="F12" i="60" l="1"/>
  <c r="H12" i="60" s="1"/>
  <c r="X29" i="27"/>
  <c r="X18" i="27"/>
  <c r="X31" i="27"/>
  <c r="X33" i="27" s="1"/>
  <c r="X28" i="27"/>
  <c r="I27" i="28"/>
  <c r="X25" i="27"/>
  <c r="R26" i="24"/>
  <c r="L30" i="33"/>
  <c r="N30" i="33" s="1"/>
  <c r="Q30" i="33" s="1"/>
  <c r="R30" i="33" s="1"/>
  <c r="K29" i="28"/>
  <c r="I31" i="28"/>
  <c r="F18" i="29"/>
  <c r="P27" i="23"/>
  <c r="O27" i="23" s="1"/>
  <c r="L27" i="23"/>
  <c r="K27" i="23" s="1"/>
  <c r="F18" i="25"/>
  <c r="H14" i="23" l="1"/>
  <c r="H13" i="23"/>
  <c r="H12" i="23"/>
  <c r="H31" i="23"/>
  <c r="K27" i="28"/>
  <c r="G16" i="31"/>
  <c r="K31" i="28"/>
  <c r="P17" i="32" s="1"/>
  <c r="J18" i="29"/>
  <c r="J26" i="29" s="1"/>
  <c r="R18" i="29"/>
  <c r="R26" i="29" s="1"/>
  <c r="Y18" i="29"/>
  <c r="Z18" i="29" s="1"/>
  <c r="Z26" i="29" s="1"/>
  <c r="N18" i="29"/>
  <c r="N26" i="29" s="1"/>
  <c r="V18" i="29"/>
  <c r="V26" i="29" s="1"/>
  <c r="F26" i="29"/>
  <c r="J18" i="25"/>
  <c r="R18" i="25"/>
  <c r="F28" i="25"/>
  <c r="Y18" i="25"/>
  <c r="Z18" i="25" s="1"/>
  <c r="V18" i="25"/>
  <c r="N18" i="25"/>
  <c r="L12" i="23" l="1"/>
  <c r="P12" i="23"/>
  <c r="P14" i="23"/>
  <c r="L14" i="23"/>
  <c r="F15" i="25" s="1"/>
  <c r="P13" i="23"/>
  <c r="F13" i="29" s="1"/>
  <c r="L13" i="23"/>
  <c r="F14" i="25" s="1"/>
  <c r="H16" i="31"/>
  <c r="F17" i="31"/>
  <c r="V28" i="25"/>
  <c r="U28" i="25" s="1"/>
  <c r="R24" i="27"/>
  <c r="R27" i="27" s="1"/>
  <c r="I25" i="28" s="1"/>
  <c r="R28" i="25"/>
  <c r="Q28" i="25" s="1"/>
  <c r="O24" i="27"/>
  <c r="O27" i="27" s="1"/>
  <c r="Z28" i="25"/>
  <c r="Y28" i="25" s="1"/>
  <c r="U24" i="27"/>
  <c r="U27" i="27" s="1"/>
  <c r="J28" i="25"/>
  <c r="I28" i="25" s="1"/>
  <c r="I24" i="27"/>
  <c r="I26" i="29"/>
  <c r="U26" i="29"/>
  <c r="Y26" i="29"/>
  <c r="M26" i="29"/>
  <c r="Q26" i="29"/>
  <c r="N28" i="25"/>
  <c r="M28" i="25" s="1"/>
  <c r="L24" i="27"/>
  <c r="I27" i="27" l="1"/>
  <c r="X24" i="27"/>
  <c r="X27" i="27" s="1"/>
  <c r="F14" i="29"/>
  <c r="F15" i="29"/>
  <c r="N14" i="25"/>
  <c r="L15" i="27" s="1"/>
  <c r="I16" i="28" s="1"/>
  <c r="J14" i="25"/>
  <c r="I15" i="27" s="1"/>
  <c r="Y14" i="25"/>
  <c r="Z14" i="25" s="1"/>
  <c r="U15" i="27" s="1"/>
  <c r="R14" i="25"/>
  <c r="O15" i="27" s="1"/>
  <c r="I17" i="28" s="1"/>
  <c r="V14" i="25"/>
  <c r="R15" i="27" s="1"/>
  <c r="P15" i="23"/>
  <c r="J15" i="25"/>
  <c r="I16" i="27" s="1"/>
  <c r="R15" i="25"/>
  <c r="O16" i="27" s="1"/>
  <c r="V13" i="29"/>
  <c r="Y13" i="29"/>
  <c r="Z13" i="29" s="1"/>
  <c r="R13" i="29"/>
  <c r="N13" i="29"/>
  <c r="J13" i="29"/>
  <c r="L15" i="23"/>
  <c r="F13" i="25"/>
  <c r="H17" i="31"/>
  <c r="L27" i="27"/>
  <c r="K25" i="28"/>
  <c r="X15" i="27" l="1"/>
  <c r="V15" i="29"/>
  <c r="Y15" i="29"/>
  <c r="Z15" i="29" s="1"/>
  <c r="J15" i="29"/>
  <c r="R15" i="29"/>
  <c r="N15" i="29"/>
  <c r="P31" i="23"/>
  <c r="O15" i="23"/>
  <c r="J13" i="25"/>
  <c r="R13" i="25"/>
  <c r="F16" i="25"/>
  <c r="F32" i="25" s="1"/>
  <c r="N13" i="25"/>
  <c r="L31" i="23"/>
  <c r="K15" i="23"/>
  <c r="F16" i="29"/>
  <c r="J14" i="29"/>
  <c r="Y14" i="29"/>
  <c r="Z14" i="29" s="1"/>
  <c r="R14" i="29"/>
  <c r="V14" i="29"/>
  <c r="N14" i="29"/>
  <c r="G15" i="31"/>
  <c r="N16" i="29" l="1"/>
  <c r="Z16" i="29"/>
  <c r="Z30" i="29" s="1"/>
  <c r="R16" i="29"/>
  <c r="J16" i="29"/>
  <c r="K31" i="23"/>
  <c r="O31" i="23"/>
  <c r="P34" i="23"/>
  <c r="L14" i="27"/>
  <c r="J16" i="25"/>
  <c r="I14" i="27"/>
  <c r="V16" i="29"/>
  <c r="Q16" i="29"/>
  <c r="I16" i="29"/>
  <c r="F30" i="29"/>
  <c r="F33" i="29" s="1"/>
  <c r="M16" i="29"/>
  <c r="U16" i="29"/>
  <c r="Y16" i="29"/>
  <c r="O14" i="27"/>
  <c r="I14" i="28" s="1"/>
  <c r="R16" i="25"/>
  <c r="Q16" i="25" s="1"/>
  <c r="Q33" i="25" s="1"/>
  <c r="H15" i="31"/>
  <c r="I16" i="25" l="1"/>
  <c r="I30" i="25" s="1"/>
  <c r="J30" i="25" s="1"/>
  <c r="Q30" i="25"/>
  <c r="R30" i="25" s="1"/>
  <c r="O19" i="27" s="1"/>
  <c r="Q31" i="25"/>
  <c r="R31" i="25" s="1"/>
  <c r="O20" i="27" s="1"/>
  <c r="I28" i="29"/>
  <c r="J28" i="29" s="1"/>
  <c r="I29" i="29"/>
  <c r="J29" i="29" s="1"/>
  <c r="U28" i="29"/>
  <c r="V28" i="29" s="1"/>
  <c r="U29" i="29"/>
  <c r="V29" i="29" s="1"/>
  <c r="U32" i="29"/>
  <c r="V32" i="29" s="1"/>
  <c r="M29" i="29"/>
  <c r="N29" i="29" s="1"/>
  <c r="M28" i="29"/>
  <c r="N28" i="29" s="1"/>
  <c r="Q28" i="29"/>
  <c r="R28" i="29" s="1"/>
  <c r="Q32" i="29"/>
  <c r="Q29" i="29"/>
  <c r="R29" i="29" s="1"/>
  <c r="I13" i="28"/>
  <c r="Y30" i="29"/>
  <c r="I33" i="25" l="1"/>
  <c r="I31" i="25"/>
  <c r="J31" i="25" s="1"/>
  <c r="I20" i="27" s="1"/>
  <c r="R32" i="25"/>
  <c r="Q32" i="25" s="1"/>
  <c r="N30" i="29"/>
  <c r="M30" i="29" s="1"/>
  <c r="R30" i="29"/>
  <c r="Q30" i="29" s="1"/>
  <c r="V30" i="29"/>
  <c r="U30" i="29" s="1"/>
  <c r="Y32" i="29"/>
  <c r="Z32" i="29" s="1"/>
  <c r="Z33" i="29" s="1"/>
  <c r="Y33" i="29" s="1"/>
  <c r="R32" i="29"/>
  <c r="J30" i="29"/>
  <c r="I19" i="27"/>
  <c r="J32" i="25" l="1"/>
  <c r="R33" i="29"/>
  <c r="Q33" i="29" s="1"/>
  <c r="V33" i="29"/>
  <c r="U33" i="29" s="1"/>
  <c r="N33" i="29"/>
  <c r="M33" i="29" s="1"/>
  <c r="I12" i="30"/>
  <c r="J33" i="29"/>
  <c r="I33" i="29" s="1"/>
  <c r="I30" i="29"/>
  <c r="I32" i="25" l="1"/>
  <c r="I15" i="30"/>
  <c r="K12" i="30"/>
  <c r="K15" i="30" l="1"/>
  <c r="Y13" i="25" l="1"/>
  <c r="Z13" i="25" s="1"/>
  <c r="V13" i="25"/>
  <c r="R14" i="27" s="1"/>
  <c r="V16" i="25" l="1"/>
  <c r="U16" i="25" s="1"/>
  <c r="U30" i="25" s="1"/>
  <c r="U14" i="27"/>
  <c r="X14" i="27" s="1"/>
  <c r="U31" i="25" l="1"/>
  <c r="U33" i="25"/>
  <c r="V30" i="25"/>
  <c r="V31" i="25" l="1"/>
  <c r="R20" i="27" s="1"/>
  <c r="R19" i="27"/>
  <c r="V32" i="25" l="1"/>
  <c r="U32" i="25" s="1"/>
  <c r="I27" i="24" l="1"/>
  <c r="I25" i="24"/>
  <c r="I24" i="24"/>
  <c r="I23" i="24"/>
  <c r="F29" i="24"/>
  <c r="F41" i="24" s="1"/>
  <c r="K41" i="24" s="1"/>
  <c r="I22" i="24"/>
  <c r="I21" i="24"/>
  <c r="I29" i="24" l="1"/>
  <c r="I41" i="24" s="1"/>
  <c r="H41" i="24" s="1"/>
  <c r="K29" i="24"/>
  <c r="L32" i="23" l="1"/>
  <c r="L34" i="23" s="1"/>
  <c r="F33" i="25" l="1"/>
  <c r="V33" i="25" s="1"/>
  <c r="F34" i="25" l="1"/>
  <c r="J33" i="25"/>
  <c r="J34" i="25" s="1"/>
  <c r="R33" i="25"/>
  <c r="R34" i="25" s="1"/>
  <c r="R21" i="27"/>
  <c r="R22" i="27" s="1"/>
  <c r="R34" i="27" s="1"/>
  <c r="V34" i="25"/>
  <c r="Q34" i="25" l="1"/>
  <c r="U34" i="25"/>
  <c r="I34" i="25"/>
  <c r="I21" i="27"/>
  <c r="J13" i="28" s="1"/>
  <c r="O21" i="27"/>
  <c r="J14" i="28" s="1"/>
  <c r="J17" i="28" l="1"/>
  <c r="K17" i="28" s="1"/>
  <c r="I22" i="27"/>
  <c r="I34" i="27" s="1"/>
  <c r="O22" i="27"/>
  <c r="O34" i="27" s="1"/>
  <c r="K14" i="28"/>
  <c r="K13" i="28"/>
  <c r="P18" i="32" l="1"/>
  <c r="G12" i="31"/>
  <c r="G13" i="31"/>
  <c r="F12" i="31"/>
  <c r="P11" i="32"/>
  <c r="H12" i="31" l="1"/>
  <c r="G18" i="31"/>
  <c r="O18" i="32" l="1"/>
  <c r="J18" i="32"/>
  <c r="J15" i="31"/>
  <c r="N25" i="28"/>
  <c r="R25" i="28" s="1"/>
  <c r="K14" i="31"/>
  <c r="N27" i="28"/>
  <c r="N17" i="28"/>
  <c r="H14" i="33"/>
  <c r="I14" i="33" s="1"/>
  <c r="M23" i="33"/>
  <c r="M16" i="33"/>
  <c r="H23" i="33"/>
  <c r="I23" i="33" s="1"/>
  <c r="M25" i="33"/>
  <c r="S25" i="28"/>
  <c r="H16" i="33"/>
  <c r="I16" i="33" s="1"/>
  <c r="N29" i="28"/>
  <c r="J16" i="31"/>
  <c r="M14" i="33"/>
  <c r="N14" i="28"/>
  <c r="H25" i="33"/>
  <c r="I25" i="33" s="1"/>
  <c r="M24" i="33"/>
  <c r="H24" i="33"/>
  <c r="I24" i="33" s="1"/>
  <c r="K17" i="31"/>
  <c r="K16" i="31"/>
  <c r="J17" i="31"/>
  <c r="T25" i="28"/>
  <c r="K15" i="31"/>
  <c r="K13" i="31"/>
  <c r="K12" i="31"/>
  <c r="J12" i="31"/>
  <c r="L17" i="31" l="1"/>
  <c r="L16" i="31"/>
  <c r="S29" i="28"/>
  <c r="R29" i="28"/>
  <c r="T29" i="28"/>
  <c r="R17" i="28"/>
  <c r="I30" i="34" s="1"/>
  <c r="S17" i="28"/>
  <c r="J37" i="34" s="1"/>
  <c r="T17" i="28"/>
  <c r="L16" i="33" s="1"/>
  <c r="S27" i="28"/>
  <c r="R27" i="28"/>
  <c r="T27" i="28"/>
  <c r="I18" i="34"/>
  <c r="L23" i="33"/>
  <c r="J28" i="31"/>
  <c r="R20" i="31"/>
  <c r="N20" i="31"/>
  <c r="L12" i="31"/>
  <c r="K18" i="31"/>
  <c r="O20" i="31"/>
  <c r="K20" i="31"/>
  <c r="S20" i="31"/>
  <c r="K28" i="31"/>
  <c r="K29" i="31"/>
  <c r="O21" i="31"/>
  <c r="K21" i="31"/>
  <c r="L21" i="31" s="1"/>
  <c r="S21" i="31"/>
  <c r="L15" i="31"/>
  <c r="K23" i="31"/>
  <c r="L23" i="31" s="1"/>
  <c r="O23" i="31"/>
  <c r="P23" i="31" s="1"/>
  <c r="K31" i="31"/>
  <c r="L31" i="31" s="1"/>
  <c r="S23" i="31"/>
  <c r="T23" i="31" s="1"/>
  <c r="R14" i="28"/>
  <c r="S14" i="28"/>
  <c r="T14" i="28"/>
  <c r="N12" i="30"/>
  <c r="M29" i="33"/>
  <c r="H29" i="33"/>
  <c r="I29" i="33" s="1"/>
  <c r="I31" i="33" s="1"/>
  <c r="D50" i="60" l="1"/>
  <c r="H50" i="60" s="1"/>
  <c r="N16" i="33"/>
  <c r="Q16" i="33" s="1"/>
  <c r="R16" i="33" s="1"/>
  <c r="S26" i="31"/>
  <c r="P20" i="31"/>
  <c r="L25" i="33"/>
  <c r="I22" i="34"/>
  <c r="N23" i="33"/>
  <c r="Q23" i="33" s="1"/>
  <c r="D58" i="60"/>
  <c r="H58" i="60" s="1"/>
  <c r="S12" i="30"/>
  <c r="R12" i="30"/>
  <c r="T12" i="30"/>
  <c r="L29" i="33" s="1"/>
  <c r="N29" i="33" s="1"/>
  <c r="K26" i="31"/>
  <c r="L20" i="31"/>
  <c r="L26" i="31" s="1"/>
  <c r="O14" i="24" s="1"/>
  <c r="L24" i="33"/>
  <c r="I20" i="34"/>
  <c r="L14" i="33"/>
  <c r="I13" i="34"/>
  <c r="O26" i="31"/>
  <c r="T20" i="31"/>
  <c r="K34" i="31"/>
  <c r="L28" i="31"/>
  <c r="R23" i="33" l="1"/>
  <c r="D47" i="60"/>
  <c r="H47" i="60" s="1"/>
  <c r="N14" i="33"/>
  <c r="Q14" i="33" s="1"/>
  <c r="R14" i="33" s="1"/>
  <c r="D62" i="60"/>
  <c r="H62" i="60" s="1"/>
  <c r="N25" i="33"/>
  <c r="Q25" i="33" s="1"/>
  <c r="R25" i="33" s="1"/>
  <c r="N31" i="33"/>
  <c r="Q29" i="33"/>
  <c r="N24" i="33"/>
  <c r="Q24" i="33" s="1"/>
  <c r="R24" i="33" s="1"/>
  <c r="D60" i="60"/>
  <c r="H60" i="60" s="1"/>
  <c r="Q31" i="33" l="1"/>
  <c r="R31" i="33" s="1"/>
  <c r="R29" i="33"/>
  <c r="M12" i="34" l="1"/>
  <c r="M24" i="34"/>
  <c r="M29" i="34" l="1"/>
  <c r="M15" i="34"/>
  <c r="M18" i="34"/>
  <c r="Q18" i="34" s="1"/>
  <c r="M16" i="34"/>
  <c r="M22" i="34"/>
  <c r="Q22" i="34" s="1"/>
  <c r="M13" i="34"/>
  <c r="Q13" i="34" s="1"/>
  <c r="M20" i="34"/>
  <c r="Q20" i="34" s="1"/>
  <c r="M30" i="34"/>
  <c r="Q30" i="34" s="1"/>
  <c r="O11" i="32" l="1"/>
  <c r="M13" i="33"/>
  <c r="N13" i="28"/>
  <c r="H13" i="33"/>
  <c r="I13" i="33" s="1"/>
  <c r="R13" i="28" l="1"/>
  <c r="S13" i="28"/>
  <c r="T13" i="28"/>
  <c r="O19" i="32"/>
  <c r="H17" i="33"/>
  <c r="I17" i="33" s="1"/>
  <c r="I17" i="26"/>
  <c r="I18" i="26" s="1"/>
  <c r="N19" i="28"/>
  <c r="M17" i="33"/>
  <c r="O16" i="32" l="1"/>
  <c r="H21" i="33"/>
  <c r="I21" i="33" s="1"/>
  <c r="M21" i="33"/>
  <c r="N23" i="28"/>
  <c r="R17" i="26"/>
  <c r="R18" i="26" s="1"/>
  <c r="O15" i="32"/>
  <c r="P17" i="26"/>
  <c r="P18" i="26" s="1"/>
  <c r="H20" i="33"/>
  <c r="I20" i="33" s="1"/>
  <c r="M20" i="33"/>
  <c r="N22" i="28"/>
  <c r="M18" i="33"/>
  <c r="N20" i="28"/>
  <c r="H18" i="33"/>
  <c r="I18" i="33" s="1"/>
  <c r="L17" i="26"/>
  <c r="L18" i="26" s="1"/>
  <c r="O13" i="32"/>
  <c r="L13" i="33"/>
  <c r="I12" i="34"/>
  <c r="Q12" i="34" s="1"/>
  <c r="M19" i="33"/>
  <c r="N17" i="26"/>
  <c r="N18" i="26" s="1"/>
  <c r="O14" i="32"/>
  <c r="N21" i="28"/>
  <c r="H19" i="33"/>
  <c r="I19" i="33" s="1"/>
  <c r="M26" i="33"/>
  <c r="N31" i="28"/>
  <c r="O17" i="32"/>
  <c r="H26" i="33"/>
  <c r="I26" i="33" s="1"/>
  <c r="U18" i="26" l="1"/>
  <c r="P19" i="26" s="1"/>
  <c r="D46" i="60"/>
  <c r="H46" i="60" s="1"/>
  <c r="N13" i="33"/>
  <c r="T31" i="28"/>
  <c r="S31" i="28"/>
  <c r="R31" i="28"/>
  <c r="L19" i="26" l="1"/>
  <c r="N19" i="26"/>
  <c r="R19" i="26"/>
  <c r="I19" i="26"/>
  <c r="Y15" i="25" s="1"/>
  <c r="Z15" i="25" s="1"/>
  <c r="L26" i="33"/>
  <c r="I24" i="34"/>
  <c r="Q24" i="34" s="1"/>
  <c r="Q13" i="33"/>
  <c r="R13" i="33" s="1"/>
  <c r="Q15" i="24"/>
  <c r="R15" i="24" s="1"/>
  <c r="M15" i="25" l="1"/>
  <c r="N15" i="25" s="1"/>
  <c r="L16" i="27" s="1"/>
  <c r="U19" i="26"/>
  <c r="Q14" i="24"/>
  <c r="Q31" i="24"/>
  <c r="U16" i="27"/>
  <c r="Z16" i="25"/>
  <c r="N26" i="33"/>
  <c r="Q26" i="33" s="1"/>
  <c r="R26" i="33" s="1"/>
  <c r="D64" i="60"/>
  <c r="H64" i="60" s="1"/>
  <c r="N16" i="25" l="1"/>
  <c r="M16" i="25" s="1"/>
  <c r="X16" i="27"/>
  <c r="Y16" i="25"/>
  <c r="R31" i="24"/>
  <c r="Q40" i="24"/>
  <c r="R14" i="24"/>
  <c r="M31" i="25" l="1"/>
  <c r="M30" i="25"/>
  <c r="M33" i="25"/>
  <c r="O12" i="32"/>
  <c r="H15" i="33"/>
  <c r="I15" i="33" s="1"/>
  <c r="I22" i="33" s="1"/>
  <c r="I27" i="33" s="1"/>
  <c r="I32" i="33" s="1"/>
  <c r="M15" i="33"/>
  <c r="N16" i="28"/>
  <c r="R16" i="28" s="1"/>
  <c r="I19" i="28"/>
  <c r="I23" i="28"/>
  <c r="I22" i="28"/>
  <c r="I21" i="28"/>
  <c r="I20" i="28"/>
  <c r="R20" i="28" l="1"/>
  <c r="R23" i="28"/>
  <c r="N33" i="25"/>
  <c r="L21" i="27" s="1"/>
  <c r="Y33" i="25"/>
  <c r="Z33" i="25" s="1"/>
  <c r="U21" i="27" s="1"/>
  <c r="R19" i="28"/>
  <c r="I32" i="28"/>
  <c r="N30" i="25"/>
  <c r="Y30" i="25"/>
  <c r="Z30" i="25" s="1"/>
  <c r="R21" i="28"/>
  <c r="R22" i="28"/>
  <c r="I29" i="34"/>
  <c r="Q29" i="34" s="1"/>
  <c r="Q31" i="34" s="1"/>
  <c r="N31" i="25"/>
  <c r="L20" i="27" s="1"/>
  <c r="Y31" i="25"/>
  <c r="Z31" i="25" s="1"/>
  <c r="U20" i="27" s="1"/>
  <c r="X21" i="27" l="1"/>
  <c r="U19" i="27"/>
  <c r="Z32" i="25"/>
  <c r="L19" i="27"/>
  <c r="N32" i="25"/>
  <c r="X20" i="27"/>
  <c r="I36" i="34"/>
  <c r="M37" i="34"/>
  <c r="I16" i="34" s="1"/>
  <c r="Q16" i="34" s="1"/>
  <c r="I37" i="34"/>
  <c r="X19" i="27" l="1"/>
  <c r="X22" i="27" s="1"/>
  <c r="X34" i="27" s="1"/>
  <c r="J21" i="28"/>
  <c r="J22" i="28"/>
  <c r="J20" i="28"/>
  <c r="J16" i="28"/>
  <c r="J23" i="28"/>
  <c r="L22" i="27"/>
  <c r="L34" i="27" s="1"/>
  <c r="Y32" i="25"/>
  <c r="Z34" i="25"/>
  <c r="Y34" i="25" s="1"/>
  <c r="N34" i="25"/>
  <c r="M34" i="25" s="1"/>
  <c r="M32" i="25"/>
  <c r="J19" i="28"/>
  <c r="U22" i="27"/>
  <c r="U34" i="27" s="1"/>
  <c r="S23" i="28" l="1"/>
  <c r="K23" i="28"/>
  <c r="S20" i="28"/>
  <c r="K20" i="28"/>
  <c r="K16" i="28"/>
  <c r="J32" i="28"/>
  <c r="S16" i="28"/>
  <c r="J36" i="34" s="1"/>
  <c r="S22" i="28"/>
  <c r="K22" i="28"/>
  <c r="S21" i="28"/>
  <c r="K21" i="28"/>
  <c r="S19" i="28"/>
  <c r="K19" i="28"/>
  <c r="F14" i="31" l="1"/>
  <c r="T20" i="28"/>
  <c r="P13" i="32"/>
  <c r="P14" i="32"/>
  <c r="T21" i="28"/>
  <c r="K32" i="28"/>
  <c r="F13" i="31"/>
  <c r="P12" i="32"/>
  <c r="T16" i="28"/>
  <c r="T23" i="28"/>
  <c r="P16" i="32"/>
  <c r="T19" i="28"/>
  <c r="P19" i="32"/>
  <c r="T22" i="28"/>
  <c r="P15" i="32"/>
  <c r="P20" i="32" l="1"/>
  <c r="J14" i="31"/>
  <c r="L14" i="31" s="1"/>
  <c r="H14" i="31"/>
  <c r="F18" i="31"/>
  <c r="J13" i="31"/>
  <c r="H13" i="31"/>
  <c r="L20" i="33"/>
  <c r="V22" i="28"/>
  <c r="O24" i="24" s="1"/>
  <c r="Q24" i="24" s="1"/>
  <c r="R24" i="24" s="1"/>
  <c r="L15" i="33"/>
  <c r="M36" i="34"/>
  <c r="I15" i="34" s="1"/>
  <c r="Q15" i="34" s="1"/>
  <c r="Q25" i="34" s="1"/>
  <c r="Q27" i="24" s="1"/>
  <c r="R27" i="24" s="1"/>
  <c r="L17" i="33"/>
  <c r="V19" i="28"/>
  <c r="O21" i="24" s="1"/>
  <c r="Q21" i="24" s="1"/>
  <c r="R21" i="24" s="1"/>
  <c r="V21" i="28"/>
  <c r="O23" i="24" s="1"/>
  <c r="Q23" i="24" s="1"/>
  <c r="R23" i="24" s="1"/>
  <c r="L19" i="33"/>
  <c r="L21" i="33"/>
  <c r="V23" i="28"/>
  <c r="O25" i="24" s="1"/>
  <c r="Q25" i="24" s="1"/>
  <c r="R25" i="24" s="1"/>
  <c r="V20" i="28"/>
  <c r="O22" i="24" s="1"/>
  <c r="Q22" i="24" s="1"/>
  <c r="R22" i="24" s="1"/>
  <c r="L18" i="33"/>
  <c r="H18" i="31" l="1"/>
  <c r="D54" i="60"/>
  <c r="H54" i="60" s="1"/>
  <c r="N19" i="33"/>
  <c r="Q19" i="33" s="1"/>
  <c r="R19" i="33" s="1"/>
  <c r="D49" i="60"/>
  <c r="H49" i="60" s="1"/>
  <c r="N15" i="33"/>
  <c r="D56" i="60"/>
  <c r="H56" i="60" s="1"/>
  <c r="N21" i="33"/>
  <c r="Q21" i="33" s="1"/>
  <c r="R21" i="33" s="1"/>
  <c r="D55" i="60"/>
  <c r="H55" i="60" s="1"/>
  <c r="N20" i="33"/>
  <c r="Q20" i="33" s="1"/>
  <c r="R20" i="33" s="1"/>
  <c r="L13" i="31"/>
  <c r="L18" i="31" s="1"/>
  <c r="J18" i="31"/>
  <c r="N21" i="31"/>
  <c r="J29" i="31"/>
  <c r="R21" i="31"/>
  <c r="N17" i="33"/>
  <c r="Q17" i="33" s="1"/>
  <c r="R17" i="33" s="1"/>
  <c r="D52" i="60"/>
  <c r="H52" i="60" s="1"/>
  <c r="N18" i="33"/>
  <c r="Q18" i="33" s="1"/>
  <c r="R18" i="33" s="1"/>
  <c r="D53" i="60"/>
  <c r="H53" i="60" s="1"/>
  <c r="T21" i="31" l="1"/>
  <c r="T26" i="31" s="1"/>
  <c r="R26" i="31"/>
  <c r="L29" i="31"/>
  <c r="L34" i="31" s="1"/>
  <c r="O17" i="24" s="1"/>
  <c r="Q17" i="24" s="1"/>
  <c r="J34" i="31"/>
  <c r="Q15" i="33"/>
  <c r="R15" i="33" s="1"/>
  <c r="N22" i="33"/>
  <c r="N26" i="31"/>
  <c r="P21" i="31"/>
  <c r="P26" i="31" s="1"/>
  <c r="H66" i="60"/>
  <c r="Q22" i="33" l="1"/>
  <c r="N27" i="33"/>
  <c r="N32" i="33" s="1"/>
  <c r="R17" i="24"/>
  <c r="Q29" i="24"/>
  <c r="H67" i="60"/>
  <c r="F13" i="60"/>
  <c r="F14" i="60" l="1"/>
  <c r="H13" i="60"/>
  <c r="Q27" i="33"/>
  <c r="R22" i="33"/>
  <c r="F15" i="60" l="1"/>
  <c r="H14" i="60"/>
  <c r="H15" i="60" s="1"/>
  <c r="R27" i="33"/>
  <c r="Q32" i="33"/>
  <c r="R32" i="33" s="1"/>
</calcChain>
</file>

<file path=xl/sharedStrings.xml><?xml version="1.0" encoding="utf-8"?>
<sst xmlns="http://schemas.openxmlformats.org/spreadsheetml/2006/main" count="1156" uniqueCount="571">
  <si>
    <t>Contents</t>
  </si>
  <si>
    <t>Appendix B</t>
  </si>
  <si>
    <t>Updated 2024 Rate Calculations</t>
  </si>
  <si>
    <t>B-1</t>
  </si>
  <si>
    <t>AESO 2024 Forecast Revenue Requirement</t>
  </si>
  <si>
    <t>B-2</t>
  </si>
  <si>
    <t>B-3</t>
  </si>
  <si>
    <t>Revenue Requirement Allocation to Demand and Supply Transmission Service</t>
  </si>
  <si>
    <t>B-4</t>
  </si>
  <si>
    <t>Tariff Revenue Offsets</t>
  </si>
  <si>
    <t>B-5</t>
  </si>
  <si>
    <t>Demand Transmission Service Costs Classified to Demand, Usage, and Customers</t>
  </si>
  <si>
    <t>B-6</t>
  </si>
  <si>
    <t>POD Cost Function and POD Cost Classification</t>
  </si>
  <si>
    <t>B-7</t>
  </si>
  <si>
    <t>Demand Transmission Service Cost Recovery</t>
  </si>
  <si>
    <t>B-8</t>
  </si>
  <si>
    <t>Demand Transmission Service Rate Calculation</t>
  </si>
  <si>
    <t>B-9</t>
  </si>
  <si>
    <t>Supply Transmission Service Costs Classified to Demand and Usage</t>
  </si>
  <si>
    <t>B-10</t>
  </si>
  <si>
    <t>Supply Transmission Service Rate Calculation</t>
  </si>
  <si>
    <t>B-11</t>
  </si>
  <si>
    <t>Opportunity Service Rate Calculations</t>
  </si>
  <si>
    <t>B-12</t>
  </si>
  <si>
    <t>2024 Billing Determinants</t>
  </si>
  <si>
    <t>B-13</t>
  </si>
  <si>
    <t>Rate Change Impact Compared to 2023 Approved Rates</t>
  </si>
  <si>
    <t>B-14</t>
  </si>
  <si>
    <t>Fort Nelson Demand Transmission Service Rate Calculation</t>
  </si>
  <si>
    <t>B-15</t>
  </si>
  <si>
    <t>2024 Fort Nelson Billing Determinants</t>
  </si>
  <si>
    <t>B-16</t>
  </si>
  <si>
    <t>Bill Impact Estimator</t>
  </si>
  <si>
    <t>AESO 2024 Forecast Revenue Requirement, $ 000 000</t>
  </si>
  <si>
    <t>A</t>
  </si>
  <si>
    <t>B</t>
  </si>
  <si>
    <t>C</t>
  </si>
  <si>
    <t>D</t>
  </si>
  <si>
    <t>Forecast</t>
  </si>
  <si>
    <t>Recorded</t>
  </si>
  <si>
    <t>No.</t>
  </si>
  <si>
    <t>Description</t>
  </si>
  <si>
    <t>Costs</t>
  </si>
  <si>
    <t>WIRES</t>
  </si>
  <si>
    <t>TFO Wires-Related Costs</t>
  </si>
  <si>
    <t xml:space="preserve">AltaLink </t>
  </si>
  <si>
    <t>ATCO Electric</t>
  </si>
  <si>
    <t>Isolated Generation</t>
  </si>
  <si>
    <t xml:space="preserve">Subtotal ATCO Costs </t>
  </si>
  <si>
    <t xml:space="preserve">ENMAX Power Corporation </t>
  </si>
  <si>
    <t>EPCOR Distribution &amp; Transmission</t>
  </si>
  <si>
    <t>City of Lethbridge</t>
  </si>
  <si>
    <t>TransAlta Utilities Corporation</t>
  </si>
  <si>
    <t>City of Red Deer</t>
  </si>
  <si>
    <t>PiikaniLink (PLP)</t>
  </si>
  <si>
    <t>KainaiLink (KLP)</t>
  </si>
  <si>
    <t>Fortis Alberta</t>
  </si>
  <si>
    <t>BC Hydro</t>
  </si>
  <si>
    <t>Alberta PowerLine L.P.</t>
  </si>
  <si>
    <t>Subtotal TFO Wires-Related Costs</t>
  </si>
  <si>
    <t>Non-Wires Costs</t>
  </si>
  <si>
    <t>Invitation to Bid on Credits (IBOC)</t>
  </si>
  <si>
    <t xml:space="preserve">- </t>
  </si>
  <si>
    <t>Location Based Credit Standing Offer (LBC SO)</t>
  </si>
  <si>
    <t>Subtotal IBOC/LBC SO Costs</t>
  </si>
  <si>
    <t>TOTAL WIRES COSTS</t>
  </si>
  <si>
    <t>ANCILLARY SERVICES</t>
  </si>
  <si>
    <t>Operating Reserves</t>
  </si>
  <si>
    <t xml:space="preserve">Active </t>
  </si>
  <si>
    <t>Regulating</t>
  </si>
  <si>
    <t>Spinning</t>
  </si>
  <si>
    <t>Supplemental</t>
  </si>
  <si>
    <t>Subtotal Active Reserves</t>
  </si>
  <si>
    <t>Standby</t>
  </si>
  <si>
    <t>Subtotal Standby Reserves</t>
  </si>
  <si>
    <t>Trading Fees and Other Related Charges</t>
  </si>
  <si>
    <t>Subtotal Operating Reserves</t>
  </si>
  <si>
    <t>Other Ancillary Services</t>
  </si>
  <si>
    <t>Black Start</t>
  </si>
  <si>
    <t>Transmission Must Run (TMR)</t>
  </si>
  <si>
    <t>Load Shed Service (LSS)</t>
  </si>
  <si>
    <t>Reliability Services from BC</t>
  </si>
  <si>
    <t>Transferred Frequency Response</t>
  </si>
  <si>
    <t>Transmission Constraint Rebalancing (TCR)</t>
  </si>
  <si>
    <t>Interruptible Load Remedial Action Scheme (ILRAS)</t>
  </si>
  <si>
    <t>Generator Remedial Action Scheme</t>
  </si>
  <si>
    <t>Subtotal Other Ancilary Services</t>
  </si>
  <si>
    <t>TOTAL ANCILLARY SERVICES</t>
  </si>
  <si>
    <t>LOSSES</t>
  </si>
  <si>
    <t xml:space="preserve">Pool Payment </t>
  </si>
  <si>
    <t>TOTAL LOSSES COSTS</t>
  </si>
  <si>
    <t>OTHER INDUSTRY COSTS</t>
  </si>
  <si>
    <t>Regulatory Process Costs</t>
  </si>
  <si>
    <t>Western Electricity Coordination Council (WECC)</t>
  </si>
  <si>
    <t>Share of Commission Costs</t>
  </si>
  <si>
    <t>TOTAL OTHER INDUSTRY COSTS</t>
  </si>
  <si>
    <t>GENERAL AND ADMINISTRATIVE COSTS</t>
  </si>
  <si>
    <t>Administrative Costs</t>
  </si>
  <si>
    <t>Staff and Benefits</t>
  </si>
  <si>
    <t>Contract Services and Consultants</t>
  </si>
  <si>
    <t>Administration</t>
  </si>
  <si>
    <t>Facilities</t>
  </si>
  <si>
    <t>Computer and Telecom Services and Maintenance</t>
  </si>
  <si>
    <t>Subtotal Administrative Costs</t>
  </si>
  <si>
    <t>General Costs</t>
  </si>
  <si>
    <t xml:space="preserve">Market Systems Replacement </t>
  </si>
  <si>
    <t>Interest</t>
  </si>
  <si>
    <t>Amortization and Depreciation</t>
  </si>
  <si>
    <t>Subtotal General Costs</t>
  </si>
  <si>
    <t>TOTAL G&amp;A COSTS</t>
  </si>
  <si>
    <t>TOTAL G&amp;A AND OTHER INDUSTRY COSTS</t>
  </si>
  <si>
    <t xml:space="preserve">TOTAL REVENUE REQUIREMENT </t>
  </si>
  <si>
    <t xml:space="preserve">Note: </t>
  </si>
  <si>
    <t>Numbers may not add due to rounding.</t>
  </si>
  <si>
    <t>2023 forecast in column B is what was filed in the 2023 ISO Tariff Rates Update in proceeding 27777.</t>
  </si>
  <si>
    <t>The recorded costs in columns C and D is what was filed in the 2022 DAR in proceeding 28293.</t>
  </si>
  <si>
    <t>In 2021 and prior KLP and PLP were included as part of AltaLinks wires costs</t>
  </si>
  <si>
    <t>2024 Forecast Transmission Facility Owner Wires Costs</t>
  </si>
  <si>
    <t>E</t>
  </si>
  <si>
    <t>F</t>
  </si>
  <si>
    <t>G</t>
  </si>
  <si>
    <t>H</t>
  </si>
  <si>
    <t>I</t>
  </si>
  <si>
    <t>J</t>
  </si>
  <si>
    <t>K</t>
  </si>
  <si>
    <t>L</t>
  </si>
  <si>
    <t>Last Approved Revenue Requirement</t>
  </si>
  <si>
    <t>Latest TFO Application</t>
  </si>
  <si>
    <t>2022 TFO Revenue Requirement Forecast</t>
  </si>
  <si>
    <t>Row
No.</t>
  </si>
  <si>
    <t>TFO</t>
  </si>
  <si>
    <t>Type</t>
  </si>
  <si>
    <t>Amount
($ millions)</t>
  </si>
  <si>
    <t>Year</t>
  </si>
  <si>
    <t>Proceeding ID</t>
  </si>
  <si>
    <t>Basis</t>
  </si>
  <si>
    <t>Source</t>
  </si>
  <si>
    <t>Increase / (Decrease) ($ millions)</t>
  </si>
  <si>
    <t>72% of Increase / (Decrease)  ($ millions)</t>
  </si>
  <si>
    <t>Forecast Revenue Requirement ($ millions)</t>
  </si>
  <si>
    <t>AltaLink</t>
  </si>
  <si>
    <t>Final approval</t>
  </si>
  <si>
    <t>Filed 2024</t>
  </si>
  <si>
    <t>2024 Filed</t>
  </si>
  <si>
    <t>Exhibit 28174-X0007.01, Schd 3-1, Cell R29</t>
  </si>
  <si>
    <t>Compliance</t>
  </si>
  <si>
    <t>Approved 2024</t>
  </si>
  <si>
    <t>2024 Final Approved</t>
  </si>
  <si>
    <t>Exhibit 28252_X0005.01, Cell I28</t>
  </si>
  <si>
    <t>NA</t>
  </si>
  <si>
    <t>ENMAX</t>
  </si>
  <si>
    <t>Final Approval</t>
  </si>
  <si>
    <t>Compliance 2024</t>
  </si>
  <si>
    <t>2024 Compliance Filing</t>
  </si>
  <si>
    <t>28563-X0003, Tab 31, Cell O31</t>
  </si>
  <si>
    <t>EPCOR</t>
  </si>
  <si>
    <t>Decision 27675-D01-2023 Par. 49</t>
  </si>
  <si>
    <t>Approved 2023</t>
  </si>
  <si>
    <t>2023 Final Approved</t>
  </si>
  <si>
    <t>27213-X0002, Sheet 3-1, Cell K21</t>
  </si>
  <si>
    <t>TransAlta Corporation</t>
  </si>
  <si>
    <t>Final Approved</t>
  </si>
  <si>
    <t>27964-X0004, Schdule 3-1, Cell K21</t>
  </si>
  <si>
    <t>Exhibit 27878-X0002, Schd 3-1, Cell N23</t>
  </si>
  <si>
    <t>Exhibit 28174-X0237, Sch 3-1, Cell R28</t>
  </si>
  <si>
    <t>Exhibit 28174-X0232, Sch 3-1, Cell R28</t>
  </si>
  <si>
    <t>FortisAlberta</t>
  </si>
  <si>
    <t>Interim Approved</t>
  </si>
  <si>
    <t>28576-X0021, Tab 2.1 Y Factor Amounts, Cell L15</t>
  </si>
  <si>
    <t>Alberta PowerLine</t>
  </si>
  <si>
    <t>Filed All Years</t>
  </si>
  <si>
    <t>Approved Payment Schedule plus other Adjustments</t>
  </si>
  <si>
    <t>Decision 23161-D01-2018</t>
  </si>
  <si>
    <t>Notes:</t>
  </si>
  <si>
    <t>1.    “NA” means not applicable</t>
  </si>
  <si>
    <t>Allocation to DTS</t>
  </si>
  <si>
    <t>Allocation to STS</t>
  </si>
  <si>
    <r>
      <t>Functionalization Ratio</t>
    </r>
    <r>
      <rPr>
        <vertAlign val="superscript"/>
        <sz val="8"/>
        <rFont val="Arial Narrow"/>
        <family val="2"/>
      </rPr>
      <t>1</t>
    </r>
  </si>
  <si>
    <t>Forecast
$ 000 000</t>
  </si>
  <si>
    <t>Allocator
%</t>
  </si>
  <si>
    <t>Amount
$ 000 000</t>
  </si>
  <si>
    <t xml:space="preserve">Wires </t>
  </si>
  <si>
    <t>Bulk System</t>
  </si>
  <si>
    <t>Regional System</t>
  </si>
  <si>
    <t>Point of Delivery</t>
  </si>
  <si>
    <t>Total Wires</t>
  </si>
  <si>
    <t>Ancillary Services</t>
  </si>
  <si>
    <t>Load Shed Services (LSS)</t>
  </si>
  <si>
    <t>Generator Remedial Action Scheme (RAS)</t>
  </si>
  <si>
    <t>Total Ancillary Services</t>
  </si>
  <si>
    <t xml:space="preserve">Losses </t>
  </si>
  <si>
    <t>Other Industry</t>
  </si>
  <si>
    <t>General and Administrative</t>
  </si>
  <si>
    <t>Total Revenue Requirement</t>
  </si>
  <si>
    <t>Regulated Generating Unit Connection Costs</t>
  </si>
  <si>
    <t>Net DTS and STS Revenue Requirement</t>
  </si>
  <si>
    <t>Note:</t>
  </si>
  <si>
    <t>1. 2020 Functionalization Ratios as described in Exhibit 22942.X0026, transmission System Cost Causation Study 2018 Update Workbook, Tab 'Guide', Cells E29 to E31</t>
  </si>
  <si>
    <t xml:space="preserve">   and approved in Decision 22942-D02-2019, Alberta Electric System Operator 2018 Independent System Operator Tariff, issued September 22, 2019, para 74.</t>
  </si>
  <si>
    <t>Forecasting Calculation</t>
  </si>
  <si>
    <t>Updated</t>
  </si>
  <si>
    <t>Variance</t>
  </si>
  <si>
    <t>Volume</t>
  </si>
  <si>
    <t>Rate</t>
  </si>
  <si>
    <t>Forecast 
$ 000 000</t>
  </si>
  <si>
    <t>$ 000 000</t>
  </si>
  <si>
    <t>DTS Tariff Revenue Offsets</t>
  </si>
  <si>
    <t>Power Factor Deficiency Revenue</t>
  </si>
  <si>
    <t>Demand Opportunity Service Revenue</t>
  </si>
  <si>
    <t>Transaction</t>
  </si>
  <si>
    <t>Export Opportunity Service Revenue</t>
  </si>
  <si>
    <t>UFLS Credits</t>
  </si>
  <si>
    <t>Primary Service Credits</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</si>
  <si>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</si>
  <si>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</si>
  <si>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</si>
  <si>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</si>
  <si>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</si>
  <si>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RGU Connection Costs</t>
  </si>
  <si>
    <t>`</t>
  </si>
  <si>
    <t>Fort Nelson Service Revenue</t>
  </si>
  <si>
    <t>Duplication Avoidance Adjustments</t>
  </si>
  <si>
    <t>Total DTS Offsets</t>
  </si>
  <si>
    <t>STS Tariff Revenue Offsets</t>
  </si>
  <si>
    <t>Demand Opportunity Service Losses</t>
  </si>
  <si>
    <t>Export Opportunity Service Losses</t>
  </si>
  <si>
    <t>BC Losses</t>
  </si>
  <si>
    <t>SK Losses</t>
  </si>
  <si>
    <t>Import Opportunity Service Losses</t>
  </si>
  <si>
    <t>MT Losses</t>
  </si>
  <si>
    <t>Transaction Revenue</t>
  </si>
  <si>
    <t>Total STS Offsets</t>
  </si>
  <si>
    <t>Total Tariff Revenue Offsets</t>
  </si>
  <si>
    <t>Demand Transmission Service Costs Classified to Demand, Usage, and Customer</t>
  </si>
  <si>
    <t>DTS</t>
  </si>
  <si>
    <r>
      <t>Classification to Rate Component</t>
    </r>
    <r>
      <rPr>
        <b/>
        <vertAlign val="superscript"/>
        <sz val="8"/>
        <rFont val="Arial Narrow"/>
        <family val="2"/>
      </rPr>
      <t>1</t>
    </r>
  </si>
  <si>
    <t>Amount</t>
  </si>
  <si>
    <t>Coincident Demand</t>
  </si>
  <si>
    <t>Non-Coincident Dem’d</t>
  </si>
  <si>
    <t>Flat Usage</t>
  </si>
  <si>
    <t>Varying Usage</t>
  </si>
  <si>
    <t>Customer</t>
  </si>
  <si>
    <t>Line
No.</t>
  </si>
  <si>
    <t>[Table B-3]
$ 000 000</t>
  </si>
  <si>
    <t xml:space="preserve">Total Ancillary Services </t>
  </si>
  <si>
    <t>Net DTS Revenue Requirement</t>
  </si>
  <si>
    <t>1. 2020 Functionalization Ratios as described in Exhibit 22942.X0026, Appendix E - Transmission System Cost Causation Study 2018 Update Workbook, Tab 'Guide', Cells C34 to D35</t>
  </si>
  <si>
    <t>Line</t>
  </si>
  <si>
    <t>Reference</t>
  </si>
  <si>
    <t>Demand</t>
  </si>
  <si>
    <t>Total</t>
  </si>
  <si>
    <r>
      <t xml:space="preserve">  Power Function</t>
    </r>
    <r>
      <rPr>
        <vertAlign val="superscript"/>
        <sz val="8"/>
        <rFont val="Arial Narrow"/>
        <family val="2"/>
      </rPr>
      <t>1</t>
    </r>
  </si>
  <si>
    <t>22942-D02-2019</t>
  </si>
  <si>
    <r>
      <t>Costs ($ million) =</t>
    </r>
    <r>
      <rPr>
        <sz val="10"/>
        <rFont val="Arial"/>
        <family val="2"/>
      </rPr>
      <t/>
    </r>
  </si>
  <si>
    <t>x</t>
  </si>
  <si>
    <t xml:space="preserve">      MW ^</t>
  </si>
  <si>
    <t>Data Points (MW)</t>
  </si>
  <si>
    <t>2007-106</t>
  </si>
  <si>
    <t>Calculated Values ($ 000 000)</t>
  </si>
  <si>
    <t>Lines 1 and 2</t>
  </si>
  <si>
    <t>&gt; (7.5×SF) MW</t>
  </si>
  <si>
    <t>&gt; (17×SF) MW</t>
  </si>
  <si>
    <t>POD Cost Classification</t>
  </si>
  <si>
    <t>Fixed</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</si>
  <si>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</si>
  <si>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</si>
  <si>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</si>
  <si>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</si>
  <si>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Intercept and Slopes ($ 000 000)</t>
  </si>
  <si>
    <t>Lines 2 and 3</t>
  </si>
  <si>
    <t>Determinants (cust-months, MW-months)</t>
  </si>
  <si>
    <t>Table C-10</t>
  </si>
  <si>
    <t>Total Cost Function Costs ($ 000 000)</t>
  </si>
  <si>
    <r>
      <t xml:space="preserve">Line 4 </t>
    </r>
    <r>
      <rPr>
        <sz val="10"/>
        <rFont val="Arial"/>
        <family val="2"/>
      </rPr>
      <t>×</t>
    </r>
    <r>
      <rPr>
        <sz val="10"/>
        <rFont val="Arial Narrow"/>
        <family val="2"/>
      </rPr>
      <t xml:space="preserve"> Line 5</t>
    </r>
  </si>
  <si>
    <t>Cost Classification (%)</t>
  </si>
  <si>
    <r>
      <t xml:space="preserve">Line 6 </t>
    </r>
    <r>
      <rPr>
        <sz val="10"/>
        <rFont val="Arial"/>
        <family val="2"/>
      </rPr>
      <t>÷</t>
    </r>
    <r>
      <rPr>
        <sz val="10"/>
        <rFont val="Arial Narrow"/>
        <family val="2"/>
      </rPr>
      <t xml:space="preserve"> Col F</t>
    </r>
  </si>
  <si>
    <t>1.</t>
  </si>
  <si>
    <t>The Power Function as described in Exhibit 22942.X0018.03, Appendix G - Options for POD Cost Function Workbook, Tab 'Option 2 Investment Proposed', Cells C11 to G11</t>
  </si>
  <si>
    <t xml:space="preserve">  and approved in Decision 22942-D02-2019, Alberta Electric System Operator, 2018 Independent System Operator Tariff, para 201.</t>
  </si>
  <si>
    <t>2.</t>
  </si>
  <si>
    <t>The “Customer” billing determinant at Line 5 Col A is the sum over all Rate DTS market participants of the substation fraction for each Rate DTS market participant</t>
  </si>
  <si>
    <t>3.</t>
  </si>
  <si>
    <t xml:space="preserve">The “Demand” billing determinants at Line 5 Cols B-E are the sums over all Rate DTS market participants of billing capacity within the bounds indicated as </t>
  </si>
  <si>
    <t>(amounts × substation fraction) for each Rate DTS market participant</t>
  </si>
  <si>
    <t>Coincident</t>
  </si>
  <si>
    <t>Non-Coincident</t>
  </si>
  <si>
    <t>Flat</t>
  </si>
  <si>
    <t>Varying</t>
  </si>
  <si>
    <t>Usage</t>
  </si>
  <si>
    <t>Table B-5 Reference</t>
  </si>
  <si>
    <t>Amount
[B-5 Col C]
$ 000 000</t>
  </si>
  <si>
    <t>Amount
[B-5 Col E]
$ 000 000</t>
  </si>
  <si>
    <t>Amount
[B-5 Col G]
$ 000 000</t>
  </si>
  <si>
    <t>Amount
[B-5 Col I]
$ 000 000</t>
  </si>
  <si>
    <t>Amount
[B-5 Col K]
$ 000 000</t>
  </si>
  <si>
    <t>Amount
[A+B+C+D+E]
$ 000 000</t>
  </si>
  <si>
    <t>DTS Connection Charge</t>
  </si>
  <si>
    <t>Wires</t>
  </si>
  <si>
    <t>Line 2</t>
  </si>
  <si>
    <t>Line 3</t>
  </si>
  <si>
    <t>Line 4</t>
  </si>
  <si>
    <t>Non-Wires</t>
  </si>
  <si>
    <t>ILRAS</t>
  </si>
  <si>
    <t>Line 16</t>
  </si>
  <si>
    <t>Line 20</t>
  </si>
  <si>
    <t>Line 21</t>
  </si>
  <si>
    <t>Line 23</t>
  </si>
  <si>
    <t>DTS Operating Reserve Charge</t>
  </si>
  <si>
    <t>Line 7</t>
  </si>
  <si>
    <t>Line 9</t>
  </si>
  <si>
    <t>LSS</t>
  </si>
  <si>
    <t>Line 11</t>
  </si>
  <si>
    <t>Transmission Constraint Rebalacing Charge</t>
  </si>
  <si>
    <t>Line 14</t>
  </si>
  <si>
    <t>Voltage Control (TMR) Charge</t>
  </si>
  <si>
    <t>Line 10</t>
  </si>
  <si>
    <t>DTS Other System Support Services Charge</t>
  </si>
  <si>
    <t>Line 12</t>
  </si>
  <si>
    <t>Line 13</t>
  </si>
  <si>
    <t>DTS OSS Services Charge</t>
  </si>
  <si>
    <t>Total DTS Tariff</t>
  </si>
  <si>
    <t>Table B-7</t>
  </si>
  <si>
    <t>Costs, $ 000 000</t>
  </si>
  <si>
    <t>Billing Determinant</t>
  </si>
  <si>
    <t>Quantity</t>
  </si>
  <si>
    <t>Unit</t>
  </si>
  <si>
    <t>DTS Bulk System Charge</t>
  </si>
  <si>
    <t>Coincident Demand Charge</t>
  </si>
  <si>
    <t>Lines 3, 7-10</t>
  </si>
  <si>
    <t>/MW</t>
  </si>
  <si>
    <t>Flat Usage Charge</t>
  </si>
  <si>
    <t>/MWh</t>
  </si>
  <si>
    <t>DTS Regional System Charge</t>
  </si>
  <si>
    <t>Billing Capacity Charge</t>
  </si>
  <si>
    <t>Lines 4, 7-10</t>
  </si>
  <si>
    <t>DTS POD Charge (Note 1)</t>
  </si>
  <si>
    <t>PSC</t>
  </si>
  <si>
    <r>
      <t xml:space="preserve">Customer Charge </t>
    </r>
    <r>
      <rPr>
        <sz val="10"/>
        <rFont val="Arial"/>
        <family val="2"/>
      </rPr>
      <t>×</t>
    </r>
    <r>
      <rPr>
        <sz val="10"/>
        <rFont val="Arial Narrow"/>
        <family val="2"/>
      </rPr>
      <t xml:space="preserve"> SF</t>
    </r>
  </si>
  <si>
    <t>Lines 5, 7-10</t>
  </si>
  <si>
    <t>/month</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</si>
  <si>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</si>
  <si>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</si>
  <si>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</si>
  <si>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</si>
  <si>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t>Varying Usage Charge (Note 2)</t>
  </si>
  <si>
    <r>
      <t>×</t>
    </r>
    <r>
      <rPr>
        <sz val="10"/>
        <rFont val="Arial Narrow"/>
        <family val="2"/>
      </rPr>
      <t xml:space="preserve"> Pool Price</t>
    </r>
  </si>
  <si>
    <t>DTS Transmission Constraint Rebalancing Charge</t>
  </si>
  <si>
    <t>Varying Usage Charge</t>
  </si>
  <si>
    <t>Line 17</t>
  </si>
  <si>
    <t>DTS Voltage Control (TMR) Charge</t>
  </si>
  <si>
    <t>Line 18</t>
  </si>
  <si>
    <t>Highest Metered Demand Charge</t>
  </si>
  <si>
    <t>Line 22</t>
  </si>
  <si>
    <t>Total DTS Cost Recovery</t>
  </si>
  <si>
    <t>“SF” refers to substation fraction; the charges provided in lines 8 to 12 are applied to billing capacity within the bounds defined as amounts multiplied by the substation fraction for</t>
  </si>
  <si>
    <t>each Rate DTS customer</t>
  </si>
  <si>
    <t>STS</t>
  </si>
  <si>
    <t>Classification to Rate Component</t>
  </si>
  <si>
    <t>[Table B-5]
$ 000 000</t>
  </si>
  <si>
    <t>Under Frequency Mitigation</t>
  </si>
  <si>
    <t>Poplar Hill</t>
  </si>
  <si>
    <t>Table B-9</t>
  </si>
  <si>
    <t>Losses</t>
  </si>
  <si>
    <t>Other</t>
  </si>
  <si>
    <t>STS Losses Charge (Notes 1 and 2)</t>
  </si>
  <si>
    <t>Losses Charge</t>
  </si>
  <si>
    <t>Lines 16, 20</t>
  </si>
  <si>
    <t>GWh</t>
  </si>
  <si>
    <t>RGU Connection Costs (Note 3)</t>
  </si>
  <si>
    <t>Total STS Cost Recovery</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</si>
  <si>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</si>
  <si>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</si>
  <si>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Component</t>
  </si>
  <si>
    <t>DTS Revenue Requirement</t>
  </si>
  <si>
    <t>2024 DTS Costs, $ 000 000</t>
  </si>
  <si>
    <t>2024 DTS Rates, $/MWh</t>
  </si>
  <si>
    <t>Connection – Bulk System</t>
  </si>
  <si>
    <t>Connection – Regional System</t>
  </si>
  <si>
    <t>Connection – POD</t>
  </si>
  <si>
    <t>Operating Reserve</t>
  </si>
  <si>
    <t>Voltage Control</t>
  </si>
  <si>
    <t>Other System Support</t>
  </si>
  <si>
    <t>Total DTS Costs</t>
  </si>
  <si>
    <t>Demand Opportunity Service (DOS) Rates</t>
  </si>
  <si>
    <t>DOS 7 Minutes, $/MWh</t>
  </si>
  <si>
    <t>DOS 1 Hour, $/MWh</t>
  </si>
  <si>
    <t>DOS Term, $/MWh</t>
  </si>
  <si>
    <t>Total DOS Costs</t>
  </si>
  <si>
    <t>Export Opportunity Service (XOS/XOM) Rates</t>
  </si>
  <si>
    <t>XOS/XOM, $/MWh</t>
  </si>
  <si>
    <t>Total XOS Costs</t>
  </si>
  <si>
    <t>2023 Billing Determinants</t>
  </si>
  <si>
    <t>Rate DTS</t>
  </si>
  <si>
    <t>Rate STS</t>
  </si>
  <si>
    <t>2023 ISO Tariff Rates Update</t>
  </si>
  <si>
    <t>Increase</t>
  </si>
  <si>
    <t>Determinant</t>
  </si>
  <si>
    <t>(Decrease)</t>
  </si>
  <si>
    <t>2023 Revenue</t>
  </si>
  <si>
    <t>DTS Coincident Metered Demand</t>
  </si>
  <si>
    <t>MW-months</t>
  </si>
  <si>
    <t>—</t>
  </si>
  <si>
    <t>DTS Billing Capacity (Total)</t>
  </si>
  <si>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</si>
  <si>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</si>
  <si>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</si>
  <si>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</si>
  <si>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t>DTS Highest Monthly Metered Demands</t>
  </si>
  <si>
    <t>Metered Energy (All Hours)</t>
  </si>
  <si>
    <t>DTS Market Participants (Equivalent) (Note 2)</t>
  </si>
  <si>
    <t>customer-months</t>
  </si>
  <si>
    <t>Pool Price (Note 3)</t>
  </si>
  <si>
    <t>Revenue Weighted Average</t>
  </si>
  <si>
    <t>RGU Maximum Continuous Rating (MCR)</t>
  </si>
  <si>
    <t>DTS Billing Capacity within each tier is the sum over all Rate DTS market participants of the Rate DTS billing capacity within the</t>
  </si>
  <si>
    <t>bounds defined as amounts multiplied by the substation fraction for each Rate DTS market participant</t>
  </si>
  <si>
    <t>DTS Market Participants (Equivalent) is the sum over all Rate DTS market participants of the substation fraction for each Rate DTS</t>
  </si>
  <si>
    <t>market participant</t>
  </si>
  <si>
    <t>2023 Approved Rates</t>
  </si>
  <si>
    <t>2024 Proposed Rates</t>
  </si>
  <si>
    <t>Increase (Decrease)</t>
  </si>
  <si>
    <t>2023
Rate</t>
  </si>
  <si>
    <t>2024
Determinant</t>
  </si>
  <si>
    <t>2024
Rate</t>
  </si>
  <si>
    <t>Percent
%</t>
  </si>
  <si>
    <t>DTS Tariff</t>
  </si>
  <si>
    <t>Connection Charge</t>
  </si>
  <si>
    <t>Bulk System Charge — Demand</t>
  </si>
  <si>
    <t>Bulk System Charge — Usage</t>
  </si>
  <si>
    <t>Regional System Charge — Demand</t>
  </si>
  <si>
    <t>Regional System Charge — Usage</t>
  </si>
  <si>
    <r>
      <t xml:space="preserve">POD Charge — Customer </t>
    </r>
    <r>
      <rPr>
        <sz val="10"/>
        <rFont val="Arial"/>
        <family val="2"/>
      </rPr>
      <t>×</t>
    </r>
    <r>
      <rPr>
        <sz val="10"/>
        <rFont val="Arial Narrow"/>
        <family val="2"/>
      </rPr>
      <t xml:space="preserve"> SF</t>
    </r>
  </si>
  <si>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</si>
  <si>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</si>
  <si>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</si>
  <si>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</si>
  <si>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Total Connection Charge</t>
  </si>
  <si>
    <t>Operating Reserve Charge — % of PP</t>
  </si>
  <si>
    <t>Transmission Constraint Rebalacing Charge — Usage</t>
  </si>
  <si>
    <t>Voltage Control Charge — Usage</t>
  </si>
  <si>
    <t>OSS Service Charge — Demand</t>
  </si>
  <si>
    <t>STS Tariff</t>
  </si>
  <si>
    <t>Losses Charge — % of PP</t>
  </si>
  <si>
    <t>RGU Connection Costs — Demand</t>
  </si>
  <si>
    <t>Total STS Tariff</t>
  </si>
  <si>
    <t>Total DTS and STS Tariffs</t>
  </si>
  <si>
    <t>“SF” refers to substation fraction; the tiers provided in lines 7 through 11 are within bounds defined by amounts multiplied by the substation fraction for each Rate DTS</t>
  </si>
  <si>
    <t xml:space="preserve"> market participant</t>
  </si>
  <si>
    <t>2023 rates (Column A) are final approved as per AUC Decision 27777-D01-2022, issued on December 21, 2022</t>
  </si>
  <si>
    <t>Table B-8</t>
  </si>
  <si>
    <t>Revenue</t>
  </si>
  <si>
    <t>$ 000</t>
  </si>
  <si>
    <t>FTS Bulk System Charge</t>
  </si>
  <si>
    <t>FTS Regional System Charge</t>
  </si>
  <si>
    <t>Non-Coincident Demand Charge</t>
  </si>
  <si>
    <t>Note 1</t>
  </si>
  <si>
    <t>Flat Usage charge</t>
  </si>
  <si>
    <t>FTS Operating Reserve Charge</t>
  </si>
  <si>
    <r>
      <t>×</t>
    </r>
    <r>
      <rPr>
        <sz val="10"/>
        <rFont val="Arial Narrow"/>
        <family val="2"/>
      </rPr>
      <t xml:space="preserve"> Pool Price (Note 2)</t>
    </r>
  </si>
  <si>
    <t>FTS Transmission Constraint Rebalancing Charge</t>
  </si>
  <si>
    <t>FTS Voltage Control (TMR) Charge</t>
  </si>
  <si>
    <t>FTS Other System Support Services Charge</t>
  </si>
  <si>
    <t>Total FTS Cost Recovery</t>
  </si>
  <si>
    <t>Direction 7 of Decision 2005-096 established the Fort Nelson local system charge to be “the greater of the postage stamp rate for local wires</t>
  </si>
  <si>
    <t>costs or the actual cost of the AE line providing service to Fort Nelson.” Based on the Rate DTS Regional System Charge from Table D-6:</t>
  </si>
  <si>
    <t xml:space="preserve">   DTS Regional System Wires Demand Charge</t>
  </si>
  <si>
    <t>×</t>
  </si>
  <si>
    <t>=</t>
  </si>
  <si>
    <t xml:space="preserve">   DTS Regional System Wires Usage Charge</t>
  </si>
  <si>
    <t xml:space="preserve">   Total postage stamp rate for regional wires costs</t>
  </si>
  <si>
    <t>The actual cost of the AE line providing service to Fort Nelson, as provided in Information Response BCH.AESO-005 in the AESO’s 2005-2006</t>
  </si>
  <si>
    <t xml:space="preserve">GTA, is $410,139 per year. Rate DTS therefore determines the Rate FTS Regional System Charge (in conjunction with non-wires costs from </t>
  </si>
  <si>
    <t>Table 5-6):</t>
  </si>
  <si>
    <t xml:space="preserve">     Non-Wires</t>
  </si>
  <si>
    <t>Units</t>
  </si>
  <si>
    <t xml:space="preserve">   FTS Regional System Demand Charge</t>
  </si>
  <si>
    <t xml:space="preserve">   FTS Regional System Usage Charge</t>
  </si>
  <si>
    <t>Rate FTS</t>
  </si>
  <si>
    <t>FTS Coincident Metered Demand</t>
  </si>
  <si>
    <t>FTS Billing Capacity</t>
  </si>
  <si>
    <t>FTS Highest Metered Demand</t>
  </si>
  <si>
    <t>Pool Price (Note)</t>
  </si>
  <si>
    <t>Name:</t>
  </si>
  <si>
    <t>Name</t>
  </si>
  <si>
    <t>ID:</t>
  </si>
  <si>
    <t>Account ID</t>
  </si>
  <si>
    <t>2024 and 2023 BILL ESTIMATES (MONTHLY)</t>
  </si>
  <si>
    <t>Commodity</t>
  </si>
  <si>
    <t>(1)</t>
  </si>
  <si>
    <t>Approved AESO 2023 Rates</t>
  </si>
  <si>
    <t>(2)</t>
  </si>
  <si>
    <t>Proposed AESO 2024 Rates</t>
  </si>
  <si>
    <t>(3)</t>
  </si>
  <si>
    <t>(4)</t>
  </si>
  <si>
    <t>Percentage Increase (Decrease)</t>
  </si>
  <si>
    <t>INPUTS</t>
  </si>
  <si>
    <t>Billing Determinants</t>
  </si>
  <si>
    <t>(a)</t>
  </si>
  <si>
    <t>Contract Capacity</t>
  </si>
  <si>
    <t>MW</t>
  </si>
  <si>
    <t>(b)</t>
  </si>
  <si>
    <t>Highest Metered Demand in Billing Period</t>
  </si>
  <si>
    <t>(c)</t>
  </si>
  <si>
    <t>Coincidence Factor with 15-minute system peak</t>
  </si>
  <si>
    <t>%</t>
  </si>
  <si>
    <t>(d)</t>
  </si>
  <si>
    <t>Coincident Metered Demand</t>
  </si>
  <si>
    <t>(e)</t>
  </si>
  <si>
    <t>Highest Metered Demand in previous 24 months</t>
  </si>
  <si>
    <t>(f)</t>
  </si>
  <si>
    <t>Billing Capacity (highest of 90% × (a), (b), or 90% × (e))</t>
  </si>
  <si>
    <t>(g)</t>
  </si>
  <si>
    <t>Load Factor</t>
  </si>
  <si>
    <t>(h)</t>
  </si>
  <si>
    <t>Hours in Month</t>
  </si>
  <si>
    <t>hours</t>
  </si>
  <si>
    <t>(i)</t>
  </si>
  <si>
    <t>Metered Energy</t>
  </si>
  <si>
    <t>MWh</t>
  </si>
  <si>
    <t>(j)</t>
  </si>
  <si>
    <t>Substation Fraction</t>
  </si>
  <si>
    <t>(k)</t>
  </si>
  <si>
    <t>Pool Price</t>
  </si>
  <si>
    <t>$/MWh</t>
  </si>
  <si>
    <t>Billing determinant values should be entered above only in cells indicated with yellow shading and red text. All other values are calculated.</t>
  </si>
  <si>
    <t>Coincidence Factor in (c) is the percentage of Highest Metered Demand in (b) which is on-line at the time of system peak.</t>
  </si>
  <si>
    <t>Load Factor in (g) is average demand during the month as a percentage of Highest Metered Demand during the month.</t>
  </si>
  <si>
    <t>Impacts of Primary Service Credit, Deferral Account Adjustment Rider C, and other credits and riders are not included.</t>
  </si>
  <si>
    <t>For additional definitions see Demand Transmission Service Rate DTS in the tariff posted on the AESO web site.</t>
  </si>
  <si>
    <t xml:space="preserve">This calculator provides estimates only. Actual AESO bills are based on hourly settlement information rather than monthly averages. </t>
  </si>
  <si>
    <t>For confirmation of billing information or for questions relating to an actual AESO bill, please contact the AESO.</t>
  </si>
  <si>
    <t>In the event of differences between this workbook and the AESO’s approved tariff, the approved tariff prevails.</t>
  </si>
  <si>
    <t>DTS BILL PER PROPOSED AESO 2024 RATES</t>
  </si>
  <si>
    <t>Rate Component</t>
  </si>
  <si>
    <t>Rate Level</t>
  </si>
  <si>
    <t>Bulk System charge</t>
  </si>
  <si>
    <t>(1)(a)</t>
  </si>
  <si>
    <t>(1)(b)</t>
  </si>
  <si>
    <t>Regional System Charge</t>
  </si>
  <si>
    <t>(2)(a)</t>
  </si>
  <si>
    <t>Billing Capacity</t>
  </si>
  <si>
    <t>(2)(b)</t>
  </si>
  <si>
    <t>Point of Delivery Charge</t>
  </si>
  <si>
    <t>(3)(a)</t>
  </si>
  <si>
    <t>Substation × Substation Fraction</t>
  </si>
  <si>
    <t>(3)(b)</t>
  </si>
  <si>
    <t>First (7.5 × Sub Fraction) MW of Billing Capacity</t>
  </si>
  <si>
    <t>(3)(c)</t>
  </si>
  <si>
    <t>Next (9.5 × Sub Fraction) MW of Billing Capacity</t>
  </si>
  <si>
    <t>(3)(d)</t>
  </si>
  <si>
    <t>Next (23 × Sub Fraction) MW of Billing Capacity</t>
  </si>
  <si>
    <t>(3)(e)</t>
  </si>
  <si>
    <t>All Remaining MW of Billing Capacity</t>
  </si>
  <si>
    <t>≤ 5 MW</t>
  </si>
  <si>
    <t>Operating Reserve Charge</t>
  </si>
  <si>
    <t>Metered Energy × Pool Price</t>
  </si>
  <si>
    <t>× Pool Price</t>
  </si>
  <si>
    <t>Transmission Constraint Rebalancing Charge</t>
  </si>
  <si>
    <t>(5)</t>
  </si>
  <si>
    <t>Voltage Control Charge</t>
  </si>
  <si>
    <t>(6)</t>
  </si>
  <si>
    <t>Other System Support Services Charge</t>
  </si>
  <si>
    <t>(7)</t>
  </si>
  <si>
    <t>Highest Metered Demand</t>
  </si>
  <si>
    <t>Total DTS Bill Estimate</t>
  </si>
  <si>
    <t>Monthly:</t>
  </si>
  <si>
    <t>Annual:</t>
  </si>
  <si>
    <t>DTS BILL PER APPROVED 2023 RATES</t>
  </si>
  <si>
    <t>Bulk System Charge</t>
  </si>
  <si>
    <t>Local System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</si>
</sst>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_-;\-* #,##0.0_-;_-* &quot;-&quot;?_-;_-@_-"/>
    <numFmt numFmtId="166" formatCode="?#"/>
    <numFmt numFmtId="167" formatCode="0%_);\(0%\);&quot;-&quot;_%_)"/>
    <numFmt numFmtId="168" formatCode="_-&quot;$&quot;* #,##0.0_-;\-&quot;$&quot;* #,##0.0_-;_-&quot;$&quot;* &quot;-&quot;_-;_-@_-"/>
    <numFmt numFmtId="169" formatCode="_-* #,##0.0_-;\-* #,##0.0_-;_-* &quot;-&quot;_-;_-@_-"/>
    <numFmt numFmtId="170" formatCode="_(&quot;$&quot;* #,##0.0_);_(&quot;$&quot;* \(#,##0.0\);_(&quot;$&quot;* &quot;-&quot;?_);_(@_)"/>
    <numFmt numFmtId="171" formatCode="0.0%_);\(0.0%\);&quot;-&quot;_%_)"/>
    <numFmt numFmtId="172" formatCode="0.00%_);\(0.00%\);&quot;-&quot;_%_)"/>
    <numFmt numFmtId="173" formatCode="_(&quot;$&quot;* #,##0.00_);_(&quot;$&quot;* \(#,##0.00\);_(&quot;$&quot;* &quot;-&quot;?_);_(@_)"/>
    <numFmt numFmtId="174" formatCode="_(* #,##0.0_);_(* \(#,##0.0\);_(* &quot;-&quot;_);_(@_)"/>
    <numFmt numFmtId="175" formatCode="_(* #,##0.0_);_(* \(#,##0.0\);_(* &quot;-&quot;?_);_(@_)"/>
    <numFmt numFmtId="176" formatCode="#,##0.0"/>
    <numFmt numFmtId="177" formatCode="&quot;$&quot;#,##0.00"/>
    <numFmt numFmtId="178" formatCode="_(* #,##0.0_);_(* \(#,##0.0\);_(* &quot;-&quot;_0_);_(@_)"/>
    <numFmt numFmtId="179" formatCode="_(&quot;$&quot;* #,##0_);_(&quot;$&quot;* \(#,##0\);_(&quot;$&quot;* &quot;-&quot;?_);_(@_)"/>
    <numFmt numFmtId="180" formatCode="_(&quot;$&quot;* #,##0_);_(&quot;$&quot;* \(#,##0\);_(&quot;$&quot;* &quot;-&quot;??_);_(@_)"/>
    <numFmt numFmtId="181" formatCode="#,##0.0_);\(#,##0.0\)"/>
    <numFmt numFmtId="182" formatCode="&quot;DTS (&quot;#,##0.0&quot; GWh)&quot;"/>
    <numFmt numFmtId="183" formatCode="_(&quot;$&quot;* #,##0.000_);_(&quot;$&quot;* \(#,##0.000\);_(&quot;$&quot;* &quot;-&quot;?_);_(@_)"/>
    <numFmt numFmtId="184" formatCode="_(* #,##0.000_);_(* \(#,##0.000\);_(* &quot;-&quot;_0_);_(@_)"/>
    <numFmt numFmtId="185" formatCode="_(&quot;$&quot;* #,##0.000_);_(&quot;$&quot;* \(#,##0.000\);_(&quot;$&quot;* &quot;-&quot;???_);_(@_)"/>
    <numFmt numFmtId="186" formatCode="0.0&quot; MW&quot;"/>
    <numFmt numFmtId="187" formatCode="0&quot; MW&quot;"/>
    <numFmt numFmtId="188" formatCode="_(&quot;$&quot;* #,##0.0_);_(&quot;$&quot;* \(#,##0.0\)"/>
    <numFmt numFmtId="189" formatCode="[$-409]d/mmm/yyyy;@"/>
    <numFmt numFmtId="190" formatCode="0.000"/>
    <numFmt numFmtId="191" formatCode="0.0"/>
    <numFmt numFmtId="192" formatCode="0.00000"/>
    <numFmt numFmtId="193" formatCode="0.0%_);\(0.0%\)"/>
    <numFmt numFmtId="194" formatCode="#,##0.0_);\(#,##0.0\);&quot;-&quot;_0_)"/>
    <numFmt numFmtId="195" formatCode="0.0%_);\(0.0%\);&quot;-&quot;_0_%"/>
    <numFmt numFmtId="196" formatCode="0_);\(0\)"/>
    <numFmt numFmtId="197" formatCode="_(* #,##0.000_);_(* \(#,##0.000\);_(* &quot;-&quot;??_);_(@_)"/>
    <numFmt numFmtId="198" formatCode="&quot;error&quot;;&quot;error&quot;;&quot;OK&quot;;&quot;  &quot;@"/>
    <numFmt numFmtId="199" formatCode="#,##0\ ;[Red]\(#,##0\)"/>
    <numFmt numFmtId="200" formatCode="m/d/yy\ h:mm"/>
    <numFmt numFmtId="201" formatCode="#,##0_);\(#,##0\);&quot;- &quot;;&quot;  &quot;@"/>
    <numFmt numFmtId="202" formatCode="#,##0.0000_);\(#,##0.0000\);&quot;- &quot;;&quot;  &quot;@"/>
    <numFmt numFmtId="203" formatCode="_ * #,##0.00_ ;_ * \-#,##0.00_ ;_ * &quot;-&quot;??_ ;_ @_ "/>
    <numFmt numFmtId="204" formatCode="#,##0.0\ \ \ \ ;[Red]\(#,##0.0\)\ \ "/>
    <numFmt numFmtId="205" formatCode="0.0\ \ \ \ \ \ ;[Red]\(0.0\)\ \ \ \ "/>
    <numFmt numFmtId="206" formatCode="0.0\ \ \ \ \ \ \ \ ;[Red]\(0.0\)\ \ \ \ \ \ "/>
    <numFmt numFmtId="207" formatCode="mmm\ dd\,\ yyyy"/>
    <numFmt numFmtId="208" formatCode="mmm\-yyyy"/>
    <numFmt numFmtId="209" formatCode="yyyy"/>
    <numFmt numFmtId="210" formatCode=";;&quot;zero&quot;;&quot;  &quot;@"/>
    <numFmt numFmtId="211" formatCode="0.0_)\%;\(0.0\)\%;0.0_)\%;@_)_%"/>
    <numFmt numFmtId="212" formatCode="#,##0.0_)_%;\(#,##0.0\)_%;0.0_)_%;@_)_%"/>
    <numFmt numFmtId="213" formatCode="#,##0.0_);\(#,##0.0\);#,##0.0_);@_)"/>
    <numFmt numFmtId="214" formatCode="&quot;$&quot;_(#,##0.00_);&quot;$&quot;\(#,##0.00\);&quot;$&quot;_(0.00_);@_)"/>
    <numFmt numFmtId="215" formatCode="#,##0.00_);\(#,##0.00\);0.00_);@_)"/>
    <numFmt numFmtId="216" formatCode="\€_(#,##0.00_);\€\(#,##0.00\);\€_(0.00_);@_)"/>
    <numFmt numFmtId="217" formatCode="#,##0_)\x;\(#,##0\)\x;0_)\x;@_)_x"/>
    <numFmt numFmtId="218" formatCode="#,##0_)_x;\(#,##0\)_x;0_)_x;@_)_x"/>
    <numFmt numFmtId="219" formatCode="&quot;$&quot;#,##0.0;[Red]\-&quot;$&quot;#,##0.0"/>
    <numFmt numFmtId="220" formatCode="#,##0.0_);[Red]\(#,##0.0\)"/>
    <numFmt numFmtId="221" formatCode="#,##0."/>
    <numFmt numFmtId="222" formatCode="\$#."/>
    <numFmt numFmtId="223" formatCode="_([$€-2]* #,##0.00_);_([$€-2]* \(#,##0.00\);_([$€-2]* &quot;-&quot;??_)"/>
    <numFmt numFmtId="224" formatCode="_-* #,##0.0_-;\-* #,##0.0_-;_-* &quot;-&quot;??_-;_-@_-"/>
    <numFmt numFmtId="225" formatCode="#,##0__;[Red]\(#,##0\)_]"/>
    <numFmt numFmtId="226" formatCode="#,##0.00&quot; $&quot;;\-#,##0.00&quot; $&quot;"/>
    <numFmt numFmtId="227" formatCode="_-* #,##0\ _$_-;\-* #,##0\ _$_-;_-* &quot;-&quot;\ _$_-;_-@_-"/>
    <numFmt numFmtId="228" formatCode="_(&quot;N$&quot;* #,##0_);_(&quot;N$&quot;* \(#,##0\);_(&quot;N$&quot;* &quot;-&quot;_);_(@_)"/>
    <numFmt numFmtId="229" formatCode="_(&quot;N$&quot;* #,##0.00_);_(&quot;N$&quot;* \(#,##0.00\);_(&quot;N$&quot;* &quot;-&quot;??_);_(@_)"/>
    <numFmt numFmtId="230" formatCode="_-* #,##0\ &quot;$&quot;_-;\-* #,##0\ &quot;$&quot;_-;_-* &quot;-&quot;\ &quot;$&quot;_-;_-@_-"/>
    <numFmt numFmtId="231" formatCode="_-* #,##0.00\ &quot;$&quot;_-;\-* #,##0.00\ &quot;$&quot;_-;_-* &quot;-&quot;??\ &quot;$&quot;_-;_-@_-"/>
    <numFmt numFmtId="232" formatCode="#,##0.0000\ ;[Red]\(#,##0.0000\)"/>
    <numFmt numFmtId="233" formatCode="&quot;$&quot;\ #,###,###,##0_);\(&quot;$&quot;\ #,###,###,##0\)_);&quot;&quot;_)"/>
    <numFmt numFmtId="234" formatCode="%#."/>
    <numFmt numFmtId="235" formatCode="&quot;$&quot;\ #,###,##0_);\(&quot;$&quot;\ #,###,##0\)_)"/>
    <numFmt numFmtId="236" formatCode="#,###,###,##0_);\(#,###,###,##0\)_)"/>
    <numFmt numFmtId="237" formatCode="0.00\ ;\-0.00\ ;&quot;- &quot;"/>
    <numFmt numFmtId="238" formatCode="#,###,##0.0_)"/>
    <numFmt numFmtId="239" formatCode="#,##0.00;[Red]#,##0.00"/>
    <numFmt numFmtId="240" formatCode="_(* #,##0_);_(* \(#,##0\);_(* &quot;-&quot;??_);_(@_)"/>
    <numFmt numFmtId="241" formatCode="_(* #,##0.0_);_(* \(#,##0.0\);_(* &quot;-&quot;??_);_(@_)"/>
    <numFmt numFmtId="242" formatCode="_(* #,##0_);_(* \(#,##0\);_(* &quot;-&quot;_0_);_(@_)"/>
    <numFmt numFmtId="243" formatCode="0.0%"/>
    <numFmt numFmtId="244" formatCode="_-&quot;$&quot;* #,##0.00_-;\-&quot;$&quot;* #,##0.00_-;_-&quot;$&quot;* &quot;-&quot;??_-;_-@_-"/>
    <numFmt numFmtId="245" formatCode="0.00_)%;\(0.00\)%;\-"/>
    <numFmt numFmtId="246" formatCode="_-* #,##0.00\ _D_M_-;\-* #,##0.00\ _D_M_-;_-* &quot;-&quot;??\ _D_M_-;_-@_-"/>
    <numFmt numFmtId="247" formatCode="[$-409]dd/mmm/yy;@"/>
    <numFmt numFmtId="248" formatCode="#,##0.0\ ;\(#,##0.0\)"/>
    <numFmt numFmtId="249" formatCode="#,##0.000\ ;\(#,##0.000\)"/>
    <numFmt numFmtId="250" formatCode="#,##0.00\ ;\ \(#,##0.00\)"/>
    <numFmt numFmtId="251" formatCode="#,##0\ ;\(#,##0\)"/>
    <numFmt numFmtId="252" formatCode="_(&quot;$&quot;* #,##0.0_);_(&quot;$&quot;* \(#,##0.0\);_(&quot;$&quot;* &quot;-&quot;??_);_(@_)"/>
    <numFmt numFmtId="253" formatCode="_(* #,##0.00_);_(* \(#,##0.00\);_(* &quot;-&quot;?_);_(@_)"/>
    <numFmt numFmtId="254" formatCode="_-* #,##0.000000_-;\-* #,##0.000000_-;_-* &quot;-&quot;?_-;_-@_-"/>
    <numFmt numFmtId="255" formatCode="_-* #,##0.0000_-;\-* #,##0.0000_-;_-* &quot;-&quot;?_-;_-@_-"/>
    <numFmt numFmtId="256" formatCode="_-* #,##0\ _D_M_-;\-* #,##0\ _D_M_-;_-* &quot;-&quot;\ _D_M_-;_-@_-"/>
    <numFmt numFmtId="257" formatCode="_-* #,##0\ &quot;DM&quot;_-;\-* #,##0\ &quot;DM&quot;_-;_-* &quot;-&quot;\ &quot;DM&quot;_-;_-@_-"/>
    <numFmt numFmtId="258" formatCode="_-* #,##0.00\ &quot;DM&quot;_-;\-* #,##0.00\ &quot;DM&quot;_-;_-* &quot;-&quot;??\ &quot;DM&quot;_-;_-@_-"/>
    <numFmt numFmtId="259" formatCode="0.000%_);\(0.000%\);&quot;-&quot;_%_)"/>
    <numFmt numFmtId="260" formatCode="_(* #,##0_);_(* \(#,##0\);_(* &quot;-&quot;?_);_(@_)"/>
    <numFmt numFmtId="261" formatCode="_-* #,##0_-;\-* #,##0_-;_-* &quot;-&quot;?_-;_-@_-"/>
    <numFmt numFmtId="262" formatCode="_-* #,##0.00_-;\-* #,##0.00_-;_-* &quot;-&quot;?_-;_-@_-"/>
    <numFmt numFmtId="263" formatCode="m\-d\-yy"/>
    <numFmt numFmtId="264" formatCode="_-* #,##0.00_$_-;\-* #,##0.00_$_-;_-* &quot;-&quot;??_$_-;_-@_-"/>
    <numFmt numFmtId="265" formatCode="_-* #,##0.00&quot;$&quot;_-;\-* #,##0.00&quot;$&quot;_-;_-* &quot;-&quot;??&quot;$&quot;_-;_-@_-"/>
    <numFmt numFmtId="266" formatCode="&quot;$&quot;#,##0\ ;\(&quot;$&quot;#,##0\)"/>
    <numFmt numFmtId="267" formatCode="#.00"/>
    <numFmt numFmtId="268" formatCode="0.00_)"/>
    <numFmt numFmtId="269" formatCode="0.000000"/>
    <numFmt numFmtId="270" formatCode="General_)"/>
    <numFmt numFmtId="271" formatCode="&quot;$&quot;0.00\ \ &quot;MWh&quot;"/>
    <numFmt numFmtId="272" formatCode="_-* #,##0\ _P_t_s_-;\-* #,##0\ _P_t_s_-;_-* &quot;-&quot;\ _P_t_s_-;_-@_-"/>
    <numFmt numFmtId="273" formatCode="_-* #,##0.00\ _P_t_s_-;\-* #,##0.00\ _P_t_s_-;_-* &quot;-&quot;??\ _P_t_s_-;_-@_-"/>
    <numFmt numFmtId="274" formatCode="0.0\ \ &quot;MW&quot;"/>
    <numFmt numFmtId="275" formatCode="0.0\ \ &quot;MWh&quot;"/>
    <numFmt numFmtId="276" formatCode="#,##0,_);\(#,##0,\)"/>
    <numFmt numFmtId="277" formatCode="#,###,;\(#,###,\)"/>
    <numFmt numFmtId="278" formatCode="_(&quot;$&quot;* #,##0.000_);_(&quot;$&quot;* \(#,##0.000\);_(&quot;$&quot;* &quot;-&quot;??_);_(@_)"/>
    <numFmt numFmtId="279" formatCode="&quot;$&quot;#,##0.000"/>
    <numFmt numFmtId="280" formatCode="#,##0.0000000000000_);\(#,##0.0000000000000\)"/>
    <numFmt numFmtId="281" formatCode="#,##0.000000000000_);\(#,##0.000000000000\)"/>
    <numFmt numFmtId="282" formatCode="#,##0.000_);\(#,##0.000\);&quot;-&quot;_0_)"/>
    <numFmt numFmtId="283" formatCode="#,##0.0000000_);\(#,##0.0000000\)"/>
    <numFmt numFmtId="284" formatCode="_-* #,##0.000_-;\-* #,##0.000_-;_-* &quot;-&quot;?_-;_-@_-"/>
    <numFmt numFmtId="285" formatCode="#,##0_);\(#,##0\);&quot;-&quot;_0_)"/>
  </numFmts>
  <fonts count="223">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i/>
      <sz val="10"/>
      <name val="Arial"/>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u/>
      <sz val="10"/>
      <name val="Arial Narrow"/>
      <family val="2"/>
    </font>
  </fonts>
  <fills count="116">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theme="9" tint="0.79998168889431442"/>
        <bgColor indexed="64"/>
      </patternFill>
    </fill>
    <fill>
      <patternFill patternType="solid">
        <fgColor rgb="FFFFFF00"/>
        <bgColor indexed="64"/>
      </patternFill>
    </fill>
  </fills>
  <borders count="180">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style="hair">
        <color indexed="64"/>
      </top>
      <bottom/>
      <diagonal/>
    </border>
  </borders>
  <cellStyleXfs count="35359">
    <xf numFmtId="165" fontId="0" fillId="0" borderId="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5" fillId="0" borderId="0" applyNumberFormat="0" applyFill="0" applyBorder="0" applyAlignment="0" applyProtection="0"/>
    <xf numFmtId="0" fontId="18" fillId="2" borderId="0" applyNumberFormat="0" applyFont="0" applyAlignment="0" applyProtection="0"/>
    <xf numFmtId="0" fontId="18" fillId="2" borderId="0" applyNumberFormat="0" applyFont="0" applyAlignment="0" applyProtection="0"/>
    <xf numFmtId="0" fontId="18" fillId="2" borderId="0" applyNumberFormat="0" applyFont="0" applyAlignment="0" applyProtection="0"/>
    <xf numFmtId="0" fontId="11" fillId="2" borderId="0" applyNumberFormat="0" applyFont="0" applyAlignment="0" applyProtection="0"/>
    <xf numFmtId="0" fontId="11" fillId="2" borderId="0" applyNumberFormat="0" applyFont="0" applyAlignment="0" applyProtection="0"/>
    <xf numFmtId="217" fontId="18" fillId="0" borderId="0" applyFont="0" applyFill="0" applyBorder="0" applyAlignment="0" applyProtection="0"/>
    <xf numFmtId="217" fontId="18" fillId="0" borderId="0" applyFont="0" applyFill="0" applyBorder="0" applyAlignment="0" applyProtection="0"/>
    <xf numFmtId="217" fontId="18"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8" fontId="18" fillId="0" borderId="0" applyFont="0" applyFill="0" applyBorder="0" applyProtection="0">
      <alignment horizontal="right"/>
    </xf>
    <xf numFmtId="218" fontId="18" fillId="0" borderId="0" applyFont="0" applyFill="0" applyBorder="0" applyProtection="0">
      <alignment horizontal="right"/>
    </xf>
    <xf numFmtId="218" fontId="18"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0" fontId="63" fillId="0" borderId="0" applyNumberFormat="0" applyFill="0" applyBorder="0" applyProtection="0">
      <alignment vertical="top"/>
    </xf>
    <xf numFmtId="0" fontId="63" fillId="0" borderId="0" applyNumberFormat="0" applyFill="0" applyBorder="0" applyProtection="0">
      <alignment vertical="top"/>
    </xf>
    <xf numFmtId="0" fontId="63" fillId="0" borderId="0" applyNumberFormat="0" applyFill="0" applyBorder="0" applyProtection="0">
      <alignment vertical="top"/>
    </xf>
    <xf numFmtId="0" fontId="116" fillId="0" borderId="0" applyNumberFormat="0" applyFill="0" applyBorder="0" applyProtection="0">
      <alignment vertical="top"/>
    </xf>
    <xf numFmtId="0" fontId="64" fillId="0" borderId="1" applyNumberFormat="0" applyFill="0" applyAlignment="0" applyProtection="0"/>
    <xf numFmtId="0" fontId="64" fillId="0" borderId="1" applyNumberFormat="0" applyFill="0" applyAlignment="0" applyProtection="0"/>
    <xf numFmtId="0" fontId="64" fillId="0" borderId="1" applyNumberFormat="0" applyFill="0" applyAlignment="0" applyProtection="0"/>
    <xf numFmtId="0" fontId="117" fillId="0" borderId="1" applyNumberFormat="0" applyFill="0" applyAlignment="0" applyProtection="0"/>
    <xf numFmtId="0" fontId="65" fillId="0" borderId="2" applyNumberFormat="0" applyFill="0" applyProtection="0">
      <alignment horizontal="center"/>
    </xf>
    <xf numFmtId="0" fontId="65" fillId="0" borderId="2" applyNumberFormat="0" applyFill="0" applyProtection="0">
      <alignment horizontal="center"/>
    </xf>
    <xf numFmtId="0" fontId="65" fillId="0" borderId="2" applyNumberFormat="0" applyFill="0" applyProtection="0">
      <alignment horizontal="center"/>
    </xf>
    <xf numFmtId="0" fontId="118" fillId="0" borderId="2" applyNumberFormat="0" applyFill="0" applyProtection="0">
      <alignment horizontal="center"/>
    </xf>
    <xf numFmtId="0" fontId="65" fillId="0" borderId="0" applyNumberFormat="0" applyFill="0" applyBorder="0" applyProtection="0">
      <alignment horizontal="left"/>
    </xf>
    <xf numFmtId="0" fontId="65" fillId="0" borderId="0" applyNumberFormat="0" applyFill="0" applyBorder="0" applyProtection="0">
      <alignment horizontal="left"/>
    </xf>
    <xf numFmtId="0" fontId="65" fillId="0" borderId="0" applyNumberFormat="0" applyFill="0" applyBorder="0" applyProtection="0">
      <alignment horizontal="left"/>
    </xf>
    <xf numFmtId="0" fontId="118" fillId="0" borderId="0" applyNumberFormat="0" applyFill="0" applyBorder="0" applyProtection="0">
      <alignment horizontal="left"/>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66" fillId="0" borderId="0" applyNumberFormat="0" applyFill="0" applyBorder="0" applyProtection="0">
      <alignment horizontal="centerContinuous"/>
    </xf>
    <xf numFmtId="0" fontId="119" fillId="0" borderId="0" applyNumberFormat="0" applyFill="0" applyBorder="0" applyProtection="0">
      <alignment horizontal="centerContinuous"/>
    </xf>
    <xf numFmtId="0" fontId="37" fillId="4"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40"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40" fillId="5"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40" fillId="7"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40"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40" fillId="6" borderId="0" applyNumberFormat="0" applyBorder="0" applyAlignment="0" applyProtection="0"/>
    <xf numFmtId="0" fontId="37" fillId="5" borderId="0" applyNumberFormat="0" applyBorder="0" applyAlignment="0" applyProtection="0"/>
    <xf numFmtId="0" fontId="37" fillId="9" borderId="0" applyNumberFormat="0" applyBorder="0" applyAlignment="0" applyProtection="0"/>
    <xf numFmtId="0" fontId="37" fillId="5" borderId="0" applyNumberFormat="0" applyBorder="0" applyAlignment="0" applyProtection="0"/>
    <xf numFmtId="0" fontId="40" fillId="5" borderId="0" applyNumberFormat="0" applyBorder="0" applyAlignment="0" applyProtection="0"/>
    <xf numFmtId="197" fontId="67" fillId="0" borderId="0" applyFont="0" applyFill="0" applyBorder="0" applyAlignment="0">
      <alignment horizontal="right"/>
    </xf>
    <xf numFmtId="0" fontId="37" fillId="15"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40" fillId="6"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40" fillId="7" borderId="0" applyNumberFormat="0" applyBorder="0" applyAlignment="0" applyProtection="0"/>
    <xf numFmtId="0" fontId="37" fillId="16" borderId="0" applyNumberFormat="0" applyBorder="0" applyAlignment="0" applyProtection="0"/>
    <xf numFmtId="0" fontId="37" fillId="2" borderId="0" applyNumberFormat="0" applyBorder="0" applyAlignment="0" applyProtection="0"/>
    <xf numFmtId="0" fontId="37" fillId="16" borderId="0" applyNumberFormat="0" applyBorder="0" applyAlignment="0" applyProtection="0"/>
    <xf numFmtId="0" fontId="40" fillId="7"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40" fillId="12"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6" borderId="0" applyNumberFormat="0" applyBorder="0" applyAlignment="0" applyProtection="0"/>
    <xf numFmtId="0" fontId="37" fillId="17" borderId="0" applyNumberFormat="0" applyBorder="0" applyAlignment="0" applyProtection="0"/>
    <xf numFmtId="0" fontId="37" fillId="2" borderId="0" applyNumberFormat="0" applyBorder="0" applyAlignment="0" applyProtection="0"/>
    <xf numFmtId="0" fontId="37" fillId="17" borderId="0" applyNumberFormat="0" applyBorder="0" applyAlignment="0" applyProtection="0"/>
    <xf numFmtId="0" fontId="40" fillId="5"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41" fillId="6" borderId="0" applyNumberFormat="0" applyBorder="0" applyAlignment="0" applyProtection="0"/>
    <xf numFmtId="0" fontId="36" fillId="8" borderId="0" applyNumberFormat="0" applyBorder="0" applyAlignment="0" applyProtection="0"/>
    <xf numFmtId="0" fontId="41" fillId="7" borderId="0" applyNumberFormat="0" applyBorder="0" applyAlignment="0" applyProtection="0"/>
    <xf numFmtId="0" fontId="36" fillId="16" borderId="0" applyNumberFormat="0" applyBorder="0" applyAlignment="0" applyProtection="0"/>
    <xf numFmtId="0" fontId="36" fillId="2" borderId="0" applyNumberFormat="0" applyBorder="0" applyAlignment="0" applyProtection="0"/>
    <xf numFmtId="0" fontId="41" fillId="7" borderId="0" applyNumberFormat="0" applyBorder="0" applyAlignment="0" applyProtection="0"/>
    <xf numFmtId="0" fontId="36" fillId="21" borderId="0" applyNumberFormat="0" applyBorder="0" applyAlignment="0" applyProtection="0"/>
    <xf numFmtId="0" fontId="36" fillId="14" borderId="0" applyNumberFormat="0" applyBorder="0" applyAlignment="0" applyProtection="0"/>
    <xf numFmtId="0" fontId="41" fillId="22"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41" fillId="6" borderId="0" applyNumberFormat="0" applyBorder="0" applyAlignment="0" applyProtection="0"/>
    <xf numFmtId="0" fontId="36" fillId="23" borderId="0" applyNumberFormat="0" applyBorder="0" applyAlignment="0" applyProtection="0"/>
    <xf numFmtId="0" fontId="36" fillId="8" borderId="0" applyNumberFormat="0" applyBorder="0" applyAlignment="0" applyProtection="0"/>
    <xf numFmtId="0" fontId="41" fillId="5" borderId="0" applyNumberFormat="0" applyBorder="0" applyAlignment="0" applyProtection="0"/>
    <xf numFmtId="0" fontId="36" fillId="24" borderId="0" applyNumberFormat="0" applyBorder="0" applyAlignment="0" applyProtection="0"/>
    <xf numFmtId="0" fontId="36" fillId="20" borderId="0" applyNumberFormat="0" applyBorder="0" applyAlignment="0" applyProtection="0"/>
    <xf numFmtId="0" fontId="41" fillId="6" borderId="0" applyNumberFormat="0" applyBorder="0" applyAlignment="0" applyProtection="0"/>
    <xf numFmtId="0" fontId="36" fillId="25" borderId="0" applyNumberFormat="0" applyBorder="0" applyAlignment="0" applyProtection="0"/>
    <xf numFmtId="0" fontId="4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7"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41" fillId="22"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41" fillId="18" borderId="0" applyNumberFormat="0" applyBorder="0" applyAlignment="0" applyProtection="0"/>
    <xf numFmtId="0" fontId="36" fillId="29" borderId="0" applyNumberFormat="0" applyBorder="0" applyAlignment="0" applyProtection="0"/>
    <xf numFmtId="0" fontId="36" fillId="23" borderId="0" applyNumberFormat="0" applyBorder="0" applyAlignment="0" applyProtection="0"/>
    <xf numFmtId="0" fontId="41" fillId="30" borderId="0" applyNumberFormat="0" applyBorder="0" applyAlignment="0" applyProtection="0"/>
    <xf numFmtId="219" fontId="67" fillId="31" borderId="3">
      <alignment horizontal="center" vertical="center"/>
    </xf>
    <xf numFmtId="0" fontId="15" fillId="32" borderId="0" applyNumberFormat="0" applyFont="0" applyAlignment="0">
      <alignment vertical="top"/>
    </xf>
    <xf numFmtId="0" fontId="18" fillId="32" borderId="0" applyNumberFormat="0" applyFont="0" applyAlignment="0">
      <alignment vertical="top" wrapText="1"/>
    </xf>
    <xf numFmtId="0" fontId="18" fillId="32" borderId="0" applyNumberFormat="0" applyFont="0" applyAlignment="0">
      <alignment vertical="top" wrapText="1"/>
    </xf>
    <xf numFmtId="0" fontId="68" fillId="7" borderId="0" applyNumberFormat="0" applyBorder="0" applyAlignment="0" applyProtection="0"/>
    <xf numFmtId="0" fontId="42" fillId="11" borderId="0" applyNumberFormat="0" applyBorder="0" applyAlignment="0" applyProtection="0"/>
    <xf numFmtId="1" fontId="69" fillId="33" borderId="4" applyNumberFormat="0" applyBorder="0" applyAlignment="0">
      <alignment horizontal="center" vertical="top" wrapText="1"/>
      <protection hidden="1"/>
    </xf>
    <xf numFmtId="220" fontId="70" fillId="0" borderId="0" applyNumberFormat="0" applyFill="0" applyBorder="0" applyAlignment="0" applyProtection="0">
      <alignment horizontal="center"/>
      <protection locked="0"/>
    </xf>
    <xf numFmtId="197" fontId="19" fillId="0" borderId="4" applyNumberFormat="0" applyFill="0" applyBorder="0" applyAlignment="0" applyProtection="0">
      <alignment horizontal="center"/>
    </xf>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1" fillId="0" borderId="0" applyNumberFormat="0" applyFill="0" applyBorder="0" applyAlignment="0"/>
    <xf numFmtId="0" fontId="11" fillId="0" borderId="0" applyNumberFormat="0" applyFill="0" applyBorder="0" applyAlignment="0"/>
    <xf numFmtId="0" fontId="30" fillId="14" borderId="5" applyNumberFormat="0" applyAlignment="0" applyProtection="0"/>
    <xf numFmtId="0" fontId="131" fillId="3" borderId="5" applyNumberFormat="0" applyAlignment="0" applyProtection="0"/>
    <xf numFmtId="0" fontId="43" fillId="12" borderId="5" applyNumberFormat="0" applyAlignment="0" applyProtection="0"/>
    <xf numFmtId="198" fontId="18" fillId="0" borderId="0" applyFont="0" applyFill="0" applyBorder="0" applyAlignment="0" applyProtection="0"/>
    <xf numFmtId="0" fontId="32" fillId="12" borderId="6" applyNumberFormat="0" applyAlignment="0" applyProtection="0"/>
    <xf numFmtId="0" fontId="32" fillId="34" borderId="7" applyNumberFormat="0" applyAlignment="0" applyProtection="0"/>
    <xf numFmtId="0" fontId="44" fillId="35" borderId="6" applyNumberFormat="0" applyAlignment="0" applyProtection="0"/>
    <xf numFmtId="191" fontId="38" fillId="0" borderId="0" applyBorder="0">
      <alignment horizontal="right"/>
    </xf>
    <xf numFmtId="191" fontId="38" fillId="0" borderId="8" applyAlignment="0">
      <alignment horizontal="right"/>
    </xf>
    <xf numFmtId="43" fontId="11" fillId="0" borderId="0" applyFont="0" applyFill="0" applyBorder="0" applyAlignment="0" applyProtection="0"/>
    <xf numFmtId="41" fontId="11" fillId="0" borderId="0" applyFont="0" applyFill="0" applyBorder="0" applyAlignment="0" applyProtection="0"/>
    <xf numFmtId="38" fontId="45" fillId="0" borderId="0" applyFont="0" applyFill="0" applyBorder="0" applyAlignment="0" applyProtection="0"/>
    <xf numFmtId="41" fontId="18"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78" fontId="12" fillId="0" borderId="0" applyFont="0" applyFill="0" applyBorder="0" applyAlignment="0" applyProtection="0">
      <alignment vertical="center"/>
    </xf>
    <xf numFmtId="4" fontId="72" fillId="0" borderId="9" applyFont="0" applyFill="0" applyBorder="0" applyAlignment="0">
      <alignment horizontal="center" vertical="center"/>
    </xf>
    <xf numFmtId="0" fontId="73" fillId="0" borderId="0" applyFont="0" applyFill="0" applyBorder="0" applyAlignment="0" applyProtection="0">
      <alignment horizontal="right"/>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0" fontId="73"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30" fillId="0" borderId="0" applyFont="0" applyFill="0" applyBorder="0" applyAlignment="0" applyProtection="0"/>
    <xf numFmtId="43" fontId="120" fillId="0" borderId="0" applyFont="0" applyFill="0" applyBorder="0" applyAlignment="0" applyProtection="0">
      <alignment vertical="top"/>
    </xf>
    <xf numFmtId="43" fontId="139" fillId="0" borderId="0" applyFont="0" applyFill="0" applyBorder="0" applyAlignment="0" applyProtection="0"/>
    <xf numFmtId="43" fontId="18" fillId="0" borderId="0" applyFont="0" applyFill="0" applyBorder="0" applyAlignment="0" applyProtection="0"/>
    <xf numFmtId="43" fontId="130" fillId="0" borderId="0" applyFont="0" applyFill="0" applyBorder="0" applyAlignment="0" applyProtection="0"/>
    <xf numFmtId="43" fontId="139"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8" fillId="0" borderId="0" applyFont="0" applyFill="0" applyBorder="0" applyAlignment="0" applyProtection="0"/>
    <xf numFmtId="43" fontId="120" fillId="0" borderId="0" applyFont="0" applyFill="0" applyBorder="0" applyAlignment="0" applyProtection="0">
      <alignment vertical="top"/>
    </xf>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8" fillId="0" borderId="0" applyFont="0" applyFill="0" applyBorder="0" applyAlignment="0" applyProtection="0"/>
    <xf numFmtId="43" fontId="120" fillId="0" borderId="0" applyFont="0" applyFill="0" applyBorder="0" applyAlignment="0" applyProtection="0">
      <alignment vertical="top"/>
    </xf>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43" fontId="18" fillId="0" borderId="0" applyFont="0" applyFill="0" applyBorder="0" applyAlignment="0" applyProtection="0"/>
    <xf numFmtId="43" fontId="120" fillId="0" borderId="0" applyFont="0" applyFill="0" applyBorder="0" applyAlignment="0" applyProtection="0">
      <alignment vertical="top"/>
    </xf>
    <xf numFmtId="199" fontId="45" fillId="0" borderId="0" applyFont="0" applyFill="0" applyBorder="0" applyAlignment="0" applyProtection="0"/>
    <xf numFmtId="3" fontId="46" fillId="0" borderId="0" applyFont="0" applyFill="0" applyBorder="0" applyAlignment="0" applyProtection="0"/>
    <xf numFmtId="0" fontId="75" fillId="0" borderId="0"/>
    <xf numFmtId="0" fontId="76" fillId="0" borderId="0"/>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121"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176" fontId="67" fillId="0" borderId="0" applyFont="0" applyFill="0" applyBorder="0" applyAlignment="0" applyProtection="0"/>
    <xf numFmtId="176" fontId="67" fillId="0" borderId="0" applyFont="0" applyFill="0" applyBorder="0" applyAlignment="0" applyProtection="0"/>
    <xf numFmtId="176" fontId="67" fillId="0" borderId="0" applyFont="0" applyFill="0" applyBorder="0" applyAlignment="0" applyProtection="0"/>
    <xf numFmtId="176" fontId="122"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122" fillId="0" borderId="0" applyFont="0" applyFill="0" applyBorder="0" applyAlignment="0" applyProtection="0"/>
    <xf numFmtId="37" fontId="77" fillId="0" borderId="0" applyFill="0" applyBorder="0" applyAlignment="0" applyProtection="0"/>
    <xf numFmtId="0" fontId="78" fillId="0" borderId="0"/>
    <xf numFmtId="0" fontId="78" fillId="0" borderId="0"/>
    <xf numFmtId="0" fontId="78" fillId="0" borderId="0"/>
    <xf numFmtId="0" fontId="123" fillId="0" borderId="0"/>
    <xf numFmtId="0" fontId="79" fillId="0" borderId="0" applyFill="0" applyBorder="0" applyProtection="0"/>
    <xf numFmtId="0" fontId="79" fillId="0" borderId="0" applyFill="0" applyBorder="0" applyProtection="0"/>
    <xf numFmtId="0" fontId="79" fillId="0" borderId="0" applyFill="0" applyBorder="0" applyProtection="0"/>
    <xf numFmtId="0" fontId="124" fillId="0" borderId="0" applyFill="0" applyBorder="0" applyProtection="0"/>
    <xf numFmtId="44" fontId="11" fillId="0" borderId="0" applyFont="0" applyFill="0" applyBorder="0" applyAlignment="0" applyProtection="0"/>
    <xf numFmtId="170" fontId="13" fillId="0" borderId="0" applyFont="0" applyBorder="0" applyAlignment="0">
      <alignment vertical="center"/>
    </xf>
    <xf numFmtId="170" fontId="13" fillId="0" borderId="0" applyFont="0" applyBorder="0" applyAlignment="0">
      <alignment vertical="center"/>
    </xf>
    <xf numFmtId="0" fontId="73"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3"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6" fillId="0" borderId="0" applyFont="0" applyFill="0" applyBorder="0" applyAlignment="0" applyProtection="0"/>
    <xf numFmtId="222" fontId="74" fillId="0" borderId="0">
      <protection locked="0"/>
    </xf>
    <xf numFmtId="222" fontId="74" fillId="0" borderId="0">
      <protection locked="0"/>
    </xf>
    <xf numFmtId="222" fontId="121" fillId="0" borderId="0">
      <protection locked="0"/>
    </xf>
    <xf numFmtId="222" fontId="74" fillId="0" borderId="0">
      <protection locked="0"/>
    </xf>
    <xf numFmtId="0" fontId="46" fillId="0" borderId="0" applyFont="0" applyFill="0" applyBorder="0" applyAlignment="0" applyProtection="0"/>
    <xf numFmtId="15" fontId="38" fillId="0" borderId="0" applyFill="0" applyBorder="0" applyAlignment="0" applyProtection="0"/>
    <xf numFmtId="6" fontId="80" fillId="0" borderId="0">
      <protection locked="0"/>
    </xf>
    <xf numFmtId="0" fontId="73" fillId="0" borderId="0" applyFont="0" applyFill="0" applyBorder="0" applyAlignment="0" applyProtection="0"/>
    <xf numFmtId="6" fontId="80" fillId="0" borderId="0">
      <protection locked="0"/>
    </xf>
    <xf numFmtId="15" fontId="81" fillId="0" borderId="0" applyFont="0" applyFill="0" applyBorder="0" applyAlignment="0" applyProtection="0">
      <alignment horizontal="center"/>
    </xf>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0" fontId="18" fillId="0" borderId="0" applyFont="0" applyFill="0" applyBorder="0" applyAlignment="0" applyProtection="0">
      <alignment wrapText="1"/>
    </xf>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0" fontId="18" fillId="0" borderId="0" applyFont="0" applyFill="0" applyBorder="0" applyAlignment="0" applyProtection="0">
      <alignment wrapText="1"/>
    </xf>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0" fontId="18" fillId="0" borderId="0" applyFont="0" applyFill="0" applyBorder="0" applyAlignment="0" applyProtection="0">
      <alignment wrapText="1"/>
    </xf>
    <xf numFmtId="201" fontId="15" fillId="36" borderId="0" applyNumberFormat="0" applyBorder="0" applyAlignment="0" applyProtection="0"/>
    <xf numFmtId="16" fontId="39" fillId="0" borderId="0">
      <alignment horizontal="right"/>
    </xf>
    <xf numFmtId="15" fontId="39" fillId="0" borderId="0">
      <alignment horizontal="right"/>
    </xf>
    <xf numFmtId="0" fontId="73" fillId="0" borderId="10" applyNumberFormat="0" applyFont="0" applyFill="0" applyAlignment="0" applyProtection="0"/>
    <xf numFmtId="196" fontId="39" fillId="0" borderId="0" applyFont="0" applyFill="0" applyBorder="0" applyAlignment="0" applyProtection="0"/>
    <xf numFmtId="196" fontId="39"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1" fillId="0" borderId="0" applyFont="0" applyFill="0" applyBorder="0" applyAlignment="0" applyProtection="0"/>
    <xf numFmtId="223" fontId="11" fillId="0" borderId="0" applyFon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202" fontId="18" fillId="0" borderId="0" applyFont="0" applyFill="0" applyBorder="0" applyAlignment="0" applyProtection="0"/>
    <xf numFmtId="1" fontId="82" fillId="37" borderId="11" applyNumberFormat="0" applyBorder="0" applyAlignment="0">
      <alignment horizontal="centerContinuous" vertical="center"/>
      <protection locked="0"/>
    </xf>
    <xf numFmtId="2" fontId="46" fillId="0" borderId="0" applyFont="0" applyFill="0" applyBorder="0" applyAlignment="0" applyProtection="0"/>
    <xf numFmtId="224" fontId="18" fillId="0" borderId="0">
      <protection locked="0"/>
    </xf>
    <xf numFmtId="224" fontId="18" fillId="0" borderId="0">
      <protection locked="0"/>
    </xf>
    <xf numFmtId="224" fontId="11" fillId="0" borderId="0">
      <protection locked="0"/>
    </xf>
    <xf numFmtId="224" fontId="11" fillId="0" borderId="0">
      <protection locked="0"/>
    </xf>
    <xf numFmtId="224" fontId="18" fillId="0" borderId="0">
      <protection locked="0"/>
    </xf>
    <xf numFmtId="0" fontId="83" fillId="0" borderId="0"/>
    <xf numFmtId="0" fontId="84" fillId="0" borderId="0" applyFill="0" applyBorder="0" applyProtection="0">
      <alignment horizontal="left"/>
    </xf>
    <xf numFmtId="201" fontId="48" fillId="0" borderId="0" applyNumberFormat="0" applyFill="0" applyBorder="0" applyAlignment="0" applyProtection="0"/>
    <xf numFmtId="225" fontId="24" fillId="0" borderId="0">
      <alignment vertical="center"/>
    </xf>
    <xf numFmtId="0" fontId="26" fillId="10" borderId="0" applyNumberFormat="0" applyBorder="0" applyAlignment="0" applyProtection="0"/>
    <xf numFmtId="0" fontId="49" fillId="10" borderId="0" applyNumberFormat="0" applyBorder="0" applyAlignment="0" applyProtection="0"/>
    <xf numFmtId="38" fontId="39" fillId="38" borderId="0" applyNumberFormat="0" applyBorder="0" applyAlignment="0" applyProtection="0"/>
    <xf numFmtId="38" fontId="39" fillId="38" borderId="0" applyNumberFormat="0" applyBorder="0" applyAlignment="0" applyProtection="0"/>
    <xf numFmtId="0" fontId="73" fillId="0" borderId="0" applyFont="0" applyFill="0" applyBorder="0" applyAlignment="0" applyProtection="0">
      <alignment horizontal="right"/>
    </xf>
    <xf numFmtId="0" fontId="85" fillId="0" borderId="0" applyNumberFormat="0" applyFill="0" applyBorder="0" applyAlignment="0" applyProtection="0"/>
    <xf numFmtId="0" fontId="86" fillId="33" borderId="0" applyNumberFormat="0" applyBorder="0" applyAlignment="0">
      <protection hidden="1"/>
    </xf>
    <xf numFmtId="0" fontId="51" fillId="0" borderId="0" applyNumberFormat="0" applyFont="0" applyFill="0" applyAlignment="0" applyProtection="0"/>
    <xf numFmtId="0" fontId="132" fillId="0" borderId="12" applyNumberFormat="0" applyFill="0" applyAlignment="0" applyProtection="0"/>
    <xf numFmtId="0" fontId="51" fillId="0" borderId="0" applyNumberFormat="0" applyFont="0" applyFill="0" applyAlignment="0" applyProtection="0"/>
    <xf numFmtId="0" fontId="87" fillId="0" borderId="13" applyNumberFormat="0" applyFill="0" applyAlignment="0" applyProtection="0"/>
    <xf numFmtId="0" fontId="50" fillId="0" borderId="14" applyNumberFormat="0" applyFill="0" applyAlignment="0" applyProtection="0"/>
    <xf numFmtId="0" fontId="53" fillId="0" borderId="0" applyNumberFormat="0" applyFont="0" applyFill="0" applyAlignment="0" applyProtection="0"/>
    <xf numFmtId="0" fontId="133" fillId="0" borderId="15" applyNumberFormat="0" applyFill="0" applyAlignment="0" applyProtection="0"/>
    <xf numFmtId="0" fontId="53" fillId="0" borderId="0" applyNumberFormat="0" applyFont="0" applyFill="0" applyAlignment="0" applyProtection="0"/>
    <xf numFmtId="0" fontId="88" fillId="0" borderId="15" applyNumberFormat="0" applyFill="0" applyAlignment="0" applyProtection="0"/>
    <xf numFmtId="0" fontId="52" fillId="0" borderId="14" applyNumberFormat="0" applyFill="0" applyAlignment="0" applyProtection="0"/>
    <xf numFmtId="0" fontId="89" fillId="0" borderId="16" applyNumberFormat="0" applyFill="0" applyAlignment="0" applyProtection="0"/>
    <xf numFmtId="0" fontId="134" fillId="0" borderId="17" applyNumberFormat="0" applyFill="0" applyAlignment="0" applyProtection="0"/>
    <xf numFmtId="0" fontId="54" fillId="0" borderId="18" applyNumberFormat="0" applyFill="0" applyAlignment="0" applyProtection="0"/>
    <xf numFmtId="0" fontId="89" fillId="0" borderId="0" applyNumberFormat="0" applyFill="0" applyBorder="0" applyAlignment="0" applyProtection="0"/>
    <xf numFmtId="0" fontId="134" fillId="0" borderId="0" applyNumberFormat="0" applyFill="0" applyBorder="0" applyAlignment="0" applyProtection="0"/>
    <xf numFmtId="0" fontId="54" fillId="0" borderId="0" applyNumberFormat="0" applyFill="0" applyBorder="0" applyAlignment="0" applyProtection="0"/>
    <xf numFmtId="226" fontId="18" fillId="0" borderId="0">
      <protection locked="0"/>
    </xf>
    <xf numFmtId="226" fontId="18" fillId="0" borderId="0">
      <protection locked="0"/>
    </xf>
    <xf numFmtId="226" fontId="18" fillId="0" borderId="0">
      <protection locked="0"/>
    </xf>
    <xf numFmtId="226" fontId="11" fillId="0" borderId="0">
      <protection locked="0"/>
    </xf>
    <xf numFmtId="226" fontId="11" fillId="0" borderId="0">
      <protection locked="0"/>
    </xf>
    <xf numFmtId="226" fontId="18" fillId="0" borderId="0">
      <protection locked="0"/>
    </xf>
    <xf numFmtId="226" fontId="18" fillId="0" borderId="0">
      <protection locked="0"/>
    </xf>
    <xf numFmtId="226" fontId="18" fillId="0" borderId="0">
      <protection locked="0"/>
    </xf>
    <xf numFmtId="226" fontId="11" fillId="0" borderId="0">
      <protection locked="0"/>
    </xf>
    <xf numFmtId="226" fontId="11" fillId="0" borderId="0">
      <protection locked="0"/>
    </xf>
    <xf numFmtId="1" fontId="90" fillId="0" borderId="0" applyFill="0" applyBorder="0" applyProtection="0">
      <alignment horizontal="center"/>
    </xf>
    <xf numFmtId="1" fontId="90" fillId="0" borderId="0" applyFill="0" applyBorder="0">
      <alignment horizontal="center"/>
    </xf>
    <xf numFmtId="0" fontId="48" fillId="0" borderId="19" applyNumberFormat="0" applyFill="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0" fontId="39" fillId="39" borderId="20" applyNumberFormat="0" applyBorder="0" applyAlignment="0" applyProtection="0"/>
    <xf numFmtId="10" fontId="39" fillId="39" borderId="20" applyNumberFormat="0" applyBorder="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203" fontId="48" fillId="0" borderId="20">
      <protection locked="0"/>
    </xf>
    <xf numFmtId="0" fontId="135" fillId="2"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28"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0" fontId="56" fillId="5" borderId="5" applyNumberFormat="0" applyAlignment="0" applyProtection="0"/>
    <xf numFmtId="10" fontId="39" fillId="39" borderId="0">
      <protection locked="0"/>
    </xf>
    <xf numFmtId="10" fontId="39" fillId="39" borderId="0">
      <protection locked="0"/>
    </xf>
    <xf numFmtId="0" fontId="22" fillId="40" borderId="0" applyNumberFormat="0" applyBorder="0" applyAlignment="0"/>
    <xf numFmtId="0" fontId="31" fillId="0" borderId="21" applyNumberFormat="0" applyFill="0" applyAlignment="0" applyProtection="0"/>
    <xf numFmtId="0" fontId="136" fillId="0" borderId="22" applyNumberFormat="0" applyFill="0" applyAlignment="0" applyProtection="0"/>
    <xf numFmtId="0" fontId="57" fillId="0" borderId="21" applyNumberFormat="0" applyFill="0" applyAlignment="0" applyProtection="0"/>
    <xf numFmtId="220" fontId="39" fillId="0" borderId="0" applyNumberFormat="0" applyFont="0" applyFill="0" applyBorder="0" applyAlignment="0">
      <protection hidden="1"/>
    </xf>
    <xf numFmtId="220" fontId="39" fillId="0" borderId="0" applyNumberFormat="0" applyFont="0" applyFill="0" applyBorder="0" applyAlignment="0">
      <protection hidden="1"/>
    </xf>
    <xf numFmtId="227" fontId="18" fillId="0" borderId="0" applyFont="0" applyFill="0" applyBorder="0" applyAlignment="0" applyProtection="0"/>
    <xf numFmtId="0" fontId="18"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1" fontId="18" fillId="0" borderId="0" applyFont="0" applyFill="0" applyBorder="0" applyAlignment="0" applyProtection="0"/>
    <xf numFmtId="208" fontId="39" fillId="39" borderId="0">
      <alignment horizontal="center"/>
    </xf>
    <xf numFmtId="208" fontId="39" fillId="39" borderId="0">
      <alignment horizontal="center"/>
    </xf>
    <xf numFmtId="0" fontId="73" fillId="0" borderId="0" applyFont="0" applyFill="0" applyBorder="0" applyAlignment="0" applyProtection="0">
      <alignment horizontal="right"/>
    </xf>
    <xf numFmtId="0" fontId="27" fillId="2" borderId="0" applyNumberFormat="0" applyBorder="0" applyAlignment="0" applyProtection="0"/>
    <xf numFmtId="0" fontId="137" fillId="2" borderId="0" applyNumberFormat="0" applyBorder="0" applyAlignment="0" applyProtection="0"/>
    <xf numFmtId="0" fontId="58" fillId="2" borderId="0" applyNumberFormat="0" applyBorder="0" applyAlignment="0" applyProtection="0"/>
    <xf numFmtId="225" fontId="24" fillId="0" borderId="0" applyAlignment="0">
      <alignment vertical="center"/>
    </xf>
    <xf numFmtId="37" fontId="91" fillId="0" borderId="0"/>
    <xf numFmtId="37" fontId="91" fillId="0" borderId="0"/>
    <xf numFmtId="37" fontId="91" fillId="0" borderId="0"/>
    <xf numFmtId="37" fontId="125" fillId="0" borderId="0"/>
    <xf numFmtId="232" fontId="67" fillId="0" borderId="0"/>
    <xf numFmtId="0" fontId="18" fillId="0" borderId="0"/>
    <xf numFmtId="0" fontId="18" fillId="0" borderId="0"/>
    <xf numFmtId="0" fontId="18" fillId="0" borderId="0"/>
    <xf numFmtId="0" fontId="18" fillId="0" borderId="0"/>
    <xf numFmtId="165" fontId="12" fillId="0" borderId="0"/>
    <xf numFmtId="0" fontId="18" fillId="0" borderId="0"/>
    <xf numFmtId="165" fontId="12" fillId="0" borderId="0"/>
    <xf numFmtId="0" fontId="18" fillId="0" borderId="0"/>
    <xf numFmtId="165" fontId="12" fillId="0" borderId="0"/>
    <xf numFmtId="0" fontId="18" fillId="0" borderId="0"/>
    <xf numFmtId="165" fontId="12" fillId="0" borderId="0"/>
    <xf numFmtId="0" fontId="18" fillId="0" borderId="0"/>
    <xf numFmtId="165" fontId="12" fillId="0" borderId="0"/>
    <xf numFmtId="0" fontId="18" fillId="0" borderId="0"/>
    <xf numFmtId="165" fontId="12" fillId="0" borderId="0"/>
    <xf numFmtId="0" fontId="18" fillId="0" borderId="0"/>
    <xf numFmtId="165" fontId="12" fillId="0" borderId="0"/>
    <xf numFmtId="0" fontId="18" fillId="0" borderId="0"/>
    <xf numFmtId="0" fontId="140" fillId="0" borderId="0"/>
    <xf numFmtId="0" fontId="140" fillId="0" borderId="0"/>
    <xf numFmtId="165" fontId="12" fillId="0" borderId="0"/>
    <xf numFmtId="0" fontId="11" fillId="0" borderId="0"/>
    <xf numFmtId="0" fontId="18"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40" fillId="0" borderId="0"/>
    <xf numFmtId="0" fontId="140" fillId="0" borderId="0"/>
    <xf numFmtId="0" fontId="18" fillId="0" borderId="0"/>
    <xf numFmtId="0" fontId="18" fillId="0" borderId="0"/>
    <xf numFmtId="0" fontId="37" fillId="0" borderId="0"/>
    <xf numFmtId="0" fontId="37" fillId="0" borderId="0"/>
    <xf numFmtId="176" fontId="12" fillId="0" borderId="0"/>
    <xf numFmtId="0" fontId="126" fillId="0" borderId="0"/>
    <xf numFmtId="0" fontId="126" fillId="0" borderId="0"/>
    <xf numFmtId="0" fontId="126" fillId="0" borderId="0"/>
    <xf numFmtId="0" fontId="11" fillId="0" borderId="0"/>
    <xf numFmtId="0" fontId="11" fillId="0" borderId="0"/>
    <xf numFmtId="0" fontId="126" fillId="0" borderId="0"/>
    <xf numFmtId="165" fontId="12" fillId="0" borderId="0"/>
    <xf numFmtId="0" fontId="126" fillId="0" borderId="0"/>
    <xf numFmtId="165" fontId="12" fillId="0" borderId="0"/>
    <xf numFmtId="0" fontId="126" fillId="0" borderId="0"/>
    <xf numFmtId="0" fontId="59" fillId="0" borderId="0"/>
    <xf numFmtId="0" fontId="37" fillId="0" borderId="0"/>
    <xf numFmtId="0" fontId="37" fillId="0" borderId="0"/>
    <xf numFmtId="0" fontId="120" fillId="0" borderId="0">
      <alignment vertical="top"/>
    </xf>
    <xf numFmtId="0" fontId="140" fillId="0" borderId="0"/>
    <xf numFmtId="0" fontId="126" fillId="0" borderId="0"/>
    <xf numFmtId="0" fontId="140" fillId="0" borderId="0"/>
    <xf numFmtId="0" fontId="126" fillId="0" borderId="0"/>
    <xf numFmtId="0" fontId="140" fillId="0" borderId="0"/>
    <xf numFmtId="0" fontId="126" fillId="0" borderId="0"/>
    <xf numFmtId="0" fontId="18" fillId="0" borderId="0"/>
    <xf numFmtId="0" fontId="18" fillId="0" borderId="0"/>
    <xf numFmtId="0" fontId="140" fillId="0" borderId="0"/>
    <xf numFmtId="0" fontId="126" fillId="0" borderId="0"/>
    <xf numFmtId="0" fontId="140" fillId="0" borderId="0"/>
    <xf numFmtId="0" fontId="126" fillId="0" borderId="0"/>
    <xf numFmtId="0" fontId="140" fillId="0" borderId="0"/>
    <xf numFmtId="0" fontId="126" fillId="0" borderId="0"/>
    <xf numFmtId="0" fontId="140" fillId="0" borderId="0"/>
    <xf numFmtId="0" fontId="126" fillId="0" borderId="0"/>
    <xf numFmtId="0" fontId="140" fillId="0" borderId="0"/>
    <xf numFmtId="0" fontId="126" fillId="0" borderId="0"/>
    <xf numFmtId="0" fontId="140" fillId="0" borderId="0"/>
    <xf numFmtId="0" fontId="18" fillId="0" borderId="0"/>
    <xf numFmtId="0" fontId="37" fillId="0" borderId="0"/>
    <xf numFmtId="0" fontId="37" fillId="0" borderId="0"/>
    <xf numFmtId="0" fontId="140" fillId="0" borderId="0"/>
    <xf numFmtId="0" fontId="140" fillId="0" borderId="0"/>
    <xf numFmtId="0" fontId="126" fillId="0" borderId="0"/>
    <xf numFmtId="0" fontId="126" fillId="0" borderId="0"/>
    <xf numFmtId="0" fontId="126" fillId="0" borderId="0"/>
    <xf numFmtId="0" fontId="11" fillId="0" borderId="0"/>
    <xf numFmtId="0" fontId="126" fillId="0" borderId="0"/>
    <xf numFmtId="0" fontId="11" fillId="0" borderId="0"/>
    <xf numFmtId="0" fontId="11" fillId="0" borderId="0"/>
    <xf numFmtId="0" fontId="11" fillId="0" borderId="0"/>
    <xf numFmtId="0" fontId="11" fillId="0" borderId="0"/>
    <xf numFmtId="0" fontId="11" fillId="0" borderId="0"/>
    <xf numFmtId="0" fontId="18" fillId="0" borderId="0"/>
    <xf numFmtId="0" fontId="37" fillId="0" borderId="0"/>
    <xf numFmtId="0" fontId="37" fillId="0" borderId="0"/>
    <xf numFmtId="0" fontId="11" fillId="0" borderId="0"/>
    <xf numFmtId="0" fontId="11" fillId="0" borderId="0"/>
    <xf numFmtId="0" fontId="11" fillId="0" borderId="0"/>
    <xf numFmtId="0" fontId="1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8" fillId="0" borderId="0"/>
    <xf numFmtId="0" fontId="37" fillId="0" borderId="0"/>
    <xf numFmtId="0" fontId="37"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26" fillId="0" borderId="0"/>
    <xf numFmtId="0" fontId="11" fillId="0" borderId="0"/>
    <xf numFmtId="0" fontId="11" fillId="0" borderId="0"/>
    <xf numFmtId="0" fontId="18" fillId="0" borderId="0"/>
    <xf numFmtId="0" fontId="37"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37" fillId="0" borderId="0"/>
    <xf numFmtId="0" fontId="37" fillId="0" borderId="0"/>
    <xf numFmtId="0" fontId="18" fillId="0" borderId="0"/>
    <xf numFmtId="0" fontId="37" fillId="0" borderId="0"/>
    <xf numFmtId="0" fontId="37" fillId="0" borderId="0"/>
    <xf numFmtId="220" fontId="38" fillId="0" borderId="0" applyNumberFormat="0" applyFill="0" applyBorder="0" applyAlignment="0" applyProtection="0"/>
    <xf numFmtId="165" fontId="12" fillId="0" borderId="0"/>
    <xf numFmtId="3" fontId="11" fillId="0" borderId="0"/>
    <xf numFmtId="165" fontId="12" fillId="0" borderId="0"/>
    <xf numFmtId="0" fontId="11" fillId="0" borderId="0"/>
    <xf numFmtId="0" fontId="11" fillId="0" borderId="0"/>
    <xf numFmtId="0" fontId="92" fillId="0" borderId="0"/>
    <xf numFmtId="0" fontId="18" fillId="9" borderId="23" applyNumberFormat="0" applyFont="0" applyAlignment="0" applyProtection="0"/>
    <xf numFmtId="0" fontId="120" fillId="9" borderId="23" applyNumberFormat="0" applyFont="0" applyAlignment="0" applyProtection="0"/>
    <xf numFmtId="0" fontId="18"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8" fillId="9" borderId="23" applyNumberFormat="0" applyFont="0" applyAlignment="0" applyProtection="0"/>
    <xf numFmtId="0" fontId="18" fillId="9" borderId="5" applyNumberFormat="0" applyFont="0" applyAlignment="0" applyProtection="0"/>
    <xf numFmtId="41" fontId="93" fillId="0" borderId="0" applyFont="0" applyFill="0" applyBorder="0" applyAlignment="0" applyProtection="0"/>
    <xf numFmtId="0" fontId="29" fillId="14" borderId="24" applyNumberFormat="0" applyAlignment="0" applyProtection="0"/>
    <xf numFmtId="0" fontId="128" fillId="3" borderId="25" applyNumberFormat="0" applyAlignment="0" applyProtection="0"/>
    <xf numFmtId="0" fontId="60" fillId="12" borderId="24" applyNumberFormat="0" applyAlignment="0" applyProtection="0"/>
    <xf numFmtId="233" fontId="18" fillId="0" borderId="0">
      <protection hidden="1"/>
    </xf>
    <xf numFmtId="233" fontId="18" fillId="0" borderId="0">
      <protection hidden="1"/>
    </xf>
    <xf numFmtId="1" fontId="94" fillId="0" borderId="0" applyProtection="0">
      <alignment horizontal="right" vertical="center"/>
    </xf>
    <xf numFmtId="167" fontId="11"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234" fontId="74" fillId="0" borderId="0">
      <protection locked="0"/>
    </xf>
    <xf numFmtId="234" fontId="74" fillId="0" borderId="0">
      <protection locked="0"/>
    </xf>
    <xf numFmtId="234" fontId="74" fillId="0" borderId="0">
      <protection locked="0"/>
    </xf>
    <xf numFmtId="234" fontId="121" fillId="0" borderId="0">
      <protection locked="0"/>
    </xf>
    <xf numFmtId="0" fontId="95" fillId="0" borderId="0" applyNumberFormat="0" applyFill="0" applyBorder="0" applyAlignment="0" applyProtection="0"/>
    <xf numFmtId="235" fontId="18" fillId="0" borderId="0"/>
    <xf numFmtId="235" fontId="18" fillId="0" borderId="0"/>
    <xf numFmtId="236" fontId="15" fillId="0" borderId="0"/>
    <xf numFmtId="237" fontId="96" fillId="38" borderId="0" applyBorder="0" applyAlignment="0">
      <protection hidden="1"/>
    </xf>
    <xf numFmtId="1" fontId="96" fillId="38" borderId="0">
      <alignment horizontal="center"/>
    </xf>
    <xf numFmtId="3" fontId="97" fillId="0" borderId="26" applyBorder="0">
      <alignment horizontal="right" wrapText="1"/>
    </xf>
    <xf numFmtId="4" fontId="97" fillId="0" borderId="27" applyBorder="0">
      <alignment horizontal="right" wrapText="1"/>
    </xf>
    <xf numFmtId="0" fontId="98" fillId="0" borderId="0">
      <alignment horizontal="left" vertical="center"/>
    </xf>
    <xf numFmtId="4" fontId="18" fillId="41" borderId="20" applyNumberFormat="0" applyProtection="0">
      <alignment vertical="center"/>
    </xf>
    <xf numFmtId="4" fontId="18" fillId="41" borderId="20" applyNumberFormat="0" applyProtection="0">
      <alignment vertical="center"/>
    </xf>
    <xf numFmtId="4" fontId="99" fillId="42" borderId="0" applyNumberFormat="0" applyProtection="0">
      <alignment horizontal="left" vertical="center" indent="1"/>
    </xf>
    <xf numFmtId="4" fontId="100" fillId="43" borderId="0" applyNumberFormat="0" applyProtection="0">
      <alignment vertical="center"/>
    </xf>
    <xf numFmtId="4" fontId="18" fillId="0" borderId="20" applyNumberFormat="0" applyProtection="0">
      <alignment horizontal="right" vertical="center"/>
    </xf>
    <xf numFmtId="4" fontId="18" fillId="0" borderId="20" applyNumberFormat="0" applyProtection="0">
      <alignment horizontal="right" vertical="center"/>
    </xf>
    <xf numFmtId="4" fontId="71" fillId="44" borderId="20" applyNumberFormat="0" applyProtection="0">
      <alignment horizontal="right" vertical="center"/>
    </xf>
    <xf numFmtId="4" fontId="71" fillId="44" borderId="20" applyNumberFormat="0" applyProtection="0">
      <alignment horizontal="right" vertical="center"/>
    </xf>
    <xf numFmtId="4" fontId="18" fillId="45" borderId="0" applyNumberFormat="0" applyProtection="0">
      <alignment horizontal="left" vertical="center"/>
    </xf>
    <xf numFmtId="4" fontId="18" fillId="45" borderId="0" applyNumberFormat="0" applyProtection="0">
      <alignment horizontal="left" vertical="center"/>
    </xf>
    <xf numFmtId="0" fontId="101" fillId="46" borderId="0"/>
    <xf numFmtId="0" fontId="45" fillId="47" borderId="0" applyNumberFormat="0" applyFont="0" applyBorder="0" applyAlignment="0" applyProtection="0"/>
    <xf numFmtId="0" fontId="45" fillId="48" borderId="0" applyNumberFormat="0" applyFont="0" applyBorder="0" applyAlignment="0" applyProtection="0"/>
    <xf numFmtId="0" fontId="45" fillId="1" borderId="0" applyNumberFormat="0" applyFont="0" applyBorder="0" applyAlignment="0" applyProtection="0"/>
    <xf numFmtId="204" fontId="45" fillId="0" borderId="0" applyFont="0" applyFill="0" applyBorder="0" applyAlignment="0" applyProtection="0"/>
    <xf numFmtId="205" fontId="45" fillId="0" borderId="0" applyFont="0" applyFill="0" applyBorder="0" applyAlignment="0" applyProtection="0"/>
    <xf numFmtId="206" fontId="45" fillId="0" borderId="0" applyFont="0" applyFill="0" applyBorder="0" applyAlignment="0" applyProtection="0"/>
    <xf numFmtId="1" fontId="67" fillId="0" borderId="0" applyBorder="0">
      <alignment horizontal="left" vertical="top" wrapText="1"/>
    </xf>
    <xf numFmtId="1" fontId="67" fillId="0" borderId="0" applyBorder="0">
      <alignment horizontal="left" vertical="top" wrapText="1"/>
    </xf>
    <xf numFmtId="1" fontId="67" fillId="0" borderId="0" applyBorder="0">
      <alignment horizontal="left" vertical="top" wrapText="1"/>
    </xf>
    <xf numFmtId="1" fontId="122" fillId="0" borderId="0" applyBorder="0">
      <alignment horizontal="left" vertical="top" wrapText="1"/>
    </xf>
    <xf numFmtId="0" fontId="71" fillId="0" borderId="0">
      <alignment vertical="top"/>
    </xf>
    <xf numFmtId="0" fontId="71" fillId="0" borderId="0">
      <alignment vertical="top"/>
    </xf>
    <xf numFmtId="0" fontId="71" fillId="0" borderId="0">
      <alignment vertical="top"/>
    </xf>
    <xf numFmtId="0" fontId="120" fillId="0" borderId="0">
      <alignment vertical="top"/>
    </xf>
    <xf numFmtId="0" fontId="21" fillId="49" borderId="28" applyNumberFormat="0" applyProtection="0">
      <alignment horizontal="center" wrapText="1"/>
    </xf>
    <xf numFmtId="0" fontId="15" fillId="49" borderId="28" applyNumberFormat="0" applyProtection="0">
      <alignment horizontal="center" wrapText="1"/>
    </xf>
    <xf numFmtId="0" fontId="15" fillId="49" borderId="28" applyNumberFormat="0" applyProtection="0">
      <alignment horizontal="center" wrapText="1"/>
    </xf>
    <xf numFmtId="0" fontId="21" fillId="49" borderId="28" applyNumberFormat="0" applyProtection="0">
      <alignment horizontal="center" wrapText="1"/>
    </xf>
    <xf numFmtId="0" fontId="15" fillId="49" borderId="28" applyNumberFormat="0" applyProtection="0">
      <alignment horizontal="center" wrapText="1"/>
    </xf>
    <xf numFmtId="0" fontId="21" fillId="49" borderId="29" applyNumberFormat="0" applyAlignment="0" applyProtection="0">
      <alignment wrapText="1"/>
    </xf>
    <xf numFmtId="0" fontId="15" fillId="49" borderId="29" applyNumberFormat="0" applyAlignment="0" applyProtection="0">
      <alignment wrapText="1"/>
    </xf>
    <xf numFmtId="0" fontId="15" fillId="49" borderId="29" applyNumberFormat="0" applyAlignment="0" applyProtection="0">
      <alignment wrapText="1"/>
    </xf>
    <xf numFmtId="0" fontId="21" fillId="49" borderId="29" applyNumberFormat="0" applyAlignment="0" applyProtection="0">
      <alignment wrapText="1"/>
    </xf>
    <xf numFmtId="0" fontId="15" fillId="49" borderId="29" applyNumberFormat="0" applyAlignment="0" applyProtection="0">
      <alignment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209" fontId="18"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209" fontId="18"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209" fontId="18"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0" fontId="61" fillId="0" borderId="0" applyNumberFormat="0" applyFill="0" applyBorder="0">
      <alignment horizontal="left" wrapText="1"/>
    </xf>
    <xf numFmtId="0" fontId="53" fillId="0" borderId="0" applyNumberFormat="0" applyFill="0" applyBorder="0">
      <alignment horizontal="left" wrapText="1"/>
    </xf>
    <xf numFmtId="0" fontId="53" fillId="0" borderId="0" applyNumberFormat="0" applyFill="0" applyBorder="0">
      <alignment horizontal="left" wrapText="1"/>
    </xf>
    <xf numFmtId="0" fontId="61" fillId="0" borderId="0" applyNumberFormat="0" applyFill="0" applyBorder="0">
      <alignment horizontal="left" wrapText="1"/>
    </xf>
    <xf numFmtId="0" fontId="53" fillId="0" borderId="0" applyNumberFormat="0" applyFill="0" applyBorder="0">
      <alignment horizontal="left"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8" fillId="0" borderId="30"/>
    <xf numFmtId="0" fontId="18" fillId="0" borderId="30"/>
    <xf numFmtId="0" fontId="18" fillId="0" borderId="30"/>
    <xf numFmtId="0" fontId="11" fillId="0" borderId="30"/>
    <xf numFmtId="0" fontId="11" fillId="0" borderId="30"/>
    <xf numFmtId="0" fontId="102" fillId="0" borderId="0" applyNumberFormat="0" applyFill="0" applyBorder="0" applyProtection="0">
      <alignment horizontal="centerContinuous"/>
    </xf>
    <xf numFmtId="0" fontId="103" fillId="0" borderId="0" applyBorder="0" applyProtection="0">
      <alignment vertical="center"/>
    </xf>
    <xf numFmtId="0" fontId="103" fillId="0" borderId="31" applyBorder="0" applyProtection="0">
      <alignment horizontal="right" vertical="center"/>
    </xf>
    <xf numFmtId="0" fontId="104" fillId="51" borderId="0" applyBorder="0" applyProtection="0">
      <alignment horizontal="centerContinuous" vertical="center"/>
    </xf>
    <xf numFmtId="0" fontId="104" fillId="52" borderId="31" applyBorder="0" applyProtection="0">
      <alignment horizontal="centerContinuous" vertical="center"/>
    </xf>
    <xf numFmtId="0" fontId="105" fillId="0" borderId="0" applyFill="0" applyBorder="0" applyProtection="0">
      <alignment horizontal="left"/>
    </xf>
    <xf numFmtId="0" fontId="84" fillId="0" borderId="4" applyFill="0" applyBorder="0" applyProtection="0">
      <alignment horizontal="left" vertical="top"/>
    </xf>
    <xf numFmtId="0" fontId="106" fillId="53" borderId="0" applyNumberFormat="0" applyBorder="0" applyAlignment="0"/>
    <xf numFmtId="0" fontId="45" fillId="0" borderId="0" applyNumberFormat="0" applyFont="0" applyFill="0" applyBorder="0" applyProtection="0">
      <alignment horizontal="center" wrapText="1"/>
    </xf>
    <xf numFmtId="0" fontId="45" fillId="0" borderId="0" applyNumberFormat="0" applyFont="0" applyFill="0" applyBorder="0" applyProtection="0">
      <alignment horizontal="centerContinuous" vertical="center" wrapText="1"/>
    </xf>
    <xf numFmtId="0" fontId="45" fillId="0" borderId="0" applyNumberFormat="0" applyFont="0" applyFill="0" applyBorder="0" applyProtection="0">
      <alignment wrapText="1"/>
    </xf>
    <xf numFmtId="1" fontId="107" fillId="0" borderId="0" applyFill="0" applyBorder="0">
      <alignment horizontal="left"/>
    </xf>
    <xf numFmtId="0" fontId="108" fillId="0" borderId="0" applyNumberFormat="0" applyFill="0" applyBorder="0" applyAlignment="0" applyProtection="0"/>
    <xf numFmtId="0" fontId="138" fillId="0" borderId="0" applyNumberFormat="0" applyFill="0" applyBorder="0" applyAlignment="0" applyProtection="0"/>
    <xf numFmtId="0" fontId="25" fillId="0" borderId="0" applyNumberFormat="0" applyFill="0" applyBorder="0" applyAlignment="0" applyProtection="0"/>
    <xf numFmtId="191" fontId="23" fillId="0" borderId="0"/>
    <xf numFmtId="201" fontId="20" fillId="0" borderId="0" applyNumberFormat="0" applyFill="0" applyBorder="0" applyAlignment="0" applyProtection="0"/>
    <xf numFmtId="0" fontId="35" fillId="0" borderId="32" applyNumberFormat="0" applyFill="0" applyAlignment="0" applyProtection="0"/>
    <xf numFmtId="0" fontId="35" fillId="0" borderId="33" applyNumberFormat="0" applyFill="0" applyAlignment="0" applyProtection="0"/>
    <xf numFmtId="0" fontId="60" fillId="0" borderId="34" applyNumberFormat="0" applyFill="0" applyAlignment="0" applyProtection="0"/>
    <xf numFmtId="191" fontId="38" fillId="0" borderId="35"/>
    <xf numFmtId="236" fontId="48" fillId="0" borderId="36">
      <protection locked="0"/>
    </xf>
    <xf numFmtId="49" fontId="48" fillId="0" borderId="20">
      <alignment vertical="top"/>
      <protection locked="0"/>
    </xf>
    <xf numFmtId="238" fontId="48" fillId="0" borderId="36">
      <protection locked="0"/>
    </xf>
    <xf numFmtId="49" fontId="48" fillId="0" borderId="36">
      <protection locked="0"/>
    </xf>
    <xf numFmtId="37" fontId="39" fillId="32" borderId="0" applyNumberFormat="0" applyBorder="0" applyAlignment="0" applyProtection="0"/>
    <xf numFmtId="37" fontId="39" fillId="32" borderId="0" applyNumberFormat="0" applyBorder="0" applyAlignment="0" applyProtection="0"/>
    <xf numFmtId="37" fontId="39" fillId="0" borderId="0"/>
    <xf numFmtId="37" fontId="39" fillId="0" borderId="0"/>
    <xf numFmtId="37" fontId="39" fillId="0" borderId="0"/>
    <xf numFmtId="37" fontId="17" fillId="0" borderId="0"/>
    <xf numFmtId="3" fontId="109" fillId="0" borderId="19" applyProtection="0"/>
    <xf numFmtId="237" fontId="96" fillId="38" borderId="4" applyBorder="0">
      <alignment horizontal="right" vertical="center"/>
      <protection locked="0"/>
    </xf>
    <xf numFmtId="0" fontId="110" fillId="0" borderId="31">
      <alignment horizontal="centerContinuous" vertical="center"/>
    </xf>
    <xf numFmtId="0" fontId="111" fillId="0" borderId="0"/>
    <xf numFmtId="0" fontId="45" fillId="0" borderId="0" applyNumberFormat="0" applyFont="0" applyFill="0" applyBorder="0" applyProtection="0"/>
    <xf numFmtId="0" fontId="45" fillId="0" borderId="0" applyNumberFormat="0" applyFont="0" applyFill="0" applyBorder="0" applyProtection="0">
      <alignment vertical="center"/>
    </xf>
    <xf numFmtId="0" fontId="45" fillId="0" borderId="0" applyNumberFormat="0" applyFont="0" applyFill="0" applyBorder="0" applyProtection="0">
      <alignment vertical="top"/>
    </xf>
    <xf numFmtId="0" fontId="112" fillId="0" borderId="37" applyNumberFormat="0" applyAlignment="0"/>
    <xf numFmtId="0" fontId="33" fillId="0" borderId="0" applyNumberFormat="0" applyFill="0" applyBorder="0" applyAlignment="0" applyProtection="0"/>
    <xf numFmtId="0" fontId="20" fillId="0" borderId="0" applyNumberFormat="0" applyFill="0" applyBorder="0" applyAlignment="0" applyProtection="0"/>
    <xf numFmtId="0" fontId="18" fillId="16" borderId="0" applyNumberFormat="0" applyBorder="0" applyAlignment="0" applyProtection="0"/>
    <xf numFmtId="1" fontId="96" fillId="38" borderId="0">
      <alignment horizontal="center"/>
    </xf>
    <xf numFmtId="239" fontId="39" fillId="0" borderId="20" applyFont="0" applyFill="0" applyBorder="0" applyAlignment="0" applyProtection="0"/>
    <xf numFmtId="239" fontId="39" fillId="0" borderId="20" applyFont="0" applyFill="0" applyBorder="0" applyAlignment="0" applyProtection="0"/>
    <xf numFmtId="210" fontId="18"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114" fillId="54" borderId="0"/>
    <xf numFmtId="0" fontId="113"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0" fontId="11" fillId="0" borderId="0"/>
    <xf numFmtId="0" fontId="28" fillId="5" borderId="53" applyNumberFormat="0" applyAlignment="0" applyProtection="0"/>
    <xf numFmtId="0" fontId="36" fillId="29" borderId="0" applyNumberFormat="0" applyBorder="0" applyAlignment="0" applyProtection="0"/>
    <xf numFmtId="4" fontId="71" fillId="69" borderId="80" applyNumberFormat="0" applyProtection="0">
      <alignment horizontal="left" vertical="center" indent="1"/>
    </xf>
    <xf numFmtId="0" fontId="11" fillId="15" borderId="68" applyNumberFormat="0" applyProtection="0">
      <alignment horizontal="left" vertical="top" indent="1"/>
    </xf>
    <xf numFmtId="4" fontId="71" fillId="44" borderId="58" applyNumberFormat="0" applyProtection="0">
      <alignment horizontal="right" vertical="center"/>
    </xf>
    <xf numFmtId="0" fontId="36" fillId="29" borderId="0" applyNumberFormat="0" applyBorder="0" applyAlignment="0" applyProtection="0"/>
    <xf numFmtId="0" fontId="36" fillId="21" borderId="0" applyNumberFormat="0" applyBorder="0" applyAlignment="0" applyProtection="0"/>
    <xf numFmtId="0" fontId="64" fillId="0" borderId="62" applyNumberFormat="0" applyFill="0" applyAlignment="0" applyProtection="0"/>
    <xf numFmtId="9" fontId="11" fillId="0" borderId="0" applyFont="0" applyFill="0" applyBorder="0" applyAlignment="0" applyProtection="0"/>
    <xf numFmtId="0" fontId="127" fillId="72" borderId="80" applyNumberFormat="0" applyProtection="0">
      <alignment horizontal="left" vertical="center" indent="1"/>
    </xf>
    <xf numFmtId="0" fontId="11" fillId="0" borderId="0"/>
    <xf numFmtId="10" fontId="17" fillId="39" borderId="58" applyNumberFormat="0" applyBorder="0" applyAlignment="0" applyProtection="0"/>
    <xf numFmtId="0" fontId="36" fillId="29" borderId="0" applyNumberFormat="0" applyBorder="0" applyAlignment="0" applyProtection="0"/>
    <xf numFmtId="0" fontId="64" fillId="0" borderId="64" applyNumberFormat="0" applyFill="0" applyAlignment="0" applyProtection="0"/>
    <xf numFmtId="221" fontId="74" fillId="0" borderId="0">
      <protection locked="0"/>
    </xf>
    <xf numFmtId="6" fontId="80" fillId="0" borderId="0">
      <protection locked="0"/>
    </xf>
    <xf numFmtId="0" fontId="36" fillId="18" borderId="0" applyNumberFormat="0" applyBorder="0" applyAlignment="0" applyProtection="0"/>
    <xf numFmtId="0" fontId="36" fillId="21" borderId="0" applyNumberFormat="0" applyBorder="0" applyAlignment="0" applyProtection="0"/>
    <xf numFmtId="0" fontId="11" fillId="32" borderId="0" applyNumberFormat="0" applyFont="0" applyAlignment="0">
      <alignment vertical="top" wrapText="1"/>
    </xf>
    <xf numFmtId="4" fontId="71" fillId="69" borderId="68" applyNumberFormat="0" applyProtection="0">
      <alignment horizontal="right" vertical="center"/>
    </xf>
    <xf numFmtId="221" fontId="74" fillId="0" borderId="0">
      <protection locked="0"/>
    </xf>
    <xf numFmtId="6" fontId="80" fillId="0" borderId="0">
      <protection locked="0"/>
    </xf>
    <xf numFmtId="4" fontId="71" fillId="44" borderId="75" applyNumberFormat="0" applyProtection="0">
      <alignment horizontal="right" vertical="center"/>
    </xf>
    <xf numFmtId="0" fontId="11" fillId="0" borderId="0"/>
    <xf numFmtId="4" fontId="151" fillId="9" borderId="80" applyNumberFormat="0" applyProtection="0">
      <alignment vertical="center"/>
    </xf>
    <xf numFmtId="221" fontId="74" fillId="0" borderId="0">
      <protection locked="0"/>
    </xf>
    <xf numFmtId="9" fontId="11" fillId="0" borderId="0" applyFont="0" applyFill="0" applyBorder="0" applyAlignment="0" applyProtection="0"/>
    <xf numFmtId="4" fontId="71" fillId="23" borderId="80" applyNumberFormat="0" applyProtection="0">
      <alignment horizontal="right" vertical="center"/>
    </xf>
    <xf numFmtId="37" fontId="110" fillId="0" borderId="0" applyFill="0" applyBorder="0" applyAlignment="0" applyProtection="0"/>
    <xf numFmtId="6" fontId="80" fillId="0" borderId="0">
      <protection locked="0"/>
    </xf>
    <xf numFmtId="0" fontId="36" fillId="25" borderId="0" applyNumberFormat="0" applyBorder="0" applyAlignment="0" applyProtection="0"/>
    <xf numFmtId="0" fontId="11" fillId="0" borderId="0"/>
    <xf numFmtId="0" fontId="11" fillId="0" borderId="0"/>
    <xf numFmtId="196" fontId="17" fillId="0" borderId="0" applyFont="0" applyFill="0" applyBorder="0" applyAlignment="0" applyProtection="0"/>
    <xf numFmtId="0" fontId="11" fillId="22" borderId="68" applyNumberFormat="0" applyProtection="0">
      <alignment horizontal="left" vertical="center" indent="1"/>
    </xf>
    <xf numFmtId="0" fontId="64" fillId="0" borderId="62" applyNumberFormat="0" applyFill="0" applyAlignment="0" applyProtection="0"/>
    <xf numFmtId="0" fontId="36" fillId="25" borderId="0" applyNumberFormat="0" applyBorder="0" applyAlignment="0" applyProtection="0"/>
    <xf numFmtId="38" fontId="17" fillId="38" borderId="0" applyNumberFormat="0" applyBorder="0" applyAlignment="0" applyProtection="0"/>
    <xf numFmtId="0" fontId="71" fillId="69" borderId="68" applyNumberFormat="0" applyProtection="0">
      <alignment horizontal="left" vertical="top" indent="1"/>
    </xf>
    <xf numFmtId="0" fontId="11" fillId="22" borderId="80" applyNumberFormat="0" applyProtection="0">
      <alignment horizontal="left" vertical="center" indent="1"/>
    </xf>
    <xf numFmtId="0" fontId="71" fillId="9" borderId="80" applyNumberFormat="0" applyProtection="0">
      <alignment horizontal="left" vertical="top" indent="1"/>
    </xf>
    <xf numFmtId="49" fontId="48" fillId="0" borderId="61">
      <protection locked="0"/>
    </xf>
    <xf numFmtId="238" fontId="48" fillId="0" borderId="61">
      <protection locked="0"/>
    </xf>
    <xf numFmtId="236" fontId="48" fillId="0" borderId="61">
      <protection locked="0"/>
    </xf>
    <xf numFmtId="4" fontId="11" fillId="41" borderId="75" applyNumberFormat="0" applyProtection="0">
      <alignment vertical="center"/>
    </xf>
    <xf numFmtId="0" fontId="64" fillId="0" borderId="65" applyNumberFormat="0" applyFill="0" applyAlignment="0" applyProtection="0"/>
    <xf numFmtId="6" fontId="80" fillId="0" borderId="0">
      <protection locked="0"/>
    </xf>
    <xf numFmtId="0" fontId="36" fillId="24" borderId="0" applyNumberFormat="0" applyBorder="0" applyAlignment="0" applyProtection="0"/>
    <xf numFmtId="0" fontId="36" fillId="25" borderId="0" applyNumberFormat="0" applyBorder="0" applyAlignment="0" applyProtection="0"/>
    <xf numFmtId="0" fontId="28" fillId="5" borderId="5" applyNumberFormat="0" applyAlignment="0" applyProtection="0"/>
    <xf numFmtId="10" fontId="17" fillId="39" borderId="20" applyNumberFormat="0" applyBorder="0" applyAlignment="0" applyProtection="0"/>
    <xf numFmtId="10" fontId="17" fillId="39" borderId="0">
      <protection locked="0"/>
    </xf>
    <xf numFmtId="0" fontId="36" fillId="27" borderId="0" applyNumberFormat="0" applyBorder="0" applyAlignment="0" applyProtection="0"/>
    <xf numFmtId="0" fontId="36" fillId="21" borderId="0" applyNumberFormat="0" applyBorder="0" applyAlignment="0" applyProtection="0"/>
    <xf numFmtId="220" fontId="17" fillId="0" borderId="0" applyNumberFormat="0" applyFont="0" applyFill="0" applyBorder="0" applyAlignment="0">
      <protection hidden="1"/>
    </xf>
    <xf numFmtId="208" fontId="17" fillId="39" borderId="0">
      <alignment horizontal="center"/>
    </xf>
    <xf numFmtId="0" fontId="36" fillId="29" borderId="0" applyNumberFormat="0" applyBorder="0" applyAlignment="0" applyProtection="0"/>
    <xf numFmtId="6" fontId="80" fillId="0" borderId="0">
      <protection locked="0"/>
    </xf>
    <xf numFmtId="0" fontId="11" fillId="0" borderId="0"/>
    <xf numFmtId="0" fontId="11" fillId="0" borderId="0"/>
    <xf numFmtId="4" fontId="11" fillId="0" borderId="58" applyNumberFormat="0" applyProtection="0">
      <alignment horizontal="right" vertical="center"/>
    </xf>
    <xf numFmtId="0" fontId="36" fillId="27" borderId="0" applyNumberFormat="0" applyBorder="0" applyAlignment="0" applyProtection="0"/>
    <xf numFmtId="191" fontId="38" fillId="0" borderId="77"/>
    <xf numFmtId="0" fontId="36" fillId="29" borderId="0" applyNumberFormat="0" applyBorder="0" applyAlignment="0" applyProtection="0"/>
    <xf numFmtId="9" fontId="11" fillId="0" borderId="0" applyFont="0" applyFill="0" applyBorder="0" applyAlignment="0" applyProtection="0"/>
    <xf numFmtId="233" fontId="11" fillId="0" borderId="0">
      <protection hidden="1"/>
    </xf>
    <xf numFmtId="0" fontId="28" fillId="5" borderId="53" applyNumberFormat="0" applyAlignment="0" applyProtection="0"/>
    <xf numFmtId="9" fontId="11" fillId="0" borderId="0" applyFont="0" applyFill="0" applyBorder="0" applyAlignment="0" applyProtection="0"/>
    <xf numFmtId="0" fontId="36" fillId="29" borderId="0" applyNumberFormat="0" applyBorder="0" applyAlignment="0" applyProtection="0"/>
    <xf numFmtId="235" fontId="11" fillId="0" borderId="0"/>
    <xf numFmtId="0" fontId="64" fillId="0" borderId="67" applyNumberFormat="0" applyFill="0" applyAlignment="0" applyProtection="0"/>
    <xf numFmtId="4" fontId="20" fillId="72" borderId="68" applyNumberFormat="0" applyProtection="0">
      <alignment horizontal="right" vertical="center"/>
    </xf>
    <xf numFmtId="4" fontId="11" fillId="41" borderId="20" applyNumberFormat="0" applyProtection="0">
      <alignment vertical="center"/>
    </xf>
    <xf numFmtId="4" fontId="11" fillId="0" borderId="20" applyNumberFormat="0" applyProtection="0">
      <alignment horizontal="right" vertical="center"/>
    </xf>
    <xf numFmtId="9" fontId="11" fillId="0" borderId="0" applyFont="0" applyFill="0" applyBorder="0" applyAlignment="0" applyProtection="0"/>
    <xf numFmtId="4" fontId="11" fillId="45" borderId="0" applyNumberFormat="0" applyProtection="0">
      <alignment horizontal="left" vertical="center"/>
    </xf>
    <xf numFmtId="10" fontId="17" fillId="39" borderId="58" applyNumberFormat="0" applyBorder="0" applyAlignment="0" applyProtection="0"/>
    <xf numFmtId="0" fontId="28" fillId="5" borderId="53" applyNumberFormat="0" applyAlignment="0" applyProtection="0"/>
    <xf numFmtId="49" fontId="48" fillId="0" borderId="75">
      <alignment vertical="top"/>
      <protection locked="0"/>
    </xf>
    <xf numFmtId="239" fontId="17" fillId="0" borderId="75" applyFont="0" applyFill="0" applyBorder="0" applyAlignment="0" applyProtection="0"/>
    <xf numFmtId="0" fontId="11" fillId="69" borderId="80" applyNumberFormat="0" applyProtection="0">
      <alignment horizontal="left" vertical="top" indent="1"/>
    </xf>
    <xf numFmtId="6" fontId="80" fillId="0" borderId="0">
      <protection locked="0"/>
    </xf>
    <xf numFmtId="221" fontId="74" fillId="0" borderId="0">
      <protection locked="0"/>
    </xf>
    <xf numFmtId="4" fontId="72" fillId="0" borderId="52" applyFont="0" applyFill="0" applyBorder="0" applyAlignment="0">
      <alignment horizontal="center" vertical="center"/>
    </xf>
    <xf numFmtId="0" fontId="36" fillId="18" borderId="0" applyNumberFormat="0" applyBorder="0" applyAlignment="0" applyProtection="0"/>
    <xf numFmtId="0" fontId="36" fillId="25" borderId="0" applyNumberFormat="0" applyBorder="0" applyAlignment="0" applyProtection="0"/>
    <xf numFmtId="4" fontId="72" fillId="0" borderId="69" applyFont="0" applyFill="0" applyBorder="0" applyAlignment="0">
      <alignment horizontal="center" vertical="center"/>
    </xf>
    <xf numFmtId="0" fontId="11" fillId="9" borderId="71" applyNumberFormat="0" applyFont="0" applyAlignment="0" applyProtection="0"/>
    <xf numFmtId="0" fontId="36" fillId="21" borderId="0" applyNumberFormat="0" applyBorder="0" applyAlignment="0" applyProtection="0"/>
    <xf numFmtId="0" fontId="36" fillId="21" borderId="0" applyNumberFormat="0" applyBorder="0" applyAlignment="0" applyProtection="0"/>
    <xf numFmtId="4" fontId="149" fillId="2" borderId="80" applyNumberFormat="0" applyProtection="0">
      <alignment vertical="center"/>
    </xf>
    <xf numFmtId="0" fontId="141" fillId="0" borderId="0" applyNumberFormat="0" applyFont="0" applyFill="0" applyBorder="0" applyProtection="0">
      <alignment horizontal="center" wrapText="1"/>
    </xf>
    <xf numFmtId="0" fontId="11" fillId="15" borderId="80" applyNumberFormat="0" applyProtection="0">
      <alignment horizontal="left" vertical="center" indent="1"/>
    </xf>
    <xf numFmtId="37" fontId="17" fillId="32" borderId="0" applyNumberFormat="0" applyBorder="0" applyAlignment="0" applyProtection="0"/>
    <xf numFmtId="0" fontId="36" fillId="29" borderId="0" applyNumberFormat="0" applyBorder="0" applyAlignment="0" applyProtection="0"/>
    <xf numFmtId="0" fontId="11" fillId="0" borderId="0"/>
    <xf numFmtId="0" fontId="11" fillId="15" borderId="68" applyNumberFormat="0" applyProtection="0">
      <alignment horizontal="left" vertical="center" indent="1"/>
    </xf>
    <xf numFmtId="239" fontId="17" fillId="0" borderId="20" applyFont="0" applyFill="0" applyBorder="0" applyAlignment="0" applyProtection="0"/>
    <xf numFmtId="0" fontId="11" fillId="0" borderId="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4" fontId="11" fillId="0" borderId="58" applyNumberFormat="0" applyProtection="0">
      <alignment horizontal="right" vertical="center"/>
    </xf>
    <xf numFmtId="4" fontId="11" fillId="41" borderId="58" applyNumberFormat="0" applyProtection="0">
      <alignment vertical="center"/>
    </xf>
    <xf numFmtId="0" fontId="11" fillId="2" borderId="0" applyNumberFormat="0" applyFont="0" applyAlignment="0" applyProtection="0"/>
    <xf numFmtId="0" fontId="11" fillId="2" borderId="0" applyNumberFormat="0" applyFont="0" applyAlignment="0" applyProtection="0"/>
    <xf numFmtId="217" fontId="11" fillId="0" borderId="0" applyFont="0" applyFill="0" applyBorder="0" applyAlignment="0" applyProtection="0"/>
    <xf numFmtId="217" fontId="11" fillId="0" borderId="0" applyFont="0" applyFill="0" applyBorder="0" applyAlignment="0" applyProtection="0"/>
    <xf numFmtId="218" fontId="11" fillId="0" borderId="0" applyFont="0" applyFill="0" applyBorder="0" applyProtection="0">
      <alignment horizontal="right"/>
    </xf>
    <xf numFmtId="218" fontId="11" fillId="0" borderId="0" applyFont="0" applyFill="0" applyBorder="0" applyProtection="0">
      <alignment horizontal="right"/>
    </xf>
    <xf numFmtId="0" fontId="11" fillId="0" borderId="0"/>
    <xf numFmtId="0" fontId="11" fillId="0" borderId="0"/>
    <xf numFmtId="0" fontId="36" fillId="21" borderId="0" applyNumberFormat="0" applyBorder="0" applyAlignment="0" applyProtection="0"/>
    <xf numFmtId="0" fontId="64" fillId="0" borderId="67" applyNumberFormat="0" applyFill="0" applyAlignment="0" applyProtection="0"/>
    <xf numFmtId="0" fontId="64" fillId="0" borderId="62" applyNumberFormat="0" applyFill="0" applyAlignment="0" applyProtection="0"/>
    <xf numFmtId="4" fontId="71" fillId="27" borderId="68" applyNumberFormat="0" applyProtection="0">
      <alignment horizontal="right" vertical="center"/>
    </xf>
    <xf numFmtId="0" fontId="11" fillId="9" borderId="54" applyNumberFormat="0" applyFont="0" applyAlignment="0" applyProtection="0"/>
    <xf numFmtId="0" fontId="11" fillId="9" borderId="71" applyNumberFormat="0" applyFont="0" applyAlignment="0" applyProtection="0"/>
    <xf numFmtId="0" fontId="36" fillId="29" borderId="0" applyNumberFormat="0" applyBorder="0" applyAlignment="0" applyProtection="0"/>
    <xf numFmtId="0" fontId="11" fillId="32" borderId="0" applyNumberFormat="0" applyFont="0" applyAlignment="0">
      <alignment vertical="top" wrapText="1"/>
    </xf>
    <xf numFmtId="0" fontId="11" fillId="0" borderId="0" applyNumberFormat="0" applyFill="0" applyBorder="0" applyAlignment="0"/>
    <xf numFmtId="0" fontId="11" fillId="0" borderId="0" applyNumberFormat="0" applyFill="0" applyBorder="0" applyAlignment="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6" fillId="27" borderId="0" applyNumberFormat="0" applyBorder="0" applyAlignment="0" applyProtection="0"/>
    <xf numFmtId="9" fontId="11" fillId="0" borderId="0" applyFont="0" applyFill="0" applyBorder="0" applyAlignment="0" applyProtection="0"/>
    <xf numFmtId="0" fontId="64" fillId="0" borderId="64" applyNumberFormat="0" applyFill="0" applyAlignment="0" applyProtection="0"/>
    <xf numFmtId="236" fontId="48" fillId="0" borderId="78">
      <protection locked="0"/>
    </xf>
    <xf numFmtId="0" fontId="11" fillId="69" borderId="68" applyNumberFormat="0" applyProtection="0">
      <alignment horizontal="left" vertical="top" indent="1"/>
    </xf>
    <xf numFmtId="0" fontId="11" fillId="69" borderId="68" applyNumberFormat="0" applyProtection="0">
      <alignment horizontal="left" vertical="center" indent="1"/>
    </xf>
    <xf numFmtId="0" fontId="36" fillId="21" borderId="0" applyNumberFormat="0" applyBorder="0" applyAlignment="0" applyProtection="0"/>
    <xf numFmtId="0" fontId="36" fillId="27" borderId="0" applyNumberFormat="0" applyBorder="0" applyAlignment="0" applyProtection="0"/>
    <xf numFmtId="0" fontId="64" fillId="0" borderId="79"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0" fontId="36" fillId="18" borderId="0" applyNumberFormat="0" applyBorder="0" applyAlignment="0" applyProtection="0"/>
    <xf numFmtId="196" fontId="17" fillId="0" borderId="0" applyFont="0" applyFill="0" applyBorder="0" applyAlignment="0" applyProtection="0"/>
    <xf numFmtId="223" fontId="11" fillId="0" borderId="0" applyFont="0" applyFill="0" applyBorder="0" applyAlignment="0" applyProtection="0"/>
    <xf numFmtId="223" fontId="11" fillId="0" borderId="0" applyFont="0" applyFill="0" applyBorder="0" applyAlignment="0" applyProtection="0"/>
    <xf numFmtId="224" fontId="11" fillId="0" borderId="0">
      <protection locked="0"/>
    </xf>
    <xf numFmtId="224" fontId="11" fillId="0" borderId="0">
      <protection locked="0"/>
    </xf>
    <xf numFmtId="38" fontId="17" fillId="38" borderId="0" applyNumberFormat="0" applyBorder="0" applyAlignment="0" applyProtection="0"/>
    <xf numFmtId="226" fontId="11" fillId="0" borderId="0">
      <protection locked="0"/>
    </xf>
    <xf numFmtId="226" fontId="11" fillId="0" borderId="0">
      <protection locked="0"/>
    </xf>
    <xf numFmtId="226" fontId="11" fillId="0" borderId="0">
      <protection locked="0"/>
    </xf>
    <xf numFmtId="226" fontId="11" fillId="0" borderId="0">
      <protection locked="0"/>
    </xf>
    <xf numFmtId="10" fontId="17" fillId="39" borderId="20" applyNumberFormat="0" applyBorder="0" applyAlignment="0" applyProtection="0"/>
    <xf numFmtId="10" fontId="17" fillId="39" borderId="0">
      <protection locked="0"/>
    </xf>
    <xf numFmtId="220" fontId="17" fillId="0" borderId="0" applyNumberFormat="0" applyFont="0" applyFill="0" applyBorder="0" applyAlignment="0">
      <protection hidden="1"/>
    </xf>
    <xf numFmtId="208" fontId="17" fillId="39" borderId="0">
      <alignment horizontal="center"/>
    </xf>
    <xf numFmtId="0" fontId="11" fillId="0" borderId="0"/>
    <xf numFmtId="0" fontId="30" fillId="14" borderId="70" applyNumberFormat="0" applyAlignment="0" applyProtection="0"/>
    <xf numFmtId="0" fontId="11" fillId="0" borderId="0"/>
    <xf numFmtId="4" fontId="71" fillId="44" borderId="58" applyNumberFormat="0" applyProtection="0">
      <alignment horizontal="right" vertical="center"/>
    </xf>
    <xf numFmtId="4" fontId="11" fillId="41" borderId="58" applyNumberFormat="0" applyProtection="0">
      <alignment vertical="center"/>
    </xf>
    <xf numFmtId="4" fontId="97" fillId="0" borderId="59" applyBorder="0">
      <alignment horizontal="right" wrapText="1"/>
    </xf>
    <xf numFmtId="0" fontId="11" fillId="9" borderId="23" applyNumberFormat="0" applyFont="0" applyAlignment="0" applyProtection="0"/>
    <xf numFmtId="0" fontId="11" fillId="9" borderId="23" applyNumberFormat="0" applyFont="0" applyAlignment="0" applyProtection="0"/>
    <xf numFmtId="233" fontId="11" fillId="0" borderId="0">
      <protection hidden="1"/>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79" applyNumberFormat="0" applyFill="0" applyAlignment="0" applyProtection="0"/>
    <xf numFmtId="9" fontId="11" fillId="0" borderId="0" applyFont="0" applyFill="0" applyBorder="0" applyAlignment="0" applyProtection="0"/>
    <xf numFmtId="221" fontId="74" fillId="0" borderId="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1" fillId="9" borderId="68" applyNumberFormat="0" applyProtection="0">
      <alignment horizontal="left" vertical="top" indent="1"/>
    </xf>
    <xf numFmtId="10" fontId="17" fillId="39" borderId="75" applyNumberFormat="0" applyBorder="0" applyAlignment="0" applyProtection="0"/>
    <xf numFmtId="235" fontId="11" fillId="0" borderId="0"/>
    <xf numFmtId="4" fontId="11" fillId="41" borderId="20" applyNumberFormat="0" applyProtection="0">
      <alignment vertical="center"/>
    </xf>
    <xf numFmtId="4" fontId="11" fillId="0" borderId="20" applyNumberFormat="0" applyProtection="0">
      <alignment horizontal="right" vertical="center"/>
    </xf>
    <xf numFmtId="0" fontId="36" fillId="18" borderId="0" applyNumberFormat="0" applyBorder="0" applyAlignment="0" applyProtection="0"/>
    <xf numFmtId="4" fontId="11" fillId="45" borderId="0" applyNumberFormat="0" applyProtection="0">
      <alignment horizontal="left" vertical="center"/>
    </xf>
    <xf numFmtId="0" fontId="64" fillId="0" borderId="64" applyNumberFormat="0" applyFill="0" applyAlignment="0" applyProtection="0"/>
    <xf numFmtId="221" fontId="74" fillId="0" borderId="0">
      <protection locked="0"/>
    </xf>
    <xf numFmtId="0" fontId="11" fillId="72" borderId="68" applyNumberFormat="0" applyProtection="0">
      <alignment horizontal="left" vertical="top" indent="1"/>
    </xf>
    <xf numFmtId="6" fontId="80" fillId="0" borderId="0">
      <protection locked="0"/>
    </xf>
    <xf numFmtId="0" fontId="36" fillId="25" borderId="0" applyNumberFormat="0" applyBorder="0" applyAlignment="0" applyProtection="0"/>
    <xf numFmtId="0" fontId="11" fillId="9" borderId="71" applyNumberFormat="0" applyFont="0" applyAlignment="0" applyProtection="0"/>
    <xf numFmtId="221" fontId="74" fillId="0" borderId="0">
      <protection locked="0"/>
    </xf>
    <xf numFmtId="6" fontId="80" fillId="0" borderId="0">
      <protection locked="0"/>
    </xf>
    <xf numFmtId="4" fontId="99" fillId="2" borderId="80" applyNumberFormat="0" applyProtection="0">
      <alignment vertical="center"/>
    </xf>
    <xf numFmtId="0" fontId="11" fillId="72" borderId="80" applyNumberFormat="0" applyProtection="0">
      <alignment horizontal="left" vertical="top" indent="1"/>
    </xf>
    <xf numFmtId="0" fontId="64" fillId="0" borderId="79" applyNumberFormat="0" applyFill="0" applyAlignment="0" applyProtection="0"/>
    <xf numFmtId="0" fontId="36" fillId="29" borderId="0" applyNumberFormat="0" applyBorder="0" applyAlignment="0" applyProtection="0"/>
    <xf numFmtId="0" fontId="36" fillId="21" borderId="0" applyNumberFormat="0" applyBorder="0" applyAlignment="0" applyProtection="0"/>
    <xf numFmtId="0" fontId="36" fillId="27" borderId="0" applyNumberFormat="0" applyBorder="0" applyAlignment="0" applyProtection="0"/>
    <xf numFmtId="0" fontId="11" fillId="0" borderId="30"/>
    <xf numFmtId="0" fontId="11" fillId="0" borderId="30"/>
    <xf numFmtId="37" fontId="17" fillId="32" borderId="0" applyNumberFormat="0" applyBorder="0" applyAlignment="0" applyProtection="0"/>
    <xf numFmtId="37" fontId="17" fillId="0" borderId="0"/>
    <xf numFmtId="37" fontId="17" fillId="0" borderId="0"/>
    <xf numFmtId="239" fontId="17" fillId="0" borderId="2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1" fontId="11" fillId="0" borderId="0" applyFont="0" applyFill="0" applyBorder="0" applyAlignment="0" applyProtection="0"/>
    <xf numFmtId="221" fontId="74" fillId="0" borderId="0">
      <protection locked="0"/>
    </xf>
    <xf numFmtId="0" fontId="28" fillId="5" borderId="53" applyNumberForma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62" fillId="0" borderId="0" applyNumberFormat="0" applyFill="0" applyBorder="0" applyAlignment="0" applyProtection="0"/>
    <xf numFmtId="0" fontId="36" fillId="25" borderId="0" applyNumberFormat="0" applyBorder="0" applyAlignment="0" applyProtection="0"/>
    <xf numFmtId="0" fontId="63" fillId="0" borderId="0" applyNumberFormat="0" applyFill="0" applyBorder="0" applyProtection="0">
      <alignment vertical="top"/>
    </xf>
    <xf numFmtId="0" fontId="64" fillId="0" borderId="1" applyNumberFormat="0" applyFill="0" applyAlignment="0" applyProtection="0"/>
    <xf numFmtId="0" fontId="65" fillId="0" borderId="2" applyNumberFormat="0" applyFill="0" applyProtection="0">
      <alignment horizontal="center"/>
    </xf>
    <xf numFmtId="0" fontId="65" fillId="0" borderId="0" applyNumberFormat="0" applyFill="0" applyBorder="0" applyProtection="0">
      <alignment horizontal="left"/>
    </xf>
    <xf numFmtId="0" fontId="66" fillId="0" borderId="0" applyNumberFormat="0" applyFill="0" applyBorder="0" applyProtection="0">
      <alignment horizontal="centerContinuous"/>
    </xf>
    <xf numFmtId="221" fontId="74" fillId="0" borderId="0">
      <protection locked="0"/>
    </xf>
    <xf numFmtId="176" fontId="67" fillId="0" borderId="0" applyFont="0" applyFill="0" applyBorder="0" applyAlignment="0" applyProtection="0"/>
    <xf numFmtId="4" fontId="67" fillId="0" borderId="0" applyFont="0" applyFill="0" applyBorder="0" applyAlignment="0" applyProtection="0"/>
    <xf numFmtId="0" fontId="78" fillId="0" borderId="0"/>
    <xf numFmtId="0" fontId="79" fillId="0" borderId="0" applyFill="0" applyBorder="0" applyProtection="0"/>
    <xf numFmtId="222" fontId="74" fillId="0" borderId="0">
      <protection locked="0"/>
    </xf>
    <xf numFmtId="239" fontId="17" fillId="0" borderId="58" applyFont="0" applyFill="0" applyBorder="0" applyAlignment="0" applyProtection="0"/>
    <xf numFmtId="0" fontId="11" fillId="0" borderId="0"/>
    <xf numFmtId="9" fontId="11" fillId="0" borderId="0" applyFont="0" applyFill="0" applyBorder="0" applyAlignment="0" applyProtection="0"/>
    <xf numFmtId="37" fontId="91" fillId="0" borderId="0"/>
    <xf numFmtId="0" fontId="36" fillId="29" borderId="0" applyNumberFormat="0" applyBorder="0" applyAlignment="0" applyProtection="0"/>
    <xf numFmtId="234" fontId="74" fillId="0" borderId="0">
      <protection locked="0"/>
    </xf>
    <xf numFmtId="1" fontId="67" fillId="0" borderId="0" applyBorder="0">
      <alignment horizontal="left" vertical="top" wrapText="1"/>
    </xf>
    <xf numFmtId="0" fontId="71"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1" fontId="82" fillId="37" borderId="57" applyNumberFormat="0" applyBorder="0" applyAlignment="0">
      <alignment horizontal="centerContinuous" vertical="center"/>
      <protection locked="0"/>
    </xf>
    <xf numFmtId="0" fontId="11" fillId="72" borderId="68" applyNumberFormat="0" applyProtection="0">
      <alignment horizontal="left" vertical="center" indent="1"/>
    </xf>
    <xf numFmtId="0" fontId="127" fillId="72" borderId="68" applyNumberFormat="0" applyProtection="0">
      <alignment horizontal="left" vertical="center" indent="1"/>
    </xf>
    <xf numFmtId="49" fontId="48" fillId="0" borderId="78">
      <protection locked="0"/>
    </xf>
    <xf numFmtId="0" fontId="53"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36" fillId="24" borderId="0" applyNumberFormat="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 fontId="17" fillId="0" borderId="0">
      <alignment horizontal="right"/>
    </xf>
    <xf numFmtId="16" fontId="17" fillId="0" borderId="0">
      <alignment horizontal="right"/>
    </xf>
    <xf numFmtId="16" fontId="17" fillId="0" borderId="0">
      <alignment horizontal="right"/>
    </xf>
    <xf numFmtId="16" fontId="17" fillId="0" borderId="0">
      <alignment horizontal="right"/>
    </xf>
    <xf numFmtId="15" fontId="17" fillId="0" borderId="0">
      <alignment horizontal="right"/>
    </xf>
    <xf numFmtId="15" fontId="17" fillId="0" borderId="0">
      <alignment horizontal="right"/>
    </xf>
    <xf numFmtId="15" fontId="17" fillId="0" borderId="0">
      <alignment horizontal="right"/>
    </xf>
    <xf numFmtId="15" fontId="17" fillId="0" borderId="0">
      <alignment horizontal="right"/>
    </xf>
    <xf numFmtId="0" fontId="12" fillId="0" borderId="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28" fillId="5" borderId="5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43" fillId="0" borderId="0"/>
    <xf numFmtId="0" fontId="83" fillId="0" borderId="0" applyFont="0" applyBorder="0">
      <alignment horizontal="right"/>
    </xf>
    <xf numFmtId="0" fontId="37" fillId="56" borderId="0" applyNumberFormat="0" applyBorder="0" applyAlignment="0" applyProtection="0"/>
    <xf numFmtId="0" fontId="37" fillId="57" borderId="0" applyNumberFormat="0" applyBorder="0" applyAlignment="0" applyProtection="0"/>
    <xf numFmtId="0" fontId="36" fillId="58"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6" fillId="61" borderId="0" applyNumberFormat="0" applyBorder="0" applyAlignment="0" applyProtection="0"/>
    <xf numFmtId="0" fontId="37" fillId="41" borderId="0" applyNumberFormat="0" applyBorder="0" applyAlignment="0" applyProtection="0"/>
    <xf numFmtId="0" fontId="37" fillId="62" borderId="0" applyNumberFormat="0" applyBorder="0" applyAlignment="0" applyProtection="0"/>
    <xf numFmtId="0" fontId="36" fillId="63"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6" fillId="63"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0" fontId="36" fillId="57" borderId="0" applyNumberFormat="0" applyBorder="0" applyAlignment="0" applyProtection="0"/>
    <xf numFmtId="0" fontId="37" fillId="64" borderId="0" applyNumberFormat="0" applyBorder="0" applyAlignment="0" applyProtection="0"/>
    <xf numFmtId="0" fontId="37" fillId="60" borderId="0" applyNumberFormat="0" applyBorder="0" applyAlignment="0" applyProtection="0"/>
    <xf numFmtId="0" fontId="36" fillId="65" borderId="0" applyNumberFormat="0" applyBorder="0" applyAlignment="0" applyProtection="0"/>
    <xf numFmtId="0" fontId="145" fillId="0" borderId="49">
      <alignment horizontal="center"/>
    </xf>
    <xf numFmtId="43" fontId="144" fillId="0" borderId="0" applyFont="0" applyFill="0" applyBorder="0" applyAlignment="0" applyProtection="0"/>
    <xf numFmtId="43" fontId="144" fillId="0" borderId="0" applyFont="0" applyFill="0" applyBorder="0" applyAlignment="0" applyProtection="0"/>
    <xf numFmtId="164" fontId="146" fillId="0" borderId="0" applyFont="0" applyFill="0" applyBorder="0" applyAlignment="0" applyProtection="0"/>
    <xf numFmtId="245" fontId="146" fillId="0" borderId="0" applyFont="0" applyFill="0" applyBorder="0" applyAlignment="0" applyProtection="0"/>
    <xf numFmtId="245" fontId="146" fillId="0" borderId="0" applyFont="0" applyFill="0" applyBorder="0" applyAlignment="0" applyProtection="0"/>
    <xf numFmtId="43" fontId="147" fillId="0" borderId="0" applyFont="0" applyFill="0" applyBorder="0" applyAlignment="0" applyProtection="0"/>
    <xf numFmtId="43" fontId="144" fillId="0" borderId="0" applyFont="0" applyFill="0" applyBorder="0" applyAlignment="0" applyProtection="0"/>
    <xf numFmtId="0" fontId="11" fillId="0" borderId="0"/>
    <xf numFmtId="43" fontId="156" fillId="0" borderId="0" applyFont="0" applyFill="0" applyBorder="0" applyAlignment="0" applyProtection="0"/>
    <xf numFmtId="245" fontId="146" fillId="0" borderId="0" applyFont="0" applyFill="0" applyBorder="0" applyAlignment="0" applyProtection="0"/>
    <xf numFmtId="245" fontId="14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4"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43" fontId="144"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144" fillId="0" borderId="0" applyFont="0" applyFill="0" applyBorder="0" applyAlignment="0" applyProtection="0"/>
    <xf numFmtId="44" fontId="156" fillId="0" borderId="0" applyFont="0" applyFill="0" applyBorder="0" applyAlignment="0" applyProtection="0"/>
    <xf numFmtId="44" fontId="71"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83" fillId="0" borderId="0"/>
    <xf numFmtId="0" fontId="148" fillId="0" borderId="0" applyNumberFormat="0" applyFill="0" applyBorder="0" applyAlignment="0" applyProtection="0">
      <alignment vertical="top"/>
      <protection locked="0"/>
    </xf>
    <xf numFmtId="0" fontId="48" fillId="0" borderId="0" applyNumberFormat="0" applyFill="0" applyAlignment="0" applyProtection="0">
      <alignment vertical="top"/>
      <protection locked="0"/>
    </xf>
    <xf numFmtId="0" fontId="143" fillId="0" borderId="0"/>
    <xf numFmtId="0" fontId="143" fillId="0" borderId="0"/>
    <xf numFmtId="0" fontId="143" fillId="0" borderId="0"/>
    <xf numFmtId="0" fontId="144" fillId="0" borderId="0"/>
    <xf numFmtId="0" fontId="144" fillId="0" borderId="0"/>
    <xf numFmtId="0" fontId="144" fillId="0" borderId="0"/>
    <xf numFmtId="247" fontId="11" fillId="0" borderId="0"/>
    <xf numFmtId="0" fontId="146" fillId="0" borderId="0"/>
    <xf numFmtId="0" fontId="71" fillId="0" borderId="0"/>
    <xf numFmtId="0" fontId="144" fillId="0" borderId="0"/>
    <xf numFmtId="0" fontId="143" fillId="0" borderId="0"/>
    <xf numFmtId="0" fontId="12" fillId="0" borderId="0"/>
    <xf numFmtId="0" fontId="142" fillId="0" borderId="0"/>
    <xf numFmtId="0" fontId="144" fillId="0" borderId="0"/>
    <xf numFmtId="0" fontId="11" fillId="0" borderId="0"/>
    <xf numFmtId="0" fontId="144" fillId="0" borderId="0"/>
    <xf numFmtId="0" fontId="12" fillId="0" borderId="0"/>
    <xf numFmtId="0" fontId="143" fillId="0" borderId="0"/>
    <xf numFmtId="0" fontId="143" fillId="0" borderId="0"/>
    <xf numFmtId="0" fontId="143" fillId="0" borderId="0"/>
    <xf numFmtId="0" fontId="144" fillId="0" borderId="0"/>
    <xf numFmtId="0" fontId="144" fillId="0" borderId="0"/>
    <xf numFmtId="0" fontId="146" fillId="0" borderId="0"/>
    <xf numFmtId="0" fontId="71" fillId="55" borderId="47" applyNumberFormat="0" applyFont="0" applyAlignment="0" applyProtection="0"/>
    <xf numFmtId="0" fontId="12" fillId="0" borderId="0" applyFill="0" applyBorder="0" applyProtection="0">
      <alignment horizontal="centerContinuous"/>
    </xf>
    <xf numFmtId="248" fontId="83" fillId="0" borderId="0"/>
    <xf numFmtId="9" fontId="71" fillId="0" borderId="0" applyFont="0" applyFill="0" applyBorder="0" applyAlignment="0" applyProtection="0"/>
    <xf numFmtId="9" fontId="144" fillId="0" borderId="0" applyFont="0" applyFill="0" applyBorder="0" applyAlignment="0" applyProtection="0"/>
    <xf numFmtId="10" fontId="12" fillId="0" borderId="0" applyFill="0" applyBorder="0" applyProtection="0">
      <alignment horizontal="center"/>
    </xf>
    <xf numFmtId="9" fontId="156"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6" fillId="0" borderId="0" applyFont="0" applyFill="0" applyBorder="0" applyAlignment="0" applyProtection="0"/>
    <xf numFmtId="10" fontId="11" fillId="0" borderId="0" applyFont="0" applyFill="0" applyBorder="0" applyAlignment="0" applyProtection="0"/>
    <xf numFmtId="0" fontId="20" fillId="0" borderId="0" applyNumberFormat="0" applyFill="0" applyBorder="0" applyAlignment="0" applyProtection="0"/>
    <xf numFmtId="4" fontId="99" fillId="2" borderId="50" applyNumberFormat="0" applyProtection="0">
      <alignment vertical="center"/>
    </xf>
    <xf numFmtId="4" fontId="149" fillId="2" borderId="50" applyNumberFormat="0" applyProtection="0">
      <alignment vertical="center"/>
    </xf>
    <xf numFmtId="4" fontId="99" fillId="2" borderId="50" applyNumberFormat="0" applyProtection="0">
      <alignment horizontal="left" vertical="center" indent="1"/>
    </xf>
    <xf numFmtId="0" fontId="99" fillId="2" borderId="50" applyNumberFormat="0" applyProtection="0">
      <alignment horizontal="left" vertical="top" indent="1"/>
    </xf>
    <xf numFmtId="4" fontId="99" fillId="69" borderId="0" applyNumberFormat="0" applyProtection="0">
      <alignment horizontal="left" vertical="center" indent="1"/>
    </xf>
    <xf numFmtId="4" fontId="71" fillId="7" borderId="50" applyNumberFormat="0" applyProtection="0">
      <alignment horizontal="right" vertical="center"/>
    </xf>
    <xf numFmtId="4" fontId="71" fillId="8" borderId="50" applyNumberFormat="0" applyProtection="0">
      <alignment horizontal="right" vertical="center"/>
    </xf>
    <xf numFmtId="4" fontId="71" fillId="25" borderId="50" applyNumberFormat="0" applyProtection="0">
      <alignment horizontal="right" vertical="center"/>
    </xf>
    <xf numFmtId="4" fontId="71" fillId="17" borderId="50" applyNumberFormat="0" applyProtection="0">
      <alignment horizontal="right" vertical="center"/>
    </xf>
    <xf numFmtId="4" fontId="71" fillId="23" borderId="50" applyNumberFormat="0" applyProtection="0">
      <alignment horizontal="right" vertical="center"/>
    </xf>
    <xf numFmtId="4" fontId="71" fillId="29" borderId="50" applyNumberFormat="0" applyProtection="0">
      <alignment horizontal="right" vertical="center"/>
    </xf>
    <xf numFmtId="4" fontId="71" fillId="27" borderId="50" applyNumberFormat="0" applyProtection="0">
      <alignment horizontal="right" vertical="center"/>
    </xf>
    <xf numFmtId="4" fontId="71" fillId="70" borderId="50" applyNumberFormat="0" applyProtection="0">
      <alignment horizontal="right" vertical="center"/>
    </xf>
    <xf numFmtId="4" fontId="71" fillId="16" borderId="50" applyNumberFormat="0" applyProtection="0">
      <alignment horizontal="right" vertical="center"/>
    </xf>
    <xf numFmtId="4" fontId="99" fillId="71" borderId="51" applyNumberFormat="0" applyProtection="0">
      <alignment horizontal="left" vertical="center" indent="1"/>
    </xf>
    <xf numFmtId="4" fontId="71" fillId="72" borderId="0" applyNumberFormat="0" applyProtection="0">
      <alignment horizontal="left" vertical="center" indent="1"/>
    </xf>
    <xf numFmtId="4" fontId="150" fillId="22" borderId="0" applyNumberFormat="0" applyProtection="0">
      <alignment horizontal="left" vertical="center" indent="1"/>
    </xf>
    <xf numFmtId="4" fontId="71" fillId="69" borderId="50" applyNumberFormat="0" applyProtection="0">
      <alignment horizontal="right" vertical="center"/>
    </xf>
    <xf numFmtId="4" fontId="71" fillId="72" borderId="0" applyNumberFormat="0" applyProtection="0">
      <alignment horizontal="left" vertical="center" indent="1"/>
    </xf>
    <xf numFmtId="4" fontId="71" fillId="69" borderId="0" applyNumberFormat="0" applyProtection="0">
      <alignment horizontal="left" vertical="center" indent="1"/>
    </xf>
    <xf numFmtId="0" fontId="11" fillId="22" borderId="50" applyNumberFormat="0" applyProtection="0">
      <alignment horizontal="left" vertical="center" indent="1"/>
    </xf>
    <xf numFmtId="0" fontId="11" fillId="22" borderId="50" applyNumberFormat="0" applyProtection="0">
      <alignment horizontal="left" vertical="center" indent="1"/>
    </xf>
    <xf numFmtId="0" fontId="11" fillId="22" borderId="50" applyNumberFormat="0" applyProtection="0">
      <alignment horizontal="left" vertical="top" indent="1"/>
    </xf>
    <xf numFmtId="0" fontId="11" fillId="69" borderId="50" applyNumberFormat="0" applyProtection="0">
      <alignment horizontal="left" vertical="center" indent="1"/>
    </xf>
    <xf numFmtId="0" fontId="11" fillId="69" borderId="50" applyNumberFormat="0" applyProtection="0">
      <alignment horizontal="left" vertical="center" indent="1"/>
    </xf>
    <xf numFmtId="0" fontId="11" fillId="69" borderId="50" applyNumberFormat="0" applyProtection="0">
      <alignment horizontal="left" vertical="top" indent="1"/>
    </xf>
    <xf numFmtId="0" fontId="11" fillId="15" borderId="50" applyNumberFormat="0" applyProtection="0">
      <alignment horizontal="left" vertical="center" indent="1"/>
    </xf>
    <xf numFmtId="0" fontId="11" fillId="15" borderId="50" applyNumberFormat="0" applyProtection="0">
      <alignment horizontal="left" vertical="center" indent="1"/>
    </xf>
    <xf numFmtId="0" fontId="11" fillId="15" borderId="50" applyNumberFormat="0" applyProtection="0">
      <alignment horizontal="left" vertical="top" indent="1"/>
    </xf>
    <xf numFmtId="0" fontId="11" fillId="72" borderId="50" applyNumberFormat="0" applyProtection="0">
      <alignment horizontal="left" vertical="center" indent="1"/>
    </xf>
    <xf numFmtId="0" fontId="11" fillId="72" borderId="50" applyNumberFormat="0" applyProtection="0">
      <alignment horizontal="left" vertical="center" indent="1"/>
    </xf>
    <xf numFmtId="0" fontId="11" fillId="72" borderId="50" applyNumberFormat="0" applyProtection="0">
      <alignment horizontal="left" vertical="center" indent="1"/>
    </xf>
    <xf numFmtId="0" fontId="127" fillId="72" borderId="50" applyNumberFormat="0" applyProtection="0">
      <alignment horizontal="left" vertical="center" indent="1"/>
    </xf>
    <xf numFmtId="0" fontId="11" fillId="72" borderId="50" applyNumberFormat="0" applyProtection="0">
      <alignment horizontal="left" vertical="top" indent="1"/>
    </xf>
    <xf numFmtId="0" fontId="11" fillId="3" borderId="20" applyNumberFormat="0">
      <protection locked="0"/>
    </xf>
    <xf numFmtId="4" fontId="71" fillId="9" borderId="50" applyNumberFormat="0" applyProtection="0">
      <alignment vertical="center"/>
    </xf>
    <xf numFmtId="4" fontId="151" fillId="9" borderId="50" applyNumberFormat="0" applyProtection="0">
      <alignment vertical="center"/>
    </xf>
    <xf numFmtId="4" fontId="71" fillId="9" borderId="50" applyNumberFormat="0" applyProtection="0">
      <alignment horizontal="left" vertical="center" indent="1"/>
    </xf>
    <xf numFmtId="0" fontId="71" fillId="9" borderId="50" applyNumberFormat="0" applyProtection="0">
      <alignment horizontal="left" vertical="top" indent="1"/>
    </xf>
    <xf numFmtId="4" fontId="71" fillId="72" borderId="50" applyNumberFormat="0" applyProtection="0">
      <alignment horizontal="right" vertical="center"/>
    </xf>
    <xf numFmtId="4" fontId="151" fillId="72" borderId="50" applyNumberFormat="0" applyProtection="0">
      <alignment horizontal="right" vertical="center"/>
    </xf>
    <xf numFmtId="4" fontId="71" fillId="69" borderId="50" applyNumberFormat="0" applyProtection="0">
      <alignment horizontal="left" vertical="center" indent="1"/>
    </xf>
    <xf numFmtId="0" fontId="71" fillId="69" borderId="50" applyNumberFormat="0" applyProtection="0">
      <alignment horizontal="left" vertical="top" indent="1"/>
    </xf>
    <xf numFmtId="4" fontId="152" fillId="73" borderId="0" applyNumberFormat="0" applyProtection="0">
      <alignment horizontal="left" vertical="center" indent="1"/>
    </xf>
    <xf numFmtId="4" fontId="20" fillId="72" borderId="50" applyNumberFormat="0" applyProtection="0">
      <alignment horizontal="right" vertical="center"/>
    </xf>
    <xf numFmtId="0" fontId="25" fillId="0" borderId="0" applyNumberFormat="0" applyFill="0" applyBorder="0" applyAlignment="0" applyProtection="0"/>
    <xf numFmtId="0" fontId="153" fillId="0" borderId="0"/>
    <xf numFmtId="0" fontId="13" fillId="0" borderId="0">
      <alignment horizontal="centerContinuous"/>
    </xf>
    <xf numFmtId="0" fontId="13" fillId="0" borderId="0" applyFill="0" applyBorder="0" applyProtection="0">
      <alignment horizontal="centerContinuous" wrapText="1"/>
    </xf>
    <xf numFmtId="249" fontId="83" fillId="0" borderId="0"/>
    <xf numFmtId="250" fontId="83" fillId="0" borderId="0"/>
    <xf numFmtId="0" fontId="154" fillId="0" borderId="0" applyNumberFormat="0" applyFill="0" applyBorder="0" applyAlignment="0" applyProtection="0"/>
    <xf numFmtId="0" fontId="155" fillId="0" borderId="0" applyNumberFormat="0" applyFont="0" applyFill="0" applyBorder="0" applyAlignment="0"/>
    <xf numFmtId="251" fontId="83" fillId="0" borderId="0"/>
    <xf numFmtId="43" fontId="144" fillId="0" borderId="0" applyFont="0" applyFill="0" applyBorder="0" applyAlignment="0" applyProtection="0"/>
    <xf numFmtId="9" fontId="71" fillId="0" borderId="0" applyFont="0" applyFill="0" applyBorder="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6" fillId="27" borderId="0" applyNumberFormat="0" applyBorder="0" applyAlignment="0" applyProtection="0"/>
    <xf numFmtId="0" fontId="28" fillId="5" borderId="53" applyNumberFormat="0" applyAlignment="0" applyProtection="0"/>
    <xf numFmtId="221" fontId="74" fillId="0" borderId="0">
      <protection locked="0"/>
    </xf>
    <xf numFmtId="6" fontId="80" fillId="0" borderId="0">
      <protection locked="0"/>
    </xf>
    <xf numFmtId="0" fontId="30" fillId="14" borderId="53" applyNumberFormat="0" applyAlignment="0" applyProtection="0"/>
    <xf numFmtId="0" fontId="87" fillId="0" borderId="13" applyNumberFormat="0" applyFill="0" applyAlignment="0" applyProtection="0"/>
    <xf numFmtId="0" fontId="88" fillId="0" borderId="15" applyNumberFormat="0" applyFill="0" applyAlignment="0" applyProtection="0"/>
    <xf numFmtId="49" fontId="48" fillId="0" borderId="58">
      <alignment vertical="top"/>
      <protection locked="0"/>
    </xf>
    <xf numFmtId="191" fontId="38" fillId="0" borderId="60"/>
    <xf numFmtId="0" fontId="28" fillId="5" borderId="53" applyNumberFormat="0" applyAlignment="0" applyProtection="0"/>
    <xf numFmtId="0" fontId="36" fillId="18" borderId="0" applyNumberFormat="0" applyBorder="0" applyAlignment="0" applyProtection="0"/>
    <xf numFmtId="0" fontId="11" fillId="9" borderId="54" applyNumberFormat="0" applyFont="0" applyAlignment="0" applyProtection="0"/>
    <xf numFmtId="0" fontId="29" fillId="14" borderId="55" applyNumberFormat="0" applyAlignment="0" applyProtection="0"/>
    <xf numFmtId="0" fontId="35" fillId="0" borderId="56" applyNumberFormat="0" applyFill="0" applyAlignment="0" applyProtection="0"/>
    <xf numFmtId="0" fontId="28" fillId="5" borderId="53" applyNumberFormat="0" applyAlignment="0" applyProtection="0"/>
    <xf numFmtId="9" fontId="11" fillId="0" borderId="0" applyFont="0" applyFill="0" applyBorder="0" applyAlignment="0" applyProtection="0"/>
    <xf numFmtId="0" fontId="36" fillId="27" borderId="0" applyNumberFormat="0" applyBorder="0" applyAlignment="0" applyProtection="0"/>
    <xf numFmtId="6" fontId="80" fillId="0" borderId="0">
      <protection locked="0"/>
    </xf>
    <xf numFmtId="4" fontId="149" fillId="2" borderId="68" applyNumberFormat="0" applyProtection="0">
      <alignment vertical="center"/>
    </xf>
    <xf numFmtId="0" fontId="36" fillId="21" borderId="0" applyNumberFormat="0" applyBorder="0" applyAlignment="0" applyProtection="0"/>
    <xf numFmtId="221" fontId="74" fillId="0" borderId="0">
      <protection locked="0"/>
    </xf>
    <xf numFmtId="4" fontId="71" fillId="69" borderId="68" applyNumberFormat="0" applyProtection="0">
      <alignment horizontal="left" vertical="center" indent="1"/>
    </xf>
    <xf numFmtId="4" fontId="71" fillId="29" borderId="80" applyNumberFormat="0" applyProtection="0">
      <alignment horizontal="right" vertical="center"/>
    </xf>
    <xf numFmtId="0" fontId="36" fillId="27" borderId="0" applyNumberFormat="0" applyBorder="0" applyAlignment="0" applyProtection="0"/>
    <xf numFmtId="239" fontId="17" fillId="0" borderId="58" applyFont="0" applyFill="0" applyBorder="0" applyAlignment="0" applyProtection="0"/>
    <xf numFmtId="4" fontId="20" fillId="72" borderId="80" applyNumberFormat="0" applyProtection="0">
      <alignment horizontal="right" vertical="center"/>
    </xf>
    <xf numFmtId="4" fontId="71" fillId="7" borderId="68" applyNumberFormat="0" applyProtection="0">
      <alignment horizontal="right" vertical="center"/>
    </xf>
    <xf numFmtId="221" fontId="74" fillId="0" borderId="0">
      <protection locked="0"/>
    </xf>
    <xf numFmtId="0" fontId="11" fillId="72" borderId="80" applyNumberFormat="0" applyProtection="0">
      <alignment horizontal="left" vertical="center" indent="1"/>
    </xf>
    <xf numFmtId="0" fontId="36" fillId="29" borderId="0" applyNumberFormat="0" applyBorder="0" applyAlignment="0" applyProtection="0"/>
    <xf numFmtId="0" fontId="28" fillId="5" borderId="53" applyNumberFormat="0" applyAlignment="0" applyProtection="0"/>
    <xf numFmtId="0" fontId="36" fillId="29" borderId="0" applyNumberFormat="0" applyBorder="0" applyAlignment="0" applyProtection="0"/>
    <xf numFmtId="0" fontId="36" fillId="27" borderId="0" applyNumberFormat="0" applyBorder="0" applyAlignment="0" applyProtection="0"/>
    <xf numFmtId="9" fontId="11" fillId="0" borderId="0" applyFont="0" applyFill="0" applyBorder="0" applyAlignment="0" applyProtection="0"/>
    <xf numFmtId="4" fontId="71" fillId="16" borderId="80" applyNumberFormat="0" applyProtection="0">
      <alignment horizontal="right" vertical="center"/>
    </xf>
    <xf numFmtId="0" fontId="11" fillId="15" borderId="68" applyNumberFormat="0" applyProtection="0">
      <alignment horizontal="left" vertical="center" indent="1"/>
    </xf>
    <xf numFmtId="1" fontId="82" fillId="37" borderId="74" applyNumberFormat="0" applyBorder="0" applyAlignment="0">
      <alignment horizontal="centerContinuous" vertical="center"/>
      <protection locked="0"/>
    </xf>
    <xf numFmtId="0" fontId="64" fillId="0" borderId="66" applyNumberFormat="0" applyFill="0" applyAlignment="0" applyProtection="0"/>
    <xf numFmtId="0" fontId="11" fillId="69" borderId="80" applyNumberFormat="0" applyProtection="0">
      <alignment horizontal="left" vertical="center" indent="1"/>
    </xf>
    <xf numFmtId="0" fontId="64" fillId="0" borderId="66" applyNumberFormat="0" applyFill="0" applyAlignment="0" applyProtection="0"/>
    <xf numFmtId="0" fontId="11" fillId="9" borderId="54" applyNumberFormat="0" applyFont="0" applyAlignment="0" applyProtection="0"/>
    <xf numFmtId="0" fontId="36" fillId="27" borderId="0" applyNumberFormat="0" applyBorder="0" applyAlignment="0" applyProtection="0"/>
    <xf numFmtId="4" fontId="71" fillId="9" borderId="68" applyNumberFormat="0" applyProtection="0">
      <alignment vertical="center"/>
    </xf>
    <xf numFmtId="4" fontId="99" fillId="2" borderId="68" applyNumberFormat="0" applyProtection="0">
      <alignment vertical="center"/>
    </xf>
    <xf numFmtId="221" fontId="74" fillId="0" borderId="0">
      <protection locked="0"/>
    </xf>
    <xf numFmtId="0" fontId="64" fillId="0" borderId="63" applyNumberFormat="0" applyFill="0" applyAlignment="0" applyProtection="0"/>
    <xf numFmtId="0" fontId="64" fillId="0" borderId="65" applyNumberFormat="0" applyFill="0" applyAlignment="0" applyProtection="0"/>
    <xf numFmtId="4" fontId="71" fillId="16" borderId="68" applyNumberFormat="0" applyProtection="0">
      <alignment horizontal="right" vertical="center"/>
    </xf>
    <xf numFmtId="0" fontId="11" fillId="9" borderId="71" applyNumberFormat="0" applyFont="0" applyAlignment="0" applyProtection="0"/>
    <xf numFmtId="0" fontId="36" fillId="25" borderId="0" applyNumberFormat="0" applyBorder="0" applyAlignment="0" applyProtection="0"/>
    <xf numFmtId="0" fontId="11" fillId="0" borderId="0"/>
    <xf numFmtId="4" fontId="71" fillId="69" borderId="80" applyNumberFormat="0" applyProtection="0">
      <alignment horizontal="right" vertical="center"/>
    </xf>
    <xf numFmtId="0" fontId="64" fillId="0" borderId="62" applyNumberFormat="0" applyFill="0" applyAlignment="0" applyProtection="0"/>
    <xf numFmtId="0" fontId="36" fillId="18" borderId="0" applyNumberFormat="0" applyBorder="0" applyAlignment="0" applyProtection="0"/>
    <xf numFmtId="4" fontId="71" fillId="8" borderId="68" applyNumberFormat="0" applyProtection="0">
      <alignment horizontal="right" vertical="center"/>
    </xf>
    <xf numFmtId="0" fontId="64" fillId="0" borderId="63" applyNumberFormat="0" applyFill="0" applyAlignment="0" applyProtection="0"/>
    <xf numFmtId="221" fontId="74" fillId="0" borderId="0">
      <protection locked="0"/>
    </xf>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0" fontId="11" fillId="9" borderId="54" applyNumberFormat="0" applyFont="0" applyAlignment="0" applyProtection="0"/>
    <xf numFmtId="9" fontId="11" fillId="0" borderId="0" applyFont="0" applyFill="0" applyBorder="0" applyAlignment="0" applyProtection="0"/>
    <xf numFmtId="221" fontId="74" fillId="0" borderId="0">
      <protection locked="0"/>
    </xf>
    <xf numFmtId="0" fontId="36" fillId="18" borderId="0" applyNumberFormat="0" applyBorder="0" applyAlignment="0" applyProtection="0"/>
    <xf numFmtId="0" fontId="36" fillId="27" borderId="0" applyNumberFormat="0" applyBorder="0" applyAlignment="0" applyProtection="0"/>
    <xf numFmtId="0" fontId="28" fillId="5" borderId="53" applyNumberFormat="0" applyAlignment="0" applyProtection="0"/>
    <xf numFmtId="0" fontId="36" fillId="27" borderId="0" applyNumberFormat="0" applyBorder="0" applyAlignment="0" applyProtection="0"/>
    <xf numFmtId="0" fontId="64" fillId="0" borderId="63" applyNumberFormat="0" applyFill="0" applyAlignment="0" applyProtection="0"/>
    <xf numFmtId="6" fontId="80" fillId="0" borderId="0">
      <protection locked="0"/>
    </xf>
    <xf numFmtId="9" fontId="11" fillId="0" borderId="0" applyFont="0" applyFill="0" applyBorder="0" applyAlignment="0" applyProtection="0"/>
    <xf numFmtId="0" fontId="11" fillId="9" borderId="71" applyNumberFormat="0" applyFont="0" applyAlignment="0" applyProtection="0"/>
    <xf numFmtId="0" fontId="36" fillId="21" borderId="0" applyNumberFormat="0" applyBorder="0" applyAlignment="0" applyProtection="0"/>
    <xf numFmtId="0" fontId="36" fillId="21" borderId="0" applyNumberFormat="0" applyBorder="0" applyAlignment="0" applyProtection="0"/>
    <xf numFmtId="0" fontId="64" fillId="0" borderId="67" applyNumberFormat="0" applyFill="0" applyAlignment="0" applyProtection="0"/>
    <xf numFmtId="0" fontId="11" fillId="15" borderId="80" applyNumberFormat="0" applyProtection="0">
      <alignment horizontal="left" vertical="top" indent="1"/>
    </xf>
    <xf numFmtId="0" fontId="36" fillId="18" borderId="0" applyNumberFormat="0" applyBorder="0" applyAlignment="0" applyProtection="0"/>
    <xf numFmtId="4" fontId="71" fillId="17" borderId="80" applyNumberFormat="0" applyProtection="0">
      <alignment horizontal="right" vertical="center"/>
    </xf>
    <xf numFmtId="4" fontId="71" fillId="29" borderId="68" applyNumberFormat="0" applyProtection="0">
      <alignment horizontal="right" vertical="center"/>
    </xf>
    <xf numFmtId="0" fontId="36" fillId="18" borderId="0" applyNumberFormat="0" applyBorder="0" applyAlignment="0" applyProtection="0"/>
    <xf numFmtId="6" fontId="80" fillId="0" borderId="0">
      <protection locked="0"/>
    </xf>
    <xf numFmtId="4" fontId="71" fillId="70" borderId="80" applyNumberFormat="0" applyProtection="0">
      <alignment horizontal="right" vertical="center"/>
    </xf>
    <xf numFmtId="0" fontId="28" fillId="5" borderId="53" applyNumberFormat="0" applyAlignment="0" applyProtection="0"/>
    <xf numFmtId="0" fontId="28" fillId="5" borderId="70" applyNumberFormat="0" applyAlignment="0" applyProtection="0"/>
    <xf numFmtId="221" fontId="74" fillId="0" borderId="0">
      <protection locked="0"/>
    </xf>
    <xf numFmtId="0" fontId="36" fillId="24" borderId="0" applyNumberFormat="0" applyBorder="0" applyAlignment="0" applyProtection="0"/>
    <xf numFmtId="239" fontId="17" fillId="0" borderId="75" applyFont="0" applyFill="0" applyBorder="0" applyAlignment="0" applyProtection="0"/>
    <xf numFmtId="4" fontId="71" fillId="72" borderId="80" applyNumberFormat="0" applyProtection="0">
      <alignment horizontal="right" vertical="center"/>
    </xf>
    <xf numFmtId="0" fontId="11" fillId="72" borderId="80" applyNumberFormat="0" applyProtection="0">
      <alignment horizontal="left" vertical="center" indent="1"/>
    </xf>
    <xf numFmtId="4" fontId="71" fillId="7" borderId="80" applyNumberFormat="0" applyProtection="0">
      <alignment horizontal="right" vertical="center"/>
    </xf>
    <xf numFmtId="0" fontId="36" fillId="29" borderId="0" applyNumberFormat="0" applyBorder="0" applyAlignment="0" applyProtection="0"/>
    <xf numFmtId="4" fontId="71" fillId="44" borderId="75" applyNumberFormat="0" applyProtection="0">
      <alignment horizontal="right" vertical="center"/>
    </xf>
    <xf numFmtId="6" fontId="80" fillId="0" borderId="0">
      <protection locked="0"/>
    </xf>
    <xf numFmtId="0" fontId="11" fillId="22" borderId="80" applyNumberFormat="0" applyProtection="0">
      <alignment horizontal="left" vertical="top" indent="1"/>
    </xf>
    <xf numFmtId="4" fontId="151" fillId="72" borderId="80" applyNumberFormat="0" applyProtection="0">
      <alignment horizontal="right" vertical="center"/>
    </xf>
    <xf numFmtId="6" fontId="80" fillId="0" borderId="0">
      <protection locked="0"/>
    </xf>
    <xf numFmtId="0" fontId="11" fillId="9" borderId="71" applyNumberFormat="0" applyFont="0" applyAlignment="0" applyProtection="0"/>
    <xf numFmtId="0" fontId="36" fillId="18" borderId="0" applyNumberFormat="0" applyBorder="0" applyAlignment="0" applyProtection="0"/>
    <xf numFmtId="0" fontId="11" fillId="72" borderId="80" applyNumberFormat="0" applyProtection="0">
      <alignment horizontal="left" vertical="center" indent="1"/>
    </xf>
    <xf numFmtId="0" fontId="64" fillId="0" borderId="64" applyNumberFormat="0" applyFill="0" applyAlignment="0" applyProtection="0"/>
    <xf numFmtId="0" fontId="36" fillId="27" borderId="0" applyNumberFormat="0" applyBorder="0" applyAlignment="0" applyProtection="0"/>
    <xf numFmtId="0" fontId="28" fillId="5" borderId="53" applyNumberFormat="0" applyAlignment="0" applyProtection="0"/>
    <xf numFmtId="6" fontId="80" fillId="0" borderId="0">
      <protection locked="0"/>
    </xf>
    <xf numFmtId="0" fontId="11" fillId="72" borderId="68" applyNumberFormat="0" applyProtection="0">
      <alignment horizontal="left" vertical="center" indent="1"/>
    </xf>
    <xf numFmtId="4" fontId="151" fillId="72" borderId="68" applyNumberFormat="0" applyProtection="0">
      <alignment horizontal="right" vertical="center"/>
    </xf>
    <xf numFmtId="9" fontId="11" fillId="0" borderId="0" applyFont="0" applyFill="0" applyBorder="0" applyAlignment="0" applyProtection="0"/>
    <xf numFmtId="0" fontId="11" fillId="9" borderId="71" applyNumberFormat="0" applyFont="0" applyAlignment="0" applyProtection="0"/>
    <xf numFmtId="0" fontId="36" fillId="27" borderId="0" applyNumberFormat="0" applyBorder="0" applyAlignment="0" applyProtection="0"/>
    <xf numFmtId="0" fontId="36" fillId="25" borderId="0" applyNumberFormat="0" applyBorder="0" applyAlignment="0" applyProtection="0"/>
    <xf numFmtId="4" fontId="11" fillId="41" borderId="75" applyNumberFormat="0" applyProtection="0">
      <alignment vertical="center"/>
    </xf>
    <xf numFmtId="0" fontId="64" fillId="0" borderId="66" applyNumberFormat="0" applyFill="0" applyAlignment="0" applyProtection="0"/>
    <xf numFmtId="0" fontId="11" fillId="0" borderId="0"/>
    <xf numFmtId="0" fontId="71" fillId="69" borderId="80" applyNumberFormat="0" applyProtection="0">
      <alignment horizontal="left" vertical="top" indent="1"/>
    </xf>
    <xf numFmtId="4" fontId="71" fillId="23" borderId="68" applyNumberFormat="0" applyProtection="0">
      <alignment horizontal="right" vertical="center"/>
    </xf>
    <xf numFmtId="9" fontId="11" fillId="0" borderId="0" applyFont="0" applyFill="0" applyBorder="0" applyAlignment="0" applyProtection="0"/>
    <xf numFmtId="0" fontId="64" fillId="0" borderId="79" applyNumberFormat="0" applyFill="0" applyAlignment="0" applyProtection="0"/>
    <xf numFmtId="0" fontId="11" fillId="3" borderId="58" applyNumberFormat="0">
      <protection locked="0"/>
    </xf>
    <xf numFmtId="4" fontId="71" fillId="25" borderId="80" applyNumberFormat="0" applyProtection="0">
      <alignment horizontal="right" vertical="center"/>
    </xf>
    <xf numFmtId="0" fontId="28" fillId="5" borderId="53" applyNumberFormat="0" applyAlignment="0" applyProtection="0"/>
    <xf numFmtId="4" fontId="11" fillId="0" borderId="75" applyNumberFormat="0" applyProtection="0">
      <alignment horizontal="right" vertical="center"/>
    </xf>
    <xf numFmtId="0" fontId="11" fillId="15" borderId="80" applyNumberFormat="0" applyProtection="0">
      <alignment horizontal="left" vertical="center" indent="1"/>
    </xf>
    <xf numFmtId="4" fontId="71" fillId="72" borderId="68" applyNumberFormat="0" applyProtection="0">
      <alignment horizontal="right" vertical="center"/>
    </xf>
    <xf numFmtId="0" fontId="64" fillId="0" borderId="63" applyNumberFormat="0" applyFill="0" applyAlignment="0" applyProtection="0"/>
    <xf numFmtId="0" fontId="36" fillId="18" borderId="0" applyNumberFormat="0" applyBorder="0" applyAlignment="0" applyProtection="0"/>
    <xf numFmtId="4" fontId="99" fillId="2" borderId="80" applyNumberFormat="0" applyProtection="0">
      <alignment horizontal="left" vertical="center" indent="1"/>
    </xf>
    <xf numFmtId="0" fontId="11" fillId="9" borderId="71" applyNumberFormat="0" applyFont="0" applyAlignment="0" applyProtection="0"/>
    <xf numFmtId="0" fontId="11" fillId="0" borderId="0"/>
    <xf numFmtId="0" fontId="11" fillId="9" borderId="71" applyNumberFormat="0" applyFont="0" applyAlignment="0" applyProtection="0"/>
    <xf numFmtId="0" fontId="11" fillId="22" borderId="68" applyNumberFormat="0" applyProtection="0">
      <alignment horizontal="left" vertical="top" indent="1"/>
    </xf>
    <xf numFmtId="4" fontId="71" fillId="25" borderId="68" applyNumberFormat="0" applyProtection="0">
      <alignment horizontal="right" vertical="center"/>
    </xf>
    <xf numFmtId="4" fontId="71" fillId="9" borderId="68" applyNumberFormat="0" applyProtection="0">
      <alignment horizontal="left" vertical="center" indent="1"/>
    </xf>
    <xf numFmtId="0" fontId="11" fillId="69" borderId="68" applyNumberFormat="0" applyProtection="0">
      <alignment horizontal="left" vertical="center" indent="1"/>
    </xf>
    <xf numFmtId="10" fontId="17" fillId="39" borderId="75"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9" fontId="11" fillId="0" borderId="0" applyFont="0" applyFill="0" applyBorder="0" applyAlignment="0" applyProtection="0"/>
    <xf numFmtId="0" fontId="36" fillId="29" borderId="0" applyNumberFormat="0" applyBorder="0" applyAlignment="0" applyProtection="0"/>
    <xf numFmtId="9" fontId="11" fillId="0" borderId="0" applyFont="0" applyFill="0" applyBorder="0" applyAlignment="0" applyProtection="0"/>
    <xf numFmtId="0" fontId="36" fillId="21" borderId="0" applyNumberFormat="0" applyBorder="0" applyAlignment="0" applyProtection="0"/>
    <xf numFmtId="0" fontId="64" fillId="0" borderId="65" applyNumberFormat="0" applyFill="0" applyAlignment="0" applyProtection="0"/>
    <xf numFmtId="4" fontId="99" fillId="2" borderId="68" applyNumberFormat="0" applyProtection="0">
      <alignment horizontal="left" vertical="center" indent="1"/>
    </xf>
    <xf numFmtId="0" fontId="36" fillId="18" borderId="0" applyNumberFormat="0" applyBorder="0" applyAlignment="0" applyProtection="0"/>
    <xf numFmtId="0" fontId="11" fillId="9" borderId="71" applyNumberFormat="0" applyFont="0" applyAlignment="0" applyProtection="0"/>
    <xf numFmtId="0" fontId="36" fillId="18" borderId="0" applyNumberFormat="0" applyBorder="0" applyAlignment="0" applyProtection="0"/>
    <xf numFmtId="0" fontId="11" fillId="22" borderId="80" applyNumberFormat="0" applyProtection="0">
      <alignment horizontal="left" vertical="center" indent="1"/>
    </xf>
    <xf numFmtId="238" fontId="48" fillId="0" borderId="78">
      <protection locked="0"/>
    </xf>
    <xf numFmtId="4" fontId="71" fillId="70" borderId="68" applyNumberFormat="0" applyProtection="0">
      <alignment horizontal="right" vertical="center"/>
    </xf>
    <xf numFmtId="0" fontId="11" fillId="0" borderId="0"/>
    <xf numFmtId="0" fontId="36" fillId="24" borderId="0" applyNumberFormat="0" applyBorder="0" applyAlignment="0" applyProtection="0"/>
    <xf numFmtId="0" fontId="36" fillId="25" borderId="0" applyNumberFormat="0" applyBorder="0" applyAlignment="0" applyProtection="0"/>
    <xf numFmtId="0" fontId="11" fillId="9" borderId="71" applyNumberFormat="0" applyFont="0" applyAlignment="0" applyProtection="0"/>
    <xf numFmtId="0" fontId="99" fillId="2" borderId="80" applyNumberFormat="0" applyProtection="0">
      <alignment horizontal="left" vertical="top" indent="1"/>
    </xf>
    <xf numFmtId="0" fontId="64" fillId="0" borderId="65" applyNumberFormat="0" applyFill="0" applyAlignment="0" applyProtection="0"/>
    <xf numFmtId="0" fontId="36" fillId="24"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4" fontId="71" fillId="9" borderId="80" applyNumberFormat="0" applyProtection="0">
      <alignment vertical="center"/>
    </xf>
    <xf numFmtId="0" fontId="64" fillId="0" borderId="66" applyNumberFormat="0" applyFill="0" applyAlignment="0" applyProtection="0"/>
    <xf numFmtId="0" fontId="36" fillId="24" borderId="0" applyNumberFormat="0" applyBorder="0" applyAlignment="0" applyProtection="0"/>
    <xf numFmtId="0" fontId="36" fillId="25" borderId="0" applyNumberFormat="0" applyBorder="0" applyAlignment="0" applyProtection="0"/>
    <xf numFmtId="4" fontId="71" fillId="8" borderId="80" applyNumberFormat="0" applyProtection="0">
      <alignment horizontal="right" vertical="center"/>
    </xf>
    <xf numFmtId="0" fontId="36" fillId="24" borderId="0" applyNumberFormat="0" applyBorder="0" applyAlignment="0" applyProtection="0"/>
    <xf numFmtId="4" fontId="71" fillId="27" borderId="80" applyNumberFormat="0" applyProtection="0">
      <alignment horizontal="right" vertical="center"/>
    </xf>
    <xf numFmtId="0" fontId="36" fillId="25" borderId="0" applyNumberFormat="0" applyBorder="0" applyAlignment="0" applyProtection="0"/>
    <xf numFmtId="0" fontId="11" fillId="9" borderId="71" applyNumberFormat="0" applyFont="0" applyAlignment="0" applyProtection="0"/>
    <xf numFmtId="4" fontId="71" fillId="9" borderId="80" applyNumberFormat="0" applyProtection="0">
      <alignment horizontal="left" vertical="center" indent="1"/>
    </xf>
    <xf numFmtId="0" fontId="64" fillId="0" borderId="67" applyNumberFormat="0" applyFill="0" applyAlignment="0" applyProtection="0"/>
    <xf numFmtId="4" fontId="97" fillId="0" borderId="76" applyBorder="0">
      <alignment horizontal="right" wrapText="1"/>
    </xf>
    <xf numFmtId="0" fontId="36" fillId="24" borderId="0" applyNumberFormat="0" applyBorder="0" applyAlignment="0" applyProtection="0"/>
    <xf numFmtId="0" fontId="36" fillId="25" borderId="0" applyNumberFormat="0" applyBorder="0" applyAlignment="0" applyProtection="0"/>
    <xf numFmtId="4" fontId="151" fillId="9" borderId="68" applyNumberFormat="0" applyProtection="0">
      <alignment vertical="center"/>
    </xf>
    <xf numFmtId="0" fontId="36" fillId="24" borderId="0" applyNumberFormat="0" applyBorder="0" applyAlignment="0" applyProtection="0"/>
    <xf numFmtId="0" fontId="36" fillId="24" borderId="0" applyNumberFormat="0" applyBorder="0" applyAlignment="0" applyProtection="0"/>
    <xf numFmtId="0" fontId="11" fillId="22" borderId="68" applyNumberFormat="0" applyProtection="0">
      <alignment horizontal="left" vertical="center" indent="1"/>
    </xf>
    <xf numFmtId="0" fontId="28" fillId="5" borderId="70" applyNumberFormat="0" applyAlignment="0" applyProtection="0"/>
    <xf numFmtId="4" fontId="71" fillId="17" borderId="68" applyNumberFormat="0" applyProtection="0">
      <alignment horizontal="right" vertical="center"/>
    </xf>
    <xf numFmtId="0" fontId="99" fillId="2" borderId="68" applyNumberFormat="0" applyProtection="0">
      <alignment horizontal="left" vertical="top" indent="1"/>
    </xf>
    <xf numFmtId="0" fontId="36" fillId="24" borderId="0" applyNumberFormat="0" applyBorder="0" applyAlignment="0" applyProtection="0"/>
    <xf numFmtId="0" fontId="11" fillId="9" borderId="71" applyNumberFormat="0" applyFont="0" applyAlignment="0" applyProtection="0"/>
    <xf numFmtId="0" fontId="36" fillId="24" borderId="0" applyNumberFormat="0" applyBorder="0" applyAlignment="0" applyProtection="0"/>
    <xf numFmtId="0" fontId="11" fillId="69" borderId="80" applyNumberFormat="0" applyProtection="0">
      <alignment horizontal="left" vertical="center" indent="1"/>
    </xf>
    <xf numFmtId="0" fontId="11" fillId="72" borderId="68" applyNumberFormat="0" applyProtection="0">
      <alignment horizontal="left" vertical="center" indent="1"/>
    </xf>
    <xf numFmtId="0" fontId="11" fillId="9" borderId="71" applyNumberFormat="0" applyFont="0" applyAlignment="0" applyProtection="0"/>
    <xf numFmtId="0" fontId="11" fillId="9" borderId="71" applyNumberFormat="0" applyFont="0" applyAlignment="0" applyProtection="0"/>
    <xf numFmtId="0" fontId="36" fillId="24" borderId="0" applyNumberFormat="0" applyBorder="0" applyAlignment="0" applyProtection="0"/>
    <xf numFmtId="4" fontId="11" fillId="0" borderId="75" applyNumberFormat="0" applyProtection="0">
      <alignment horizontal="right" vertical="center"/>
    </xf>
    <xf numFmtId="0" fontId="28" fillId="5" borderId="70" applyNumberFormat="0" applyAlignment="0" applyProtection="0"/>
    <xf numFmtId="0" fontId="11" fillId="9" borderId="71" applyNumberFormat="0" applyFont="0" applyAlignment="0" applyProtection="0"/>
    <xf numFmtId="0" fontId="29" fillId="14" borderId="72" applyNumberFormat="0" applyAlignment="0" applyProtection="0"/>
    <xf numFmtId="0" fontId="35" fillId="0" borderId="73" applyNumberFormat="0" applyFill="0" applyAlignment="0" applyProtection="0"/>
    <xf numFmtId="0" fontId="11" fillId="3" borderId="75" applyNumberFormat="0">
      <protection locked="0"/>
    </xf>
    <xf numFmtId="0" fontId="30" fillId="14" borderId="81" applyNumberFormat="0" applyAlignment="0" applyProtection="0"/>
    <xf numFmtId="0" fontId="28" fillId="5" borderId="81" applyNumberFormat="0" applyAlignment="0" applyProtection="0"/>
    <xf numFmtId="0" fontId="11" fillId="9" borderId="82" applyNumberFormat="0" applyFont="0" applyAlignment="0" applyProtection="0"/>
    <xf numFmtId="0" fontId="29" fillId="14" borderId="83" applyNumberFormat="0" applyAlignment="0" applyProtection="0"/>
    <xf numFmtId="0" fontId="35" fillId="0" borderId="84" applyNumberFormat="0" applyFill="0" applyAlignment="0" applyProtection="0"/>
    <xf numFmtId="0" fontId="11" fillId="0" borderId="0"/>
    <xf numFmtId="0" fontId="11" fillId="9" borderId="106" applyNumberFormat="0" applyFont="0" applyAlignment="0" applyProtection="0"/>
    <xf numFmtId="4" fontId="71" fillId="72" borderId="92" applyNumberFormat="0" applyProtection="0">
      <alignment horizontal="right" vertical="center"/>
    </xf>
    <xf numFmtId="4" fontId="71" fillId="9" borderId="92" applyNumberFormat="0" applyProtection="0">
      <alignment vertical="center"/>
    </xf>
    <xf numFmtId="0" fontId="11" fillId="72" borderId="92" applyNumberFormat="0" applyProtection="0">
      <alignment horizontal="left" vertical="center" indent="1"/>
    </xf>
    <xf numFmtId="0" fontId="11" fillId="15" borderId="92" applyNumberFormat="0" applyProtection="0">
      <alignment horizontal="left" vertical="center" indent="1"/>
    </xf>
    <xf numFmtId="0" fontId="11" fillId="69" borderId="92" applyNumberFormat="0" applyProtection="0">
      <alignment horizontal="left" vertical="center" indent="1"/>
    </xf>
    <xf numFmtId="4" fontId="71" fillId="27" borderId="92" applyNumberFormat="0" applyProtection="0">
      <alignment horizontal="right" vertical="center"/>
    </xf>
    <xf numFmtId="4" fontId="71" fillId="25" borderId="92" applyNumberFormat="0" applyProtection="0">
      <alignment horizontal="right" vertical="center"/>
    </xf>
    <xf numFmtId="0" fontId="99" fillId="2" borderId="92" applyNumberFormat="0" applyProtection="0">
      <alignment horizontal="left" vertical="top" indent="1"/>
    </xf>
    <xf numFmtId="0" fontId="36" fillId="18" borderId="0" applyNumberFormat="0" applyBorder="0" applyAlignment="0" applyProtection="0"/>
    <xf numFmtId="4" fontId="72" fillId="0" borderId="104" applyFont="0" applyFill="0" applyBorder="0" applyAlignment="0">
      <alignment horizontal="center" vertical="center"/>
    </xf>
    <xf numFmtId="10" fontId="17" fillId="39" borderId="110" applyNumberFormat="0" applyBorder="0" applyAlignment="0" applyProtection="0"/>
    <xf numFmtId="0" fontId="28" fillId="5" borderId="94" applyNumberFormat="0" applyAlignment="0" applyProtection="0"/>
    <xf numFmtId="0" fontId="36" fillId="24" borderId="0" applyNumberFormat="0" applyBorder="0" applyAlignment="0" applyProtection="0"/>
    <xf numFmtId="0" fontId="36" fillId="25" borderId="0" applyNumberFormat="0" applyBorder="0" applyAlignment="0" applyProtection="0"/>
    <xf numFmtId="0" fontId="36" fillId="27"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9" borderId="0" applyNumberFormat="0" applyBorder="0" applyAlignment="0" applyProtection="0"/>
    <xf numFmtId="0" fontId="11" fillId="9" borderId="106" applyNumberFormat="0" applyFont="0" applyAlignment="0" applyProtection="0"/>
    <xf numFmtId="0" fontId="11" fillId="9" borderId="87" applyNumberFormat="0" applyFont="0" applyAlignment="0" applyProtection="0"/>
    <xf numFmtId="221" fontId="74" fillId="0" borderId="0">
      <protection locked="0"/>
    </xf>
    <xf numFmtId="1" fontId="82" fillId="37" borderId="98" applyNumberFormat="0" applyBorder="0" applyAlignment="0">
      <alignment horizontal="centerContinuous" vertical="center"/>
      <protection locked="0"/>
    </xf>
    <xf numFmtId="0" fontId="11" fillId="9" borderId="87" applyNumberFormat="0" applyFont="0" applyAlignment="0" applyProtection="0"/>
    <xf numFmtId="6" fontId="80" fillId="0" borderId="0">
      <protection locked="0"/>
    </xf>
    <xf numFmtId="0" fontId="36" fillId="25" borderId="0" applyNumberFormat="0" applyBorder="0" applyAlignment="0" applyProtection="0"/>
    <xf numFmtId="0" fontId="36" fillId="25" borderId="0" applyNumberFormat="0" applyBorder="0" applyAlignment="0" applyProtection="0"/>
    <xf numFmtId="0" fontId="11" fillId="9" borderId="106" applyNumberFormat="0" applyFont="0" applyAlignment="0" applyProtection="0"/>
    <xf numFmtId="0" fontId="36" fillId="29" borderId="0" applyNumberFormat="0" applyBorder="0" applyAlignment="0" applyProtection="0"/>
    <xf numFmtId="0" fontId="28" fillId="5" borderId="81" applyNumberFormat="0" applyAlignment="0" applyProtection="0"/>
    <xf numFmtId="0" fontId="64" fillId="0" borderId="116" applyNumberFormat="0" applyFill="0" applyAlignment="0" applyProtection="0"/>
    <xf numFmtId="0" fontId="11" fillId="0" borderId="0"/>
    <xf numFmtId="9" fontId="11" fillId="0" borderId="0" applyFont="0" applyFill="0" applyBorder="0" applyAlignment="0" applyProtection="0"/>
    <xf numFmtId="0" fontId="11" fillId="9" borderId="87" applyNumberFormat="0" applyFont="0" applyAlignment="0" applyProtection="0"/>
    <xf numFmtId="0" fontId="36" fillId="29"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6" fontId="80" fillId="0" borderId="0">
      <protection locked="0"/>
    </xf>
    <xf numFmtId="0" fontId="11" fillId="9" borderId="95" applyNumberFormat="0" applyFont="0" applyAlignment="0" applyProtection="0"/>
    <xf numFmtId="9" fontId="11" fillId="0" borderId="0" applyFont="0" applyFill="0" applyBorder="0" applyAlignment="0" applyProtection="0"/>
    <xf numFmtId="4" fontId="71" fillId="44" borderId="110" applyNumberFormat="0" applyProtection="0">
      <alignment horizontal="right" vertical="center"/>
    </xf>
    <xf numFmtId="49" fontId="48" fillId="0" borderId="91">
      <protection locked="0"/>
    </xf>
    <xf numFmtId="236" fontId="48" fillId="0" borderId="91">
      <protection locked="0"/>
    </xf>
    <xf numFmtId="0" fontId="11" fillId="9" borderId="106" applyNumberFormat="0" applyFont="0" applyAlignment="0" applyProtection="0"/>
    <xf numFmtId="0" fontId="36" fillId="25" borderId="0" applyNumberFormat="0" applyBorder="0" applyAlignment="0" applyProtection="0"/>
    <xf numFmtId="239" fontId="17" fillId="0" borderId="110" applyFont="0" applyFill="0" applyBorder="0" applyAlignment="0" applyProtection="0"/>
    <xf numFmtId="4" fontId="97" fillId="0" borderId="111" applyBorder="0">
      <alignment horizontal="right" wrapText="1"/>
    </xf>
    <xf numFmtId="0" fontId="36" fillId="25" borderId="0" applyNumberFormat="0" applyBorder="0" applyAlignment="0" applyProtection="0"/>
    <xf numFmtId="221" fontId="74" fillId="0" borderId="0">
      <protection locked="0"/>
    </xf>
    <xf numFmtId="10" fontId="17" fillId="39" borderId="99" applyNumberFormat="0" applyBorder="0" applyAlignment="0" applyProtection="0"/>
    <xf numFmtId="6" fontId="80" fillId="0" borderId="0">
      <protection locked="0"/>
    </xf>
    <xf numFmtId="6" fontId="80" fillId="0" borderId="0">
      <protection locked="0"/>
    </xf>
    <xf numFmtId="221" fontId="74" fillId="0" borderId="0">
      <protection locked="0"/>
    </xf>
    <xf numFmtId="0" fontId="11" fillId="9" borderId="95" applyNumberFormat="0" applyFont="0" applyAlignment="0" applyProtection="0"/>
    <xf numFmtId="0" fontId="11" fillId="9" borderId="95" applyNumberFormat="0" applyFont="0" applyAlignment="0" applyProtection="0"/>
    <xf numFmtId="0" fontId="11" fillId="9" borderId="95" applyNumberFormat="0" applyFont="0" applyAlignment="0" applyProtection="0"/>
    <xf numFmtId="0" fontId="11" fillId="9" borderId="95" applyNumberFormat="0" applyFont="0" applyAlignment="0" applyProtection="0"/>
    <xf numFmtId="0" fontId="11" fillId="9" borderId="95" applyNumberFormat="0" applyFont="0" applyAlignment="0" applyProtection="0"/>
    <xf numFmtId="0" fontId="36" fillId="18"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6" fillId="18" borderId="0" applyNumberFormat="0" applyBorder="0" applyAlignment="0" applyProtection="0"/>
    <xf numFmtId="0" fontId="64" fillId="0" borderId="114" applyNumberFormat="0" applyFill="0" applyAlignment="0" applyProtection="0"/>
    <xf numFmtId="0" fontId="36" fillId="27" borderId="0" applyNumberFormat="0" applyBorder="0" applyAlignment="0" applyProtection="0"/>
    <xf numFmtId="221" fontId="74" fillId="0" borderId="0">
      <protection locked="0"/>
    </xf>
    <xf numFmtId="0" fontId="36" fillId="27" borderId="0" applyNumberFormat="0" applyBorder="0" applyAlignment="0" applyProtection="0"/>
    <xf numFmtId="0" fontId="11" fillId="9" borderId="106" applyNumberFormat="0" applyFont="0" applyAlignment="0" applyProtection="0"/>
    <xf numFmtId="6" fontId="80" fillId="0" borderId="0">
      <protection locked="0"/>
    </xf>
    <xf numFmtId="0" fontId="28" fillId="5" borderId="105" applyNumberFormat="0" applyAlignment="0" applyProtection="0"/>
    <xf numFmtId="0" fontId="36" fillId="25" borderId="0" applyNumberFormat="0" applyBorder="0" applyAlignment="0" applyProtection="0"/>
    <xf numFmtId="0" fontId="11" fillId="0" borderId="0"/>
    <xf numFmtId="0" fontId="71" fillId="69" borderId="92" applyNumberFormat="0" applyProtection="0">
      <alignment horizontal="left" vertical="top" indent="1"/>
    </xf>
    <xf numFmtId="4" fontId="71" fillId="69" borderId="92" applyNumberFormat="0" applyProtection="0">
      <alignment horizontal="left" vertical="center" indent="1"/>
    </xf>
    <xf numFmtId="0" fontId="71" fillId="9" borderId="92" applyNumberFormat="0" applyProtection="0">
      <alignment horizontal="left" vertical="top" indent="1"/>
    </xf>
    <xf numFmtId="4" fontId="71" fillId="9" borderId="92" applyNumberFormat="0" applyProtection="0">
      <alignment horizontal="left" vertical="center" indent="1"/>
    </xf>
    <xf numFmtId="0" fontId="11" fillId="72" borderId="92" applyNumberFormat="0" applyProtection="0">
      <alignment horizontal="left" vertical="top" indent="1"/>
    </xf>
    <xf numFmtId="0" fontId="11" fillId="72" borderId="92" applyNumberFormat="0" applyProtection="0">
      <alignment horizontal="left" vertical="center" indent="1"/>
    </xf>
    <xf numFmtId="0" fontId="11" fillId="72" borderId="92" applyNumberFormat="0" applyProtection="0">
      <alignment horizontal="left" vertical="center" indent="1"/>
    </xf>
    <xf numFmtId="0" fontId="11" fillId="15" borderId="92" applyNumberFormat="0" applyProtection="0">
      <alignment horizontal="left" vertical="center" indent="1"/>
    </xf>
    <xf numFmtId="0" fontId="11" fillId="69" borderId="92" applyNumberFormat="0" applyProtection="0">
      <alignment horizontal="left" vertical="top" indent="1"/>
    </xf>
    <xf numFmtId="0" fontId="11" fillId="22" borderId="92" applyNumberFormat="0" applyProtection="0">
      <alignment horizontal="left" vertical="top" indent="1"/>
    </xf>
    <xf numFmtId="0" fontId="11" fillId="22" borderId="92" applyNumberFormat="0" applyProtection="0">
      <alignment horizontal="left" vertical="center" indent="1"/>
    </xf>
    <xf numFmtId="4" fontId="71" fillId="69" borderId="92" applyNumberFormat="0" applyProtection="0">
      <alignment horizontal="right" vertical="center"/>
    </xf>
    <xf numFmtId="9" fontId="11" fillId="0" borderId="0" applyFont="0" applyFill="0" applyBorder="0" applyAlignment="0" applyProtection="0"/>
    <xf numFmtId="4" fontId="71" fillId="16" borderId="92" applyNumberFormat="0" applyProtection="0">
      <alignment horizontal="right" vertical="center"/>
    </xf>
    <xf numFmtId="4" fontId="71" fillId="29" borderId="92" applyNumberFormat="0" applyProtection="0">
      <alignment horizontal="right" vertical="center"/>
    </xf>
    <xf numFmtId="4" fontId="71" fillId="23" borderId="92" applyNumberFormat="0" applyProtection="0">
      <alignment horizontal="right" vertical="center"/>
    </xf>
    <xf numFmtId="4" fontId="71" fillId="8" borderId="92" applyNumberFormat="0" applyProtection="0">
      <alignment horizontal="right" vertical="center"/>
    </xf>
    <xf numFmtId="4" fontId="71" fillId="7" borderId="92" applyNumberFormat="0" applyProtection="0">
      <alignment horizontal="right" vertical="center"/>
    </xf>
    <xf numFmtId="4" fontId="99" fillId="2" borderId="92" applyNumberFormat="0" applyProtection="0">
      <alignment horizontal="left" vertical="center" indent="1"/>
    </xf>
    <xf numFmtId="4" fontId="149" fillId="2" borderId="92" applyNumberFormat="0" applyProtection="0">
      <alignment vertical="center"/>
    </xf>
    <xf numFmtId="4" fontId="71" fillId="44" borderId="110" applyNumberFormat="0" applyProtection="0">
      <alignment horizontal="right" vertical="center"/>
    </xf>
    <xf numFmtId="0" fontId="36" fillId="18" borderId="0" applyNumberFormat="0" applyBorder="0" applyAlignment="0" applyProtection="0"/>
    <xf numFmtId="0" fontId="36" fillId="27" borderId="0" applyNumberFormat="0" applyBorder="0" applyAlignment="0" applyProtection="0"/>
    <xf numFmtId="6" fontId="80" fillId="0" borderId="0">
      <protection locked="0"/>
    </xf>
    <xf numFmtId="0" fontId="36" fillId="21"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11" fillId="9" borderId="87" applyNumberFormat="0" applyFont="0" applyAlignment="0" applyProtection="0"/>
    <xf numFmtId="239" fontId="17" fillId="0" borderId="99" applyFont="0" applyFill="0" applyBorder="0" applyAlignment="0" applyProtection="0"/>
    <xf numFmtId="191" fontId="38" fillId="0" borderId="101"/>
    <xf numFmtId="10" fontId="17" fillId="39" borderId="110" applyNumberFormat="0" applyBorder="0" applyAlignment="0" applyProtection="0"/>
    <xf numFmtId="10" fontId="17" fillId="39" borderId="99" applyNumberFormat="0" applyBorder="0" applyAlignment="0" applyProtection="0"/>
    <xf numFmtId="4" fontId="71" fillId="44" borderId="99" applyNumberFormat="0" applyProtection="0">
      <alignment horizontal="right" vertical="center"/>
    </xf>
    <xf numFmtId="221" fontId="74" fillId="0" borderId="0">
      <protection locked="0"/>
    </xf>
    <xf numFmtId="0" fontId="11" fillId="0" borderId="0"/>
    <xf numFmtId="0" fontId="64" fillId="0" borderId="114" applyNumberFormat="0" applyFill="0" applyAlignment="0" applyProtection="0"/>
    <xf numFmtId="6" fontId="80" fillId="0" borderId="0">
      <protection locked="0"/>
    </xf>
    <xf numFmtId="0" fontId="11" fillId="9" borderId="106" applyNumberFormat="0" applyFont="0" applyAlignment="0" applyProtection="0"/>
    <xf numFmtId="0" fontId="36" fillId="18" borderId="0" applyNumberFormat="0" applyBorder="0" applyAlignment="0" applyProtection="0"/>
    <xf numFmtId="0" fontId="11" fillId="9" borderId="82" applyNumberFormat="0" applyFont="0" applyAlignment="0" applyProtection="0"/>
    <xf numFmtId="4" fontId="11" fillId="41" borderId="110" applyNumberFormat="0" applyProtection="0">
      <alignment vertical="center"/>
    </xf>
    <xf numFmtId="0" fontId="28" fillId="5" borderId="105" applyNumberFormat="0" applyAlignment="0" applyProtection="0"/>
    <xf numFmtId="6" fontId="80" fillId="0" borderId="0">
      <protection locked="0"/>
    </xf>
    <xf numFmtId="6" fontId="80" fillId="0" borderId="0">
      <protection locked="0"/>
    </xf>
    <xf numFmtId="238" fontId="48" fillId="0" borderId="91">
      <protection locked="0"/>
    </xf>
    <xf numFmtId="0" fontId="36" fillId="21" borderId="0" applyNumberFormat="0" applyBorder="0" applyAlignment="0" applyProtection="0"/>
    <xf numFmtId="9" fontId="11" fillId="0" borderId="0" applyFont="0" applyFill="0" applyBorder="0" applyAlignment="0" applyProtection="0"/>
    <xf numFmtId="0" fontId="11" fillId="0" borderId="0"/>
    <xf numFmtId="4" fontId="11" fillId="0" borderId="99" applyNumberFormat="0" applyProtection="0">
      <alignment horizontal="right" vertical="center"/>
    </xf>
    <xf numFmtId="4" fontId="71" fillId="44" borderId="99" applyNumberFormat="0" applyProtection="0">
      <alignment horizontal="right" vertical="center"/>
    </xf>
    <xf numFmtId="0" fontId="36" fillId="21" borderId="0" applyNumberFormat="0" applyBorder="0" applyAlignment="0" applyProtection="0"/>
    <xf numFmtId="4" fontId="11" fillId="41" borderId="110" applyNumberFormat="0" applyProtection="0">
      <alignment vertical="center"/>
    </xf>
    <xf numFmtId="0" fontId="11" fillId="9" borderId="87" applyNumberFormat="0" applyFont="0" applyAlignment="0" applyProtection="0"/>
    <xf numFmtId="0" fontId="64" fillId="0" borderId="103" applyNumberFormat="0" applyFill="0" applyAlignment="0" applyProtection="0"/>
    <xf numFmtId="0" fontId="11" fillId="9" borderId="87" applyNumberFormat="0" applyFont="0" applyAlignment="0" applyProtection="0"/>
    <xf numFmtId="4" fontId="151" fillId="72" borderId="92" applyNumberFormat="0" applyProtection="0">
      <alignment horizontal="right" vertical="center"/>
    </xf>
    <xf numFmtId="4" fontId="151" fillId="9" borderId="92" applyNumberFormat="0" applyProtection="0">
      <alignment vertical="center"/>
    </xf>
    <xf numFmtId="0" fontId="127" fillId="72" borderId="92" applyNumberFormat="0" applyProtection="0">
      <alignment horizontal="left" vertical="center" indent="1"/>
    </xf>
    <xf numFmtId="0" fontId="11" fillId="15" borderId="92" applyNumberFormat="0" applyProtection="0">
      <alignment horizontal="left" vertical="top" indent="1"/>
    </xf>
    <xf numFmtId="0" fontId="11" fillId="69" borderId="92" applyNumberFormat="0" applyProtection="0">
      <alignment horizontal="left" vertical="center" indent="1"/>
    </xf>
    <xf numFmtId="0" fontId="11" fillId="22" borderId="92" applyNumberFormat="0" applyProtection="0">
      <alignment horizontal="left" vertical="center" indent="1"/>
    </xf>
    <xf numFmtId="4" fontId="71" fillId="70" borderId="92" applyNumberFormat="0" applyProtection="0">
      <alignment horizontal="right" vertical="center"/>
    </xf>
    <xf numFmtId="4" fontId="71" fillId="17" borderId="92" applyNumberFormat="0" applyProtection="0">
      <alignment horizontal="right" vertical="center"/>
    </xf>
    <xf numFmtId="4" fontId="99" fillId="2" borderId="92" applyNumberFormat="0" applyProtection="0">
      <alignment vertical="center"/>
    </xf>
    <xf numFmtId="0" fontId="36" fillId="29" borderId="0" applyNumberFormat="0" applyBorder="0" applyAlignment="0" applyProtection="0"/>
    <xf numFmtId="0" fontId="11" fillId="9" borderId="87" applyNumberFormat="0" applyFont="0" applyAlignment="0" applyProtection="0"/>
    <xf numFmtId="236" fontId="48" fillId="0" borderId="102">
      <protection locked="0"/>
    </xf>
    <xf numFmtId="0" fontId="64" fillId="0" borderId="103" applyNumberFormat="0" applyFill="0" applyAlignment="0" applyProtection="0"/>
    <xf numFmtId="221" fontId="74" fillId="0" borderId="0">
      <protection locked="0"/>
    </xf>
    <xf numFmtId="0" fontId="11" fillId="9" borderId="82" applyNumberFormat="0" applyFont="0" applyAlignment="0" applyProtection="0"/>
    <xf numFmtId="0" fontId="28" fillId="5" borderId="105" applyNumberFormat="0" applyAlignment="0" applyProtection="0"/>
    <xf numFmtId="0" fontId="11" fillId="0" borderId="0"/>
    <xf numFmtId="238" fontId="48" fillId="0" borderId="113">
      <protection locked="0"/>
    </xf>
    <xf numFmtId="0" fontId="28" fillId="5" borderId="86" applyNumberFormat="0" applyAlignment="0" applyProtection="0"/>
    <xf numFmtId="0" fontId="11" fillId="9" borderId="106" applyNumberFormat="0" applyFont="0" applyAlignment="0" applyProtection="0"/>
    <xf numFmtId="0" fontId="64" fillId="0" borderId="103" applyNumberFormat="0" applyFill="0" applyAlignment="0" applyProtection="0"/>
    <xf numFmtId="0" fontId="11" fillId="0" borderId="0"/>
    <xf numFmtId="0" fontId="36" fillId="24" borderId="0" applyNumberFormat="0" applyBorder="0" applyAlignment="0" applyProtection="0"/>
    <xf numFmtId="0" fontId="64" fillId="0" borderId="115" applyNumberFormat="0" applyFill="0" applyAlignment="0" applyProtection="0"/>
    <xf numFmtId="4" fontId="72" fillId="0" borderId="85" applyFont="0" applyFill="0" applyBorder="0" applyAlignment="0">
      <alignment horizontal="center" vertical="center"/>
    </xf>
    <xf numFmtId="0" fontId="11" fillId="9" borderId="95" applyNumberFormat="0" applyFont="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238" fontId="48" fillId="0" borderId="102">
      <protection locked="0"/>
    </xf>
    <xf numFmtId="0" fontId="11" fillId="9" borderId="106" applyNumberFormat="0" applyFont="0" applyAlignment="0" applyProtection="0"/>
    <xf numFmtId="0" fontId="11" fillId="9" borderId="87" applyNumberFormat="0" applyFont="0" applyAlignment="0" applyProtection="0"/>
    <xf numFmtId="0" fontId="11" fillId="9" borderId="87" applyNumberFormat="0" applyFont="0" applyAlignment="0" applyProtection="0"/>
    <xf numFmtId="1" fontId="82" fillId="37" borderId="109" applyNumberFormat="0" applyBorder="0" applyAlignment="0">
      <alignment horizontal="centerContinuous" vertical="center"/>
      <protection locked="0"/>
    </xf>
    <xf numFmtId="0" fontId="11" fillId="9" borderId="95" applyNumberFormat="0" applyFont="0" applyAlignment="0" applyProtection="0"/>
    <xf numFmtId="221" fontId="74" fillId="0" borderId="0">
      <protection locked="0"/>
    </xf>
    <xf numFmtId="0" fontId="28" fillId="5" borderId="105" applyNumberFormat="0" applyAlignment="0" applyProtection="0"/>
    <xf numFmtId="0" fontId="28" fillId="5" borderId="105" applyNumberFormat="0" applyAlignment="0" applyProtection="0"/>
    <xf numFmtId="239" fontId="17" fillId="0" borderId="99" applyFont="0" applyFill="0" applyBorder="0" applyAlignment="0" applyProtection="0"/>
    <xf numFmtId="4" fontId="11" fillId="0" borderId="110" applyNumberFormat="0" applyProtection="0">
      <alignment horizontal="right" vertical="center"/>
    </xf>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9" borderId="82" applyNumberFormat="0" applyFont="0" applyAlignment="0" applyProtection="0"/>
    <xf numFmtId="0" fontId="11" fillId="0" borderId="0"/>
    <xf numFmtId="9" fontId="9" fillId="0" borderId="0" applyFont="0" applyFill="0" applyBorder="0" applyAlignment="0" applyProtection="0"/>
    <xf numFmtId="49" fontId="48" fillId="0" borderId="102">
      <protection locked="0"/>
    </xf>
    <xf numFmtId="49" fontId="48" fillId="0" borderId="99">
      <alignment vertical="top"/>
      <protection locked="0"/>
    </xf>
    <xf numFmtId="221" fontId="74" fillId="0" borderId="0">
      <protection locked="0"/>
    </xf>
    <xf numFmtId="0" fontId="36" fillId="21" borderId="0" applyNumberFormat="0" applyBorder="0" applyAlignment="0" applyProtection="0"/>
    <xf numFmtId="0" fontId="36" fillId="29" borderId="0" applyNumberFormat="0" applyBorder="0" applyAlignment="0" applyProtection="0"/>
    <xf numFmtId="0" fontId="11" fillId="9" borderId="95" applyNumberFormat="0" applyFont="0" applyAlignment="0" applyProtection="0"/>
    <xf numFmtId="221" fontId="74" fillId="0" borderId="0">
      <protection locked="0"/>
    </xf>
    <xf numFmtId="0" fontId="11" fillId="9" borderId="87" applyNumberFormat="0" applyFont="0" applyAlignment="0" applyProtection="0"/>
    <xf numFmtId="0" fontId="11" fillId="9" borderId="87" applyNumberFormat="0" applyFont="0" applyAlignment="0" applyProtection="0"/>
    <xf numFmtId="0" fontId="11" fillId="9" borderId="87" applyNumberFormat="0" applyFont="0" applyAlignment="0" applyProtection="0"/>
    <xf numFmtId="0" fontId="11" fillId="9" borderId="87" applyNumberFormat="0" applyFont="0" applyAlignment="0" applyProtection="0"/>
    <xf numFmtId="0" fontId="11" fillId="9" borderId="87" applyNumberFormat="0" applyFont="0" applyAlignment="0" applyProtection="0"/>
    <xf numFmtId="0" fontId="11" fillId="9" borderId="87" applyNumberFormat="0" applyFont="0" applyAlignment="0" applyProtection="0"/>
    <xf numFmtId="6" fontId="80" fillId="0" borderId="0">
      <protection locked="0"/>
    </xf>
    <xf numFmtId="0" fontId="28" fillId="5" borderId="105" applyNumberFormat="0" applyAlignment="0" applyProtection="0"/>
    <xf numFmtId="0" fontId="64" fillId="0" borderId="115" applyNumberFormat="0" applyFill="0" applyAlignment="0" applyProtection="0"/>
    <xf numFmtId="0" fontId="11" fillId="9" borderId="95" applyNumberFormat="0" applyFont="0" applyAlignment="0" applyProtection="0"/>
    <xf numFmtId="0" fontId="36" fillId="25" borderId="0" applyNumberFormat="0" applyBorder="0" applyAlignment="0" applyProtection="0"/>
    <xf numFmtId="0" fontId="64" fillId="0" borderId="90" applyNumberFormat="0" applyFill="0" applyAlignment="0" applyProtection="0"/>
    <xf numFmtId="0" fontId="11" fillId="9" borderId="106" applyNumberFormat="0" applyFont="0" applyAlignment="0" applyProtection="0"/>
    <xf numFmtId="4" fontId="11" fillId="41" borderId="99" applyNumberFormat="0" applyProtection="0">
      <alignment vertical="center"/>
    </xf>
    <xf numFmtId="0" fontId="36" fillId="29" borderId="0" applyNumberFormat="0" applyBorder="0" applyAlignment="0" applyProtection="0"/>
    <xf numFmtId="0" fontId="28" fillId="5" borderId="105" applyNumberFormat="0" applyAlignment="0" applyProtection="0"/>
    <xf numFmtId="0" fontId="11" fillId="9" borderId="95" applyNumberFormat="0" applyFont="0" applyAlignment="0" applyProtection="0"/>
    <xf numFmtId="0" fontId="11" fillId="9" borderId="95" applyNumberFormat="0" applyFont="0" applyAlignment="0" applyProtection="0"/>
    <xf numFmtId="0" fontId="64" fillId="0" borderId="90" applyNumberFormat="0" applyFill="0" applyAlignment="0" applyProtection="0"/>
    <xf numFmtId="0" fontId="64" fillId="0" borderId="90" applyNumberFormat="0" applyFill="0" applyAlignment="0" applyProtection="0"/>
    <xf numFmtId="6" fontId="80" fillId="0" borderId="0">
      <protection locked="0"/>
    </xf>
    <xf numFmtId="0" fontId="36" fillId="18" borderId="0" applyNumberFormat="0" applyBorder="0" applyAlignment="0" applyProtection="0"/>
    <xf numFmtId="0" fontId="36" fillId="29" borderId="0" applyNumberFormat="0" applyBorder="0" applyAlignment="0" applyProtection="0"/>
    <xf numFmtId="4" fontId="72" fillId="0" borderId="93" applyFont="0" applyFill="0" applyBorder="0" applyAlignment="0">
      <alignment horizontal="center" vertical="center"/>
    </xf>
    <xf numFmtId="0" fontId="28" fillId="5" borderId="94" applyNumberFormat="0" applyAlignment="0" applyProtection="0"/>
    <xf numFmtId="9" fontId="11" fillId="0" borderId="0" applyFont="0" applyFill="0" applyBorder="0" applyAlignment="0" applyProtection="0"/>
    <xf numFmtId="0" fontId="36" fillId="29" borderId="0" applyNumberFormat="0" applyBorder="0" applyAlignment="0" applyProtection="0"/>
    <xf numFmtId="0" fontId="36" fillId="18" borderId="0" applyNumberFormat="0" applyBorder="0" applyAlignment="0" applyProtection="0"/>
    <xf numFmtId="0" fontId="64" fillId="0" borderId="116" applyNumberFormat="0" applyFill="0" applyAlignment="0" applyProtection="0"/>
    <xf numFmtId="4" fontId="97" fillId="0" borderId="100" applyBorder="0">
      <alignment horizontal="right" wrapText="1"/>
    </xf>
    <xf numFmtId="4" fontId="11" fillId="41" borderId="99" applyNumberFormat="0" applyProtection="0">
      <alignment vertical="center"/>
    </xf>
    <xf numFmtId="4" fontId="11" fillId="0" borderId="99" applyNumberFormat="0" applyProtection="0">
      <alignment horizontal="right" vertical="center"/>
    </xf>
    <xf numFmtId="9" fontId="11" fillId="0" borderId="0" applyFont="0" applyFill="0" applyBorder="0" applyAlignment="0" applyProtection="0"/>
    <xf numFmtId="0" fontId="36" fillId="18" borderId="0" applyNumberFormat="0" applyBorder="0" applyAlignment="0" applyProtection="0"/>
    <xf numFmtId="0" fontId="36" fillId="29" borderId="0" applyNumberFormat="0" applyBorder="0" applyAlignment="0" applyProtection="0"/>
    <xf numFmtId="0" fontId="36" fillId="21" borderId="0" applyNumberFormat="0" applyBorder="0" applyAlignment="0" applyProtection="0"/>
    <xf numFmtId="0" fontId="36" fillId="27" borderId="0" applyNumberFormat="0" applyBorder="0" applyAlignment="0" applyProtection="0"/>
    <xf numFmtId="0" fontId="64" fillId="0" borderId="90" applyNumberFormat="0" applyFill="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21" fontId="74" fillId="0" borderId="0">
      <protection locked="0"/>
    </xf>
    <xf numFmtId="0" fontId="64" fillId="0" borderId="114" applyNumberFormat="0" applyFill="0" applyAlignment="0" applyProtection="0"/>
    <xf numFmtId="0" fontId="64" fillId="0" borderId="116" applyNumberFormat="0" applyFill="0" applyAlignment="0" applyProtection="0"/>
    <xf numFmtId="0" fontId="11" fillId="9" borderId="106" applyNumberFormat="0" applyFont="0" applyAlignment="0" applyProtection="0"/>
    <xf numFmtId="0" fontId="30" fillId="14" borderId="86" applyNumberFormat="0" applyAlignment="0" applyProtection="0"/>
    <xf numFmtId="0" fontId="28" fillId="5" borderId="86" applyNumberFormat="0" applyAlignment="0" applyProtection="0"/>
    <xf numFmtId="0" fontId="36" fillId="27" borderId="0" applyNumberFormat="0" applyBorder="0" applyAlignment="0" applyProtection="0"/>
    <xf numFmtId="0" fontId="11" fillId="9" borderId="87" applyNumberFormat="0" applyFont="0" applyAlignment="0" applyProtection="0"/>
    <xf numFmtId="0" fontId="29" fillId="14" borderId="88" applyNumberFormat="0" applyAlignment="0" applyProtection="0"/>
    <xf numFmtId="0" fontId="35" fillId="0" borderId="89" applyNumberFormat="0" applyFill="0" applyAlignment="0" applyProtection="0"/>
    <xf numFmtId="4" fontId="20" fillId="72" borderId="92" applyNumberFormat="0" applyProtection="0">
      <alignment horizontal="right" vertical="center"/>
    </xf>
    <xf numFmtId="0" fontId="36" fillId="27" borderId="0" applyNumberFormat="0" applyBorder="0" applyAlignment="0" applyProtection="0"/>
    <xf numFmtId="0" fontId="36" fillId="24" borderId="0" applyNumberFormat="0" applyBorder="0" applyAlignment="0" applyProtection="0"/>
    <xf numFmtId="0" fontId="11" fillId="9" borderId="106" applyNumberFormat="0" applyFont="0" applyAlignment="0" applyProtection="0"/>
    <xf numFmtId="0" fontId="11" fillId="0" borderId="0"/>
    <xf numFmtId="0" fontId="36" fillId="27" borderId="0" applyNumberFormat="0" applyBorder="0" applyAlignment="0" applyProtection="0"/>
    <xf numFmtId="0" fontId="11" fillId="9" borderId="106" applyNumberFormat="0" applyFont="0" applyAlignment="0" applyProtection="0"/>
    <xf numFmtId="0" fontId="11" fillId="9" borderId="95" applyNumberFormat="0" applyFont="0" applyAlignment="0" applyProtection="0"/>
    <xf numFmtId="0" fontId="30" fillId="14" borderId="94" applyNumberFormat="0" applyAlignment="0" applyProtection="0"/>
    <xf numFmtId="0" fontId="11" fillId="9" borderId="95" applyNumberFormat="0" applyFont="0" applyAlignment="0" applyProtection="0"/>
    <xf numFmtId="0" fontId="64" fillId="0" borderId="103" applyNumberFormat="0" applyFill="0" applyAlignment="0" applyProtection="0"/>
    <xf numFmtId="0" fontId="11" fillId="9" borderId="95" applyNumberFormat="0" applyFont="0" applyAlignment="0" applyProtection="0"/>
    <xf numFmtId="0" fontId="28" fillId="5" borderId="94" applyNumberFormat="0" applyAlignment="0" applyProtection="0"/>
    <xf numFmtId="0" fontId="36" fillId="24" borderId="0" applyNumberFormat="0" applyBorder="0" applyAlignment="0" applyProtection="0"/>
    <xf numFmtId="0" fontId="11" fillId="9" borderId="95" applyNumberFormat="0" applyFont="0" applyAlignment="0" applyProtection="0"/>
    <xf numFmtId="0" fontId="29" fillId="14" borderId="96" applyNumberFormat="0" applyAlignment="0" applyProtection="0"/>
    <xf numFmtId="0" fontId="35" fillId="0" borderId="97" applyNumberFormat="0" applyFill="0" applyAlignment="0" applyProtection="0"/>
    <xf numFmtId="0" fontId="36" fillId="21" borderId="0" applyNumberFormat="0" applyBorder="0" applyAlignment="0" applyProtection="0"/>
    <xf numFmtId="9" fontId="11" fillId="0" borderId="0" applyFont="0" applyFill="0" applyBorder="0" applyAlignment="0" applyProtection="0"/>
    <xf numFmtId="0" fontId="11" fillId="0" borderId="0"/>
    <xf numFmtId="191" fontId="38" fillId="0" borderId="112"/>
    <xf numFmtId="236" fontId="48" fillId="0" borderId="113">
      <protection locked="0"/>
    </xf>
    <xf numFmtId="49" fontId="48" fillId="0" borderId="110">
      <alignment vertical="top"/>
      <protection locked="0"/>
    </xf>
    <xf numFmtId="49" fontId="48" fillId="0" borderId="113">
      <protection locked="0"/>
    </xf>
    <xf numFmtId="9" fontId="11" fillId="0" borderId="0" applyFont="0" applyFill="0" applyBorder="0" applyAlignment="0" applyProtection="0"/>
    <xf numFmtId="0" fontId="11" fillId="3" borderId="99" applyNumberFormat="0">
      <protection locked="0"/>
    </xf>
    <xf numFmtId="0" fontId="11" fillId="9" borderId="106" applyNumberFormat="0" applyFont="0" applyAlignment="0" applyProtection="0"/>
    <xf numFmtId="0" fontId="36" fillId="18" borderId="0" applyNumberFormat="0" applyBorder="0" applyAlignment="0" applyProtection="0"/>
    <xf numFmtId="0" fontId="36" fillId="27" borderId="0" applyNumberFormat="0" applyBorder="0" applyAlignment="0" applyProtection="0"/>
    <xf numFmtId="0" fontId="11" fillId="3" borderId="110" applyNumberFormat="0">
      <protection locked="0"/>
    </xf>
    <xf numFmtId="9" fontId="11" fillId="0" borderId="0" applyFont="0" applyFill="0" applyBorder="0" applyAlignment="0" applyProtection="0"/>
    <xf numFmtId="239" fontId="17" fillId="0" borderId="110" applyFont="0" applyFill="0" applyBorder="0" applyAlignment="0" applyProtection="0"/>
    <xf numFmtId="0" fontId="11" fillId="9" borderId="106" applyNumberFormat="0" applyFont="0" applyAlignment="0" applyProtection="0"/>
    <xf numFmtId="0" fontId="11" fillId="9" borderId="106" applyNumberFormat="0" applyFont="0" applyAlignment="0" applyProtection="0"/>
    <xf numFmtId="9" fontId="11" fillId="0" borderId="0" applyFont="0" applyFill="0" applyBorder="0" applyAlignment="0" applyProtection="0"/>
    <xf numFmtId="0" fontId="36" fillId="21" borderId="0" applyNumberFormat="0" applyBorder="0" applyAlignment="0" applyProtection="0"/>
    <xf numFmtId="9" fontId="11" fillId="0" borderId="0" applyFont="0" applyFill="0" applyBorder="0" applyAlignment="0" applyProtection="0"/>
    <xf numFmtId="221" fontId="74" fillId="0" borderId="0">
      <protection locked="0"/>
    </xf>
    <xf numFmtId="0" fontId="36" fillId="29" borderId="0" applyNumberFormat="0" applyBorder="0" applyAlignment="0" applyProtection="0"/>
    <xf numFmtId="0" fontId="36" fillId="21"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64" fillId="0" borderId="115" applyNumberFormat="0" applyFill="0" applyAlignment="0" applyProtection="0"/>
    <xf numFmtId="0" fontId="30" fillId="14" borderId="105" applyNumberFormat="0" applyAlignment="0" applyProtection="0"/>
    <xf numFmtId="0" fontId="28" fillId="5" borderId="105" applyNumberFormat="0" applyAlignment="0" applyProtection="0"/>
    <xf numFmtId="4" fontId="11" fillId="0" borderId="110" applyNumberFormat="0" applyProtection="0">
      <alignment horizontal="right" vertical="center"/>
    </xf>
    <xf numFmtId="0" fontId="11" fillId="9" borderId="106" applyNumberFormat="0" applyFont="0" applyAlignment="0" applyProtection="0"/>
    <xf numFmtId="0" fontId="29" fillId="14" borderId="107" applyNumberFormat="0" applyAlignment="0" applyProtection="0"/>
    <xf numFmtId="0" fontId="35" fillId="0" borderId="108" applyNumberFormat="0" applyFill="0" applyAlignment="0" applyProtection="0"/>
    <xf numFmtId="0" fontId="11" fillId="0" borderId="0"/>
    <xf numFmtId="0" fontId="36" fillId="18" borderId="0" applyNumberFormat="0" applyBorder="0" applyAlignment="0" applyProtection="0"/>
    <xf numFmtId="0" fontId="36" fillId="21" borderId="0" applyNumberFormat="0" applyBorder="0" applyAlignment="0" applyProtection="0"/>
    <xf numFmtId="0" fontId="64" fillId="0" borderId="114" applyNumberFormat="0" applyFill="0" applyAlignment="0" applyProtection="0"/>
    <xf numFmtId="0" fontId="64" fillId="0" borderId="115" applyNumberFormat="0" applyFill="0" applyAlignment="0" applyProtection="0"/>
    <xf numFmtId="0" fontId="36" fillId="29" borderId="0" applyNumberFormat="0" applyBorder="0" applyAlignment="0" applyProtection="0"/>
    <xf numFmtId="0" fontId="64" fillId="0" borderId="116" applyNumberFormat="0" applyFill="0" applyAlignment="0" applyProtection="0"/>
    <xf numFmtId="0" fontId="36" fillId="24"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8" fillId="5" borderId="135" applyNumberFormat="0" applyAlignment="0" applyProtection="0"/>
    <xf numFmtId="239" fontId="17" fillId="0" borderId="126" applyFont="0" applyFill="0" applyBorder="0" applyAlignment="0" applyProtection="0"/>
    <xf numFmtId="4" fontId="99" fillId="2" borderId="144" applyNumberFormat="0" applyProtection="0">
      <alignment vertical="center"/>
    </xf>
    <xf numFmtId="0" fontId="11" fillId="9" borderId="136" applyNumberFormat="0" applyFont="0" applyAlignment="0" applyProtection="0"/>
    <xf numFmtId="4" fontId="11" fillId="41" borderId="126" applyNumberFormat="0" applyProtection="0">
      <alignment vertical="center"/>
    </xf>
    <xf numFmtId="10" fontId="17" fillId="39" borderId="140" applyNumberFormat="0" applyBorder="0" applyAlignment="0" applyProtection="0"/>
    <xf numFmtId="0" fontId="71" fillId="9" borderId="144" applyNumberFormat="0" applyProtection="0">
      <alignment horizontal="left" vertical="top" indent="1"/>
    </xf>
    <xf numFmtId="0" fontId="11" fillId="9" borderId="122" applyNumberFormat="0" applyFont="0" applyAlignment="0" applyProtection="0"/>
    <xf numFmtId="0" fontId="11" fillId="9" borderId="122" applyNumberFormat="0" applyFont="0" applyAlignment="0" applyProtection="0"/>
    <xf numFmtId="4" fontId="11" fillId="41" borderId="140" applyNumberFormat="0" applyProtection="0">
      <alignment vertical="center"/>
    </xf>
    <xf numFmtId="4" fontId="71" fillId="44" borderId="140" applyNumberFormat="0" applyProtection="0">
      <alignment horizontal="right" vertical="center"/>
    </xf>
    <xf numFmtId="0" fontId="30" fillId="14" borderId="135" applyNumberFormat="0" applyAlignment="0" applyProtection="0"/>
    <xf numFmtId="0" fontId="11" fillId="69" borderId="144" applyNumberFormat="0" applyProtection="0">
      <alignment horizontal="left" vertical="center" indent="1"/>
    </xf>
    <xf numFmtId="0" fontId="11" fillId="69" borderId="144" applyNumberFormat="0" applyProtection="0">
      <alignment horizontal="left" vertical="top" indent="1"/>
    </xf>
    <xf numFmtId="236" fontId="48" fillId="0" borderId="143">
      <protection locked="0"/>
    </xf>
    <xf numFmtId="0" fontId="11" fillId="9" borderId="136" applyNumberFormat="0" applyFont="0" applyAlignment="0" applyProtection="0"/>
    <xf numFmtId="0" fontId="11" fillId="9" borderId="136" applyNumberFormat="0" applyFont="0" applyAlignment="0" applyProtection="0"/>
    <xf numFmtId="4" fontId="71" fillId="27" borderId="144" applyNumberFormat="0" applyProtection="0">
      <alignment horizontal="right" vertical="center"/>
    </xf>
    <xf numFmtId="4" fontId="11" fillId="41" borderId="140" applyNumberFormat="0" applyProtection="0">
      <alignment vertical="center"/>
    </xf>
    <xf numFmtId="4" fontId="11" fillId="0" borderId="140" applyNumberFormat="0" applyProtection="0">
      <alignment horizontal="right" vertical="center"/>
    </xf>
    <xf numFmtId="239" fontId="17" fillId="0" borderId="126" applyFont="0" applyFill="0" applyBorder="0" applyAlignment="0" applyProtection="0"/>
    <xf numFmtId="0" fontId="11" fillId="15" borderId="144" applyNumberFormat="0" applyProtection="0">
      <alignment horizontal="left" vertical="center" indent="1"/>
    </xf>
    <xf numFmtId="0" fontId="11" fillId="69" borderId="144" applyNumberFormat="0" applyProtection="0">
      <alignment horizontal="left" vertical="top" indent="1"/>
    </xf>
    <xf numFmtId="239" fontId="17" fillId="0" borderId="140" applyFont="0" applyFill="0" applyBorder="0" applyAlignment="0" applyProtection="0"/>
    <xf numFmtId="4" fontId="11" fillId="0" borderId="140" applyNumberFormat="0" applyProtection="0">
      <alignment horizontal="right" vertical="center"/>
    </xf>
    <xf numFmtId="238" fontId="48" fillId="0" borderId="143">
      <protection locked="0"/>
    </xf>
    <xf numFmtId="49" fontId="48" fillId="0" borderId="143">
      <protection locked="0"/>
    </xf>
    <xf numFmtId="0" fontId="71" fillId="9" borderId="144" applyNumberFormat="0" applyProtection="0">
      <alignment horizontal="left" vertical="top" indent="1"/>
    </xf>
    <xf numFmtId="4" fontId="71" fillId="44" borderId="140" applyNumberFormat="0" applyProtection="0">
      <alignment horizontal="right" vertical="center"/>
    </xf>
    <xf numFmtId="4" fontId="71" fillId="69" borderId="144" applyNumberFormat="0" applyProtection="0">
      <alignment horizontal="left" vertical="center" indent="1"/>
    </xf>
    <xf numFmtId="0" fontId="28" fillId="5" borderId="135" applyNumberFormat="0" applyAlignment="0" applyProtection="0"/>
    <xf numFmtId="0" fontId="60" fillId="0" borderId="133" applyNumberFormat="0" applyFill="0" applyAlignment="0" applyProtection="0"/>
    <xf numFmtId="0" fontId="35" fillId="0" borderId="132" applyNumberFormat="0" applyFill="0" applyAlignment="0" applyProtection="0"/>
    <xf numFmtId="0" fontId="131" fillId="3" borderId="105" applyNumberFormat="0" applyAlignment="0" applyProtection="0"/>
    <xf numFmtId="0" fontId="43" fillId="12" borderId="105" applyNumberFormat="0" applyAlignment="0" applyProtection="0"/>
    <xf numFmtId="198" fontId="11" fillId="0" borderId="0" applyFont="0" applyFill="0" applyBorder="0" applyAlignment="0" applyProtection="0"/>
    <xf numFmtId="41" fontId="1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11" fillId="0" borderId="0" applyFont="0" applyFill="0" applyBorder="0" applyAlignment="0" applyProtection="0"/>
    <xf numFmtId="43" fontId="71" fillId="0" borderId="0" applyFont="0" applyFill="0" applyBorder="0" applyAlignment="0" applyProtection="0">
      <alignment vertical="top"/>
    </xf>
    <xf numFmtId="43" fontId="1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1"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0" fontId="11" fillId="0" borderId="0" applyFont="0" applyFill="0" applyBorder="0" applyAlignment="0" applyProtection="0">
      <alignment wrapText="1"/>
    </xf>
    <xf numFmtId="202" fontId="11" fillId="0" borderId="0" applyFont="0" applyFill="0" applyBorder="0" applyAlignment="0" applyProtection="0"/>
    <xf numFmtId="0" fontId="60" fillId="12" borderId="123" applyNumberFormat="0" applyAlignment="0" applyProtection="0"/>
    <xf numFmtId="0" fontId="11" fillId="9" borderId="121" applyNumberFormat="0" applyFont="0" applyAlignment="0" applyProtection="0"/>
    <xf numFmtId="224" fontId="11" fillId="0" borderId="0">
      <protection locked="0"/>
    </xf>
    <xf numFmtId="0" fontId="71" fillId="9" borderId="122" applyNumberFormat="0" applyFon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203" fontId="48" fillId="0" borderId="110">
      <protection locked="0"/>
    </xf>
    <xf numFmtId="0" fontId="135" fillId="2"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28"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56" fillId="5" borderId="10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71"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6" fillId="5" borderId="121" applyNumberFormat="0" applyAlignment="0" applyProtection="0"/>
    <xf numFmtId="0" fontId="28" fillId="5" borderId="12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11" fillId="0" borderId="0"/>
    <xf numFmtId="0" fontId="56" fillId="5" borderId="121" applyNumberFormat="0" applyAlignment="0" applyProtection="0"/>
    <xf numFmtId="0" fontId="135" fillId="2"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0" fontId="11" fillId="0" borderId="0"/>
    <xf numFmtId="0" fontId="11" fillId="0" borderId="0"/>
    <xf numFmtId="0" fontId="71" fillId="9" borderId="106" applyNumberFormat="0" applyFont="0" applyAlignment="0" applyProtection="0"/>
    <xf numFmtId="0" fontId="11" fillId="9" borderId="105" applyNumberFormat="0" applyFont="0" applyAlignment="0" applyProtection="0"/>
    <xf numFmtId="0" fontId="128" fillId="3" borderId="117" applyNumberFormat="0" applyAlignment="0" applyProtection="0"/>
    <xf numFmtId="0" fontId="60" fillId="12" borderId="107"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3" fillId="12" borderId="121" applyNumberFormat="0" applyAlignment="0" applyProtection="0"/>
    <xf numFmtId="0" fontId="131" fillId="3" borderId="121" applyNumberFormat="0" applyAlignment="0" applyProtection="0"/>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209"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35" fillId="0" borderId="118" applyNumberFormat="0" applyFill="0" applyAlignment="0" applyProtection="0"/>
    <xf numFmtId="0" fontId="60" fillId="0" borderId="119" applyNumberFormat="0" applyFill="0" applyAlignment="0" applyProtection="0"/>
    <xf numFmtId="0" fontId="11" fillId="16" borderId="0" applyNumberFormat="0" applyBorder="0" applyAlignment="0" applyProtection="0"/>
    <xf numFmtId="210" fontId="11" fillId="0" borderId="0" applyFont="0" applyFill="0" applyBorder="0" applyAlignment="0" applyProtection="0"/>
    <xf numFmtId="0" fontId="56" fillId="5" borderId="121" applyNumberFormat="0" applyAlignment="0" applyProtection="0"/>
    <xf numFmtId="0" fontId="28" fillId="5" borderId="121" applyNumberFormat="0" applyAlignment="0" applyProtection="0"/>
    <xf numFmtId="4" fontId="71" fillId="69" borderId="130" applyNumberFormat="0" applyProtection="0">
      <alignment horizontal="left" vertical="center" indent="1"/>
    </xf>
    <xf numFmtId="0" fontId="11" fillId="15" borderId="130" applyNumberFormat="0" applyProtection="0">
      <alignment horizontal="left" vertical="top" indent="1"/>
    </xf>
    <xf numFmtId="4" fontId="71" fillId="44" borderId="126" applyNumberFormat="0" applyProtection="0">
      <alignment horizontal="right" vertical="center"/>
    </xf>
    <xf numFmtId="0" fontId="64" fillId="0" borderId="116" applyNumberFormat="0" applyFill="0" applyAlignment="0" applyProtection="0"/>
    <xf numFmtId="0" fontId="127" fillId="72" borderId="130" applyNumberFormat="0" applyProtection="0">
      <alignment horizontal="left" vertical="center" indent="1"/>
    </xf>
    <xf numFmtId="10" fontId="17" fillId="39" borderId="126" applyNumberFormat="0" applyBorder="0" applyAlignment="0" applyProtection="0"/>
    <xf numFmtId="0" fontId="64" fillId="0" borderId="116" applyNumberFormat="0" applyFill="0" applyAlignment="0" applyProtection="0"/>
    <xf numFmtId="4" fontId="71" fillId="69" borderId="130" applyNumberFormat="0" applyProtection="0">
      <alignment horizontal="right" vertical="center"/>
    </xf>
    <xf numFmtId="4" fontId="71" fillId="44" borderId="126" applyNumberFormat="0" applyProtection="0">
      <alignment horizontal="right" vertical="center"/>
    </xf>
    <xf numFmtId="4" fontId="151" fillId="9" borderId="130" applyNumberFormat="0" applyProtection="0">
      <alignment vertical="center"/>
    </xf>
    <xf numFmtId="4" fontId="71" fillId="23" borderId="130" applyNumberFormat="0" applyProtection="0">
      <alignment horizontal="right" vertical="center"/>
    </xf>
    <xf numFmtId="0" fontId="11" fillId="22" borderId="130" applyNumberFormat="0" applyProtection="0">
      <alignment horizontal="left" vertical="center" indent="1"/>
    </xf>
    <xf numFmtId="0" fontId="64" fillId="0" borderId="116" applyNumberFormat="0" applyFill="0" applyAlignment="0" applyProtection="0"/>
    <xf numFmtId="0" fontId="71" fillId="69" borderId="130" applyNumberFormat="0" applyProtection="0">
      <alignment horizontal="left" vertical="top" indent="1"/>
    </xf>
    <xf numFmtId="0" fontId="11" fillId="22" borderId="130" applyNumberFormat="0" applyProtection="0">
      <alignment horizontal="left" vertical="center" indent="1"/>
    </xf>
    <xf numFmtId="0" fontId="71" fillId="9" borderId="130" applyNumberFormat="0" applyProtection="0">
      <alignment horizontal="left" vertical="top" indent="1"/>
    </xf>
    <xf numFmtId="49" fontId="48" fillId="0" borderId="129">
      <protection locked="0"/>
    </xf>
    <xf numFmtId="238" fontId="48" fillId="0" borderId="129">
      <protection locked="0"/>
    </xf>
    <xf numFmtId="236" fontId="48" fillId="0" borderId="129">
      <protection locked="0"/>
    </xf>
    <xf numFmtId="4" fontId="11" fillId="41" borderId="126" applyNumberFormat="0" applyProtection="0">
      <alignment vertical="center"/>
    </xf>
    <xf numFmtId="0" fontId="64" fillId="0" borderId="116" applyNumberFormat="0" applyFill="0" applyAlignment="0" applyProtection="0"/>
    <xf numFmtId="0" fontId="28" fillId="5" borderId="135" applyNumberFormat="0" applyAlignment="0" applyProtection="0"/>
    <xf numFmtId="0" fontId="28" fillId="5" borderId="105" applyNumberFormat="0" applyAlignment="0" applyProtection="0"/>
    <xf numFmtId="10" fontId="17" fillId="39" borderId="110" applyNumberFormat="0" applyBorder="0" applyAlignment="0" applyProtection="0"/>
    <xf numFmtId="0" fontId="71" fillId="69" borderId="144" applyNumberFormat="0" applyProtection="0">
      <alignment horizontal="left" vertical="top" indent="1"/>
    </xf>
    <xf numFmtId="4" fontId="11" fillId="0" borderId="126" applyNumberFormat="0" applyProtection="0">
      <alignment horizontal="right" vertical="center"/>
    </xf>
    <xf numFmtId="191" fontId="38" fillId="0" borderId="128"/>
    <xf numFmtId="0" fontId="28" fillId="5" borderId="121" applyNumberFormat="0" applyAlignment="0" applyProtection="0"/>
    <xf numFmtId="0" fontId="64" fillId="0" borderId="116" applyNumberFormat="0" applyFill="0" applyAlignment="0" applyProtection="0"/>
    <xf numFmtId="4" fontId="20" fillId="72" borderId="130" applyNumberFormat="0" applyProtection="0">
      <alignment horizontal="right" vertical="center"/>
    </xf>
    <xf numFmtId="4" fontId="11" fillId="41" borderId="110" applyNumberFormat="0" applyProtection="0">
      <alignment vertical="center"/>
    </xf>
    <xf numFmtId="4" fontId="11" fillId="0" borderId="110" applyNumberFormat="0" applyProtection="0">
      <alignment horizontal="right" vertical="center"/>
    </xf>
    <xf numFmtId="10" fontId="17" fillId="39" borderId="126" applyNumberFormat="0" applyBorder="0" applyAlignment="0" applyProtection="0"/>
    <xf numFmtId="0" fontId="28" fillId="5" borderId="121" applyNumberFormat="0" applyAlignment="0" applyProtection="0"/>
    <xf numFmtId="49" fontId="48" fillId="0" borderId="126">
      <alignment vertical="top"/>
      <protection locked="0"/>
    </xf>
    <xf numFmtId="239" fontId="17" fillId="0" borderId="126" applyFont="0" applyFill="0" applyBorder="0" applyAlignment="0" applyProtection="0"/>
    <xf numFmtId="0" fontId="11" fillId="69" borderId="130" applyNumberFormat="0" applyProtection="0">
      <alignment horizontal="left" vertical="top" indent="1"/>
    </xf>
    <xf numFmtId="4" fontId="72" fillId="0" borderId="120" applyFont="0" applyFill="0" applyBorder="0" applyAlignment="0">
      <alignment horizontal="center" vertical="center"/>
    </xf>
    <xf numFmtId="4" fontId="72" fillId="0" borderId="120" applyFont="0" applyFill="0" applyBorder="0" applyAlignment="0">
      <alignment horizontal="center" vertical="center"/>
    </xf>
    <xf numFmtId="0" fontId="11" fillId="9" borderId="122" applyNumberFormat="0" applyFont="0" applyAlignment="0" applyProtection="0"/>
    <xf numFmtId="4" fontId="151" fillId="9" borderId="144" applyNumberFormat="0" applyProtection="0">
      <alignment vertical="center"/>
    </xf>
    <xf numFmtId="4" fontId="149" fillId="2" borderId="130" applyNumberFormat="0" applyProtection="0">
      <alignment vertical="center"/>
    </xf>
    <xf numFmtId="0" fontId="11" fillId="15" borderId="130" applyNumberFormat="0" applyProtection="0">
      <alignment horizontal="left" vertical="center" indent="1"/>
    </xf>
    <xf numFmtId="0" fontId="11" fillId="15" borderId="130" applyNumberFormat="0" applyProtection="0">
      <alignment horizontal="left" vertical="center" indent="1"/>
    </xf>
    <xf numFmtId="239" fontId="17" fillId="0" borderId="110" applyFont="0" applyFill="0" applyBorder="0" applyAlignment="0" applyProtection="0"/>
    <xf numFmtId="0" fontId="11" fillId="72" borderId="144" applyNumberFormat="0" applyProtection="0">
      <alignment horizontal="left" vertical="top" indent="1"/>
    </xf>
    <xf numFmtId="4" fontId="11" fillId="0" borderId="126" applyNumberFormat="0" applyProtection="0">
      <alignment horizontal="right" vertical="center"/>
    </xf>
    <xf numFmtId="4" fontId="11" fillId="41" borderId="126" applyNumberFormat="0" applyProtection="0">
      <alignment vertical="center"/>
    </xf>
    <xf numFmtId="4" fontId="11" fillId="0" borderId="126" applyNumberFormat="0" applyProtection="0">
      <alignment horizontal="right" vertical="center"/>
    </xf>
    <xf numFmtId="0" fontId="64" fillId="0" borderId="116" applyNumberFormat="0" applyFill="0" applyAlignment="0" applyProtection="0"/>
    <xf numFmtId="0" fontId="64" fillId="0" borderId="116" applyNumberFormat="0" applyFill="0" applyAlignment="0" applyProtection="0"/>
    <xf numFmtId="4" fontId="71" fillId="27" borderId="130" applyNumberFormat="0" applyProtection="0">
      <alignment horizontal="right" vertical="center"/>
    </xf>
    <xf numFmtId="0" fontId="11" fillId="9" borderId="122" applyNumberFormat="0" applyFont="0" applyAlignment="0" applyProtection="0"/>
    <xf numFmtId="0" fontId="11" fillId="9" borderId="122" applyNumberFormat="0" applyFont="0" applyAlignment="0" applyProtection="0"/>
    <xf numFmtId="4" fontId="11" fillId="41" borderId="140" applyNumberFormat="0" applyProtection="0">
      <alignment vertical="center"/>
    </xf>
    <xf numFmtId="0" fontId="64" fillId="0" borderId="116" applyNumberFormat="0" applyFill="0" applyAlignment="0" applyProtection="0"/>
    <xf numFmtId="236" fontId="48" fillId="0" borderId="129">
      <protection locked="0"/>
    </xf>
    <xf numFmtId="0" fontId="11" fillId="69" borderId="130" applyNumberFormat="0" applyProtection="0">
      <alignment horizontal="left" vertical="top" indent="1"/>
    </xf>
    <xf numFmtId="0" fontId="11" fillId="69" borderId="130" applyNumberFormat="0" applyProtection="0">
      <alignment horizontal="left" vertical="center" indent="1"/>
    </xf>
    <xf numFmtId="0" fontId="64" fillId="0" borderId="116" applyNumberFormat="0" applyFill="0" applyAlignment="0" applyProtection="0"/>
    <xf numFmtId="0" fontId="128" fillId="3" borderId="131" applyNumberFormat="0" applyAlignment="0" applyProtection="0"/>
    <xf numFmtId="10" fontId="17" fillId="39" borderId="110" applyNumberFormat="0" applyBorder="0" applyAlignment="0" applyProtection="0"/>
    <xf numFmtId="0" fontId="30" fillId="14" borderId="121" applyNumberFormat="0" applyAlignment="0" applyProtection="0"/>
    <xf numFmtId="4" fontId="71" fillId="44" borderId="126" applyNumberFormat="0" applyProtection="0">
      <alignment horizontal="right" vertical="center"/>
    </xf>
    <xf numFmtId="4" fontId="11" fillId="41" borderId="126" applyNumberFormat="0" applyProtection="0">
      <alignment vertical="center"/>
    </xf>
    <xf numFmtId="4" fontId="97" fillId="0" borderId="127" applyBorder="0">
      <alignment horizontal="right" wrapText="1"/>
    </xf>
    <xf numFmtId="0" fontId="11" fillId="9" borderId="106" applyNumberFormat="0" applyFont="0" applyAlignment="0" applyProtection="0"/>
    <xf numFmtId="0" fontId="11" fillId="9" borderId="106" applyNumberFormat="0" applyFont="0" applyAlignment="0" applyProtection="0"/>
    <xf numFmtId="0" fontId="64" fillId="0" borderId="116" applyNumberFormat="0" applyFill="0" applyAlignment="0" applyProtection="0"/>
    <xf numFmtId="0" fontId="71" fillId="9" borderId="130" applyNumberFormat="0" applyProtection="0">
      <alignment horizontal="left" vertical="top" indent="1"/>
    </xf>
    <xf numFmtId="10" fontId="17" fillId="39" borderId="126" applyNumberFormat="0" applyBorder="0" applyAlignment="0" applyProtection="0"/>
    <xf numFmtId="4" fontId="11" fillId="41" borderId="110" applyNumberFormat="0" applyProtection="0">
      <alignment vertical="center"/>
    </xf>
    <xf numFmtId="4" fontId="11" fillId="0" borderId="110" applyNumberFormat="0" applyProtection="0">
      <alignment horizontal="right" vertical="center"/>
    </xf>
    <xf numFmtId="0" fontId="64" fillId="0" borderId="116" applyNumberFormat="0" applyFill="0" applyAlignment="0" applyProtection="0"/>
    <xf numFmtId="0" fontId="11" fillId="72" borderId="130" applyNumberFormat="0" applyProtection="0">
      <alignment horizontal="left" vertical="top" indent="1"/>
    </xf>
    <xf numFmtId="0" fontId="11" fillId="9" borderId="122" applyNumberFormat="0" applyFont="0" applyAlignment="0" applyProtection="0"/>
    <xf numFmtId="4" fontId="99" fillId="2" borderId="130" applyNumberFormat="0" applyProtection="0">
      <alignment vertical="center"/>
    </xf>
    <xf numFmtId="0" fontId="11" fillId="72" borderId="130" applyNumberFormat="0" applyProtection="0">
      <alignment horizontal="left" vertical="top" indent="1"/>
    </xf>
    <xf numFmtId="0" fontId="64" fillId="0" borderId="116" applyNumberFormat="0" applyFill="0" applyAlignment="0" applyProtection="0"/>
    <xf numFmtId="4" fontId="71" fillId="69" borderId="144" applyNumberFormat="0" applyProtection="0">
      <alignment horizontal="right" vertical="center"/>
    </xf>
    <xf numFmtId="0" fontId="11" fillId="22" borderId="144" applyNumberFormat="0" applyProtection="0">
      <alignment horizontal="left" vertical="center" indent="1"/>
    </xf>
    <xf numFmtId="239" fontId="17" fillId="0" borderId="110" applyFont="0" applyFill="0" applyBorder="0" applyAlignment="0" applyProtection="0"/>
    <xf numFmtId="0" fontId="28" fillId="5" borderId="121" applyNumberFormat="0" applyAlignment="0" applyProtection="0"/>
    <xf numFmtId="0" fontId="11" fillId="72" borderId="144" applyNumberFormat="0" applyProtection="0">
      <alignment horizontal="left" vertical="top" indent="1"/>
    </xf>
    <xf numFmtId="4" fontId="97" fillId="0" borderId="141" applyBorder="0">
      <alignment horizontal="right" wrapText="1"/>
    </xf>
    <xf numFmtId="0" fontId="64" fillId="0" borderId="116" applyNumberFormat="0" applyFill="0" applyAlignment="0" applyProtection="0"/>
    <xf numFmtId="10" fontId="17" fillId="39" borderId="126" applyNumberFormat="0" applyBorder="0" applyAlignment="0" applyProtection="0"/>
    <xf numFmtId="239" fontId="17" fillId="0" borderId="126" applyFont="0" applyFill="0" applyBorder="0" applyAlignment="0" applyProtection="0"/>
    <xf numFmtId="1" fontId="82" fillId="37" borderId="125" applyNumberFormat="0" applyBorder="0" applyAlignment="0">
      <alignment horizontal="centerContinuous" vertical="center"/>
      <protection locked="0"/>
    </xf>
    <xf numFmtId="0" fontId="11" fillId="72" borderId="130" applyNumberFormat="0" applyProtection="0">
      <alignment horizontal="left" vertical="center" indent="1"/>
    </xf>
    <xf numFmtId="0" fontId="127" fillId="72" borderId="130" applyNumberFormat="0" applyProtection="0">
      <alignment horizontal="left" vertical="center" indent="1"/>
    </xf>
    <xf numFmtId="49" fontId="48" fillId="0" borderId="129">
      <protection locked="0"/>
    </xf>
    <xf numFmtId="49" fontId="48" fillId="0" borderId="140">
      <alignment vertical="top"/>
      <protection locked="0"/>
    </xf>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1" fillId="9" borderId="106" applyNumberFormat="0" applyFont="0" applyAlignment="0" applyProtection="0"/>
    <xf numFmtId="0" fontId="11" fillId="9" borderId="106" applyNumberFormat="0" applyFont="0" applyAlignment="0" applyProtection="0"/>
    <xf numFmtId="0" fontId="28" fillId="5" borderId="121" applyNumberFormat="0" applyAlignment="0" applyProtection="0"/>
    <xf numFmtId="9" fontId="8" fillId="0" borderId="0" applyFont="0" applyFill="0" applyBorder="0" applyAlignment="0" applyProtection="0"/>
    <xf numFmtId="0" fontId="11" fillId="15" borderId="144" applyNumberFormat="0" applyProtection="0">
      <alignment horizontal="left" vertical="center" indent="1"/>
    </xf>
    <xf numFmtId="4" fontId="149" fillId="2" borderId="144" applyNumberFormat="0" applyProtection="0">
      <alignment vertical="center"/>
    </xf>
    <xf numFmtId="4" fontId="11" fillId="41" borderId="126" applyNumberFormat="0" applyProtection="0">
      <alignment vertical="center"/>
    </xf>
    <xf numFmtId="4" fontId="20" fillId="72" borderId="144" applyNumberFormat="0" applyProtection="0">
      <alignment horizontal="right" vertical="center"/>
    </xf>
    <xf numFmtId="10" fontId="17" fillId="39" borderId="140" applyNumberFormat="0" applyBorder="0" applyAlignment="0" applyProtection="0"/>
    <xf numFmtId="0" fontId="56" fillId="5" borderId="121" applyNumberFormat="0" applyAlignment="0" applyProtection="0"/>
    <xf numFmtId="0" fontId="56" fillId="5" borderId="121" applyNumberFormat="0" applyAlignment="0" applyProtection="0"/>
    <xf numFmtId="0" fontId="56" fillId="5" borderId="121" applyNumberFormat="0" applyAlignment="0" applyProtection="0"/>
    <xf numFmtId="203" fontId="48" fillId="0" borderId="126">
      <protection locked="0"/>
    </xf>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36" fontId="48" fillId="0" borderId="143">
      <protection locked="0"/>
    </xf>
    <xf numFmtId="0" fontId="28" fillId="5" borderId="121" applyNumberFormat="0" applyAlignment="0" applyProtection="0"/>
    <xf numFmtId="0" fontId="30" fillId="14" borderId="121" applyNumberFormat="0" applyAlignment="0" applyProtection="0"/>
    <xf numFmtId="49" fontId="48" fillId="0" borderId="126">
      <alignment vertical="top"/>
      <protection locked="0"/>
    </xf>
    <xf numFmtId="191" fontId="38" fillId="0" borderId="128"/>
    <xf numFmtId="0" fontId="28" fillId="5" borderId="121" applyNumberFormat="0" applyAlignment="0" applyProtection="0"/>
    <xf numFmtId="0" fontId="11" fillId="9" borderId="122" applyNumberFormat="0" applyFont="0" applyAlignment="0" applyProtection="0"/>
    <xf numFmtId="0" fontId="29" fillId="14" borderId="123" applyNumberFormat="0" applyAlignment="0" applyProtection="0"/>
    <xf numFmtId="0" fontId="35" fillId="0" borderId="124" applyNumberFormat="0" applyFill="0" applyAlignment="0" applyProtection="0"/>
    <xf numFmtId="0" fontId="28" fillId="5" borderId="121" applyNumberFormat="0" applyAlignment="0" applyProtection="0"/>
    <xf numFmtId="0" fontId="28" fillId="5" borderId="121" applyNumberFormat="0" applyAlignment="0" applyProtection="0"/>
    <xf numFmtId="4" fontId="149" fillId="2" borderId="130" applyNumberFormat="0" applyProtection="0">
      <alignment vertical="center"/>
    </xf>
    <xf numFmtId="4" fontId="71" fillId="23" borderId="144" applyNumberFormat="0" applyProtection="0">
      <alignment horizontal="right" vertical="center"/>
    </xf>
    <xf numFmtId="4" fontId="71" fillId="69" borderId="130" applyNumberFormat="0" applyProtection="0">
      <alignment horizontal="left" vertical="center" indent="1"/>
    </xf>
    <xf numFmtId="4" fontId="71" fillId="29" borderId="130" applyNumberFormat="0" applyProtection="0">
      <alignment horizontal="right" vertical="center"/>
    </xf>
    <xf numFmtId="239" fontId="17" fillId="0" borderId="126" applyFont="0" applyFill="0" applyBorder="0" applyAlignment="0" applyProtection="0"/>
    <xf numFmtId="4" fontId="20" fillId="72" borderId="130" applyNumberFormat="0" applyProtection="0">
      <alignment horizontal="right" vertical="center"/>
    </xf>
    <xf numFmtId="4" fontId="71" fillId="7" borderId="130" applyNumberFormat="0" applyProtection="0">
      <alignment horizontal="right" vertical="center"/>
    </xf>
    <xf numFmtId="0" fontId="11" fillId="72" borderId="130" applyNumberFormat="0" applyProtection="0">
      <alignment horizontal="left" vertical="center" indent="1"/>
    </xf>
    <xf numFmtId="0" fontId="28" fillId="5" borderId="121" applyNumberFormat="0" applyAlignment="0" applyProtection="0"/>
    <xf numFmtId="4" fontId="71" fillId="16" borderId="130" applyNumberFormat="0" applyProtection="0">
      <alignment horizontal="right" vertical="center"/>
    </xf>
    <xf numFmtId="0" fontId="11" fillId="15" borderId="130" applyNumberFormat="0" applyProtection="0">
      <alignment horizontal="left" vertical="center" indent="1"/>
    </xf>
    <xf numFmtId="1" fontId="82" fillId="37" borderId="125" applyNumberFormat="0" applyBorder="0" applyAlignment="0">
      <alignment horizontal="centerContinuous" vertical="center"/>
      <protection locked="0"/>
    </xf>
    <xf numFmtId="0" fontId="64" fillId="0" borderId="116" applyNumberFormat="0" applyFill="0" applyAlignment="0" applyProtection="0"/>
    <xf numFmtId="0" fontId="11" fillId="69" borderId="130" applyNumberFormat="0" applyProtection="0">
      <alignment horizontal="left" vertical="center" indent="1"/>
    </xf>
    <xf numFmtId="0" fontId="64" fillId="0" borderId="116" applyNumberFormat="0" applyFill="0" applyAlignment="0" applyProtection="0"/>
    <xf numFmtId="0" fontId="11" fillId="9" borderId="122" applyNumberFormat="0" applyFont="0" applyAlignment="0" applyProtection="0"/>
    <xf numFmtId="0" fontId="11" fillId="22" borderId="144" applyNumberFormat="0" applyProtection="0">
      <alignment horizontal="left" vertical="center" indent="1"/>
    </xf>
    <xf numFmtId="4" fontId="71" fillId="9" borderId="130" applyNumberFormat="0" applyProtection="0">
      <alignment vertical="center"/>
    </xf>
    <xf numFmtId="4" fontId="99" fillId="2" borderId="130" applyNumberFormat="0" applyProtection="0">
      <alignment vertical="center"/>
    </xf>
    <xf numFmtId="0" fontId="64" fillId="0" borderId="116" applyNumberFormat="0" applyFill="0" applyAlignment="0" applyProtection="0"/>
    <xf numFmtId="0" fontId="64" fillId="0" borderId="116" applyNumberFormat="0" applyFill="0" applyAlignment="0" applyProtection="0"/>
    <xf numFmtId="4" fontId="71" fillId="16" borderId="130" applyNumberFormat="0" applyProtection="0">
      <alignment horizontal="right" vertical="center"/>
    </xf>
    <xf numFmtId="0" fontId="11" fillId="9" borderId="122" applyNumberFormat="0" applyFont="0" applyAlignment="0" applyProtection="0"/>
    <xf numFmtId="191" fontId="38" fillId="0" borderId="142"/>
    <xf numFmtId="4" fontId="71" fillId="69" borderId="130" applyNumberFormat="0" applyProtection="0">
      <alignment horizontal="right" vertical="center"/>
    </xf>
    <xf numFmtId="0" fontId="64" fillId="0" borderId="116" applyNumberFormat="0" applyFill="0" applyAlignment="0" applyProtection="0"/>
    <xf numFmtId="4" fontId="71" fillId="8" borderId="130" applyNumberFormat="0" applyProtection="0">
      <alignment horizontal="right" vertical="center"/>
    </xf>
    <xf numFmtId="0" fontId="64" fillId="0" borderId="116" applyNumberFormat="0" applyFill="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11" fillId="9" borderId="122" applyNumberFormat="0" applyFont="0" applyAlignment="0" applyProtection="0"/>
    <xf numFmtId="0" fontId="28" fillId="5" borderId="121" applyNumberFormat="0" applyAlignment="0" applyProtection="0"/>
    <xf numFmtId="10" fontId="17" fillId="39" borderId="126" applyNumberFormat="0" applyBorder="0" applyAlignment="0" applyProtection="0"/>
    <xf numFmtId="0" fontId="64" fillId="0" borderId="116" applyNumberFormat="0" applyFill="0" applyAlignment="0" applyProtection="0"/>
    <xf numFmtId="0" fontId="11" fillId="9" borderId="122" applyNumberFormat="0" applyFont="0" applyAlignment="0" applyProtection="0"/>
    <xf numFmtId="0" fontId="64" fillId="0" borderId="116" applyNumberFormat="0" applyFill="0" applyAlignment="0" applyProtection="0"/>
    <xf numFmtId="0" fontId="11" fillId="15" borderId="130" applyNumberFormat="0" applyProtection="0">
      <alignment horizontal="left" vertical="top" indent="1"/>
    </xf>
    <xf numFmtId="4" fontId="71" fillId="17" borderId="130" applyNumberFormat="0" applyProtection="0">
      <alignment horizontal="right" vertical="center"/>
    </xf>
    <xf numFmtId="4" fontId="71" fillId="29" borderId="130" applyNumberFormat="0" applyProtection="0">
      <alignment horizontal="right" vertical="center"/>
    </xf>
    <xf numFmtId="4" fontId="71" fillId="70" borderId="130" applyNumberFormat="0" applyProtection="0">
      <alignment horizontal="right" vertical="center"/>
    </xf>
    <xf numFmtId="0" fontId="28" fillId="5" borderId="121" applyNumberFormat="0" applyAlignment="0" applyProtection="0"/>
    <xf numFmtId="0" fontId="28" fillId="5" borderId="121" applyNumberFormat="0" applyAlignment="0" applyProtection="0"/>
    <xf numFmtId="239" fontId="17" fillId="0" borderId="126" applyFont="0" applyFill="0" applyBorder="0" applyAlignment="0" applyProtection="0"/>
    <xf numFmtId="4" fontId="71" fillId="72" borderId="130" applyNumberFormat="0" applyProtection="0">
      <alignment horizontal="right" vertical="center"/>
    </xf>
    <xf numFmtId="0" fontId="11" fillId="72" borderId="130" applyNumberFormat="0" applyProtection="0">
      <alignment horizontal="left" vertical="center" indent="1"/>
    </xf>
    <xf numFmtId="4" fontId="71" fillId="7" borderId="130" applyNumberFormat="0" applyProtection="0">
      <alignment horizontal="right" vertical="center"/>
    </xf>
    <xf numFmtId="4" fontId="71" fillId="44" borderId="126" applyNumberFormat="0" applyProtection="0">
      <alignment horizontal="right" vertical="center"/>
    </xf>
    <xf numFmtId="0" fontId="11" fillId="22" borderId="130" applyNumberFormat="0" applyProtection="0">
      <alignment horizontal="left" vertical="top" indent="1"/>
    </xf>
    <xf numFmtId="4" fontId="151" fillId="72" borderId="130" applyNumberFormat="0" applyProtection="0">
      <alignment horizontal="right" vertical="center"/>
    </xf>
    <xf numFmtId="0" fontId="11" fillId="9" borderId="122" applyNumberFormat="0" applyFont="0" applyAlignment="0" applyProtection="0"/>
    <xf numFmtId="4" fontId="71" fillId="44" borderId="140" applyNumberFormat="0" applyProtection="0">
      <alignment horizontal="right" vertical="center"/>
    </xf>
    <xf numFmtId="0" fontId="11" fillId="72" borderId="130" applyNumberFormat="0" applyProtection="0">
      <alignment horizontal="left" vertical="center" indent="1"/>
    </xf>
    <xf numFmtId="0" fontId="64" fillId="0" borderId="116" applyNumberFormat="0" applyFill="0" applyAlignment="0" applyProtection="0"/>
    <xf numFmtId="0" fontId="28" fillId="5" borderId="121" applyNumberFormat="0" applyAlignment="0" applyProtection="0"/>
    <xf numFmtId="0" fontId="11" fillId="72" borderId="130" applyNumberFormat="0" applyProtection="0">
      <alignment horizontal="left" vertical="center" indent="1"/>
    </xf>
    <xf numFmtId="4" fontId="151" fillId="72" borderId="130" applyNumberFormat="0" applyProtection="0">
      <alignment horizontal="right" vertical="center"/>
    </xf>
    <xf numFmtId="0" fontId="11" fillId="9" borderId="122" applyNumberFormat="0" applyFont="0" applyAlignment="0" applyProtection="0"/>
    <xf numFmtId="4" fontId="11" fillId="41" borderId="126" applyNumberFormat="0" applyProtection="0">
      <alignment vertical="center"/>
    </xf>
    <xf numFmtId="0" fontId="64" fillId="0" borderId="116" applyNumberFormat="0" applyFill="0" applyAlignment="0" applyProtection="0"/>
    <xf numFmtId="0" fontId="71" fillId="69" borderId="130" applyNumberFormat="0" applyProtection="0">
      <alignment horizontal="left" vertical="top" indent="1"/>
    </xf>
    <xf numFmtId="4" fontId="71" fillId="23" borderId="130" applyNumberFormat="0" applyProtection="0">
      <alignment horizontal="right" vertical="center"/>
    </xf>
    <xf numFmtId="0" fontId="64" fillId="0" borderId="116" applyNumberFormat="0" applyFill="0" applyAlignment="0" applyProtection="0"/>
    <xf numFmtId="0" fontId="11" fillId="3" borderId="126" applyNumberFormat="0">
      <protection locked="0"/>
    </xf>
    <xf numFmtId="4" fontId="71" fillId="25" borderId="130" applyNumberFormat="0" applyProtection="0">
      <alignment horizontal="right" vertical="center"/>
    </xf>
    <xf numFmtId="0" fontId="28" fillId="5" borderId="121" applyNumberFormat="0" applyAlignment="0" applyProtection="0"/>
    <xf numFmtId="4" fontId="11" fillId="0" borderId="126" applyNumberFormat="0" applyProtection="0">
      <alignment horizontal="right" vertical="center"/>
    </xf>
    <xf numFmtId="0" fontId="11" fillId="15" borderId="130" applyNumberFormat="0" applyProtection="0">
      <alignment horizontal="left" vertical="center" indent="1"/>
    </xf>
    <xf numFmtId="4" fontId="71" fillId="72" borderId="130" applyNumberFormat="0" applyProtection="0">
      <alignment horizontal="right" vertical="center"/>
    </xf>
    <xf numFmtId="0" fontId="64" fillId="0" borderId="116" applyNumberFormat="0" applyFill="0" applyAlignment="0" applyProtection="0"/>
    <xf numFmtId="0" fontId="127" fillId="72" borderId="144" applyNumberFormat="0" applyProtection="0">
      <alignment horizontal="left" vertical="center" indent="1"/>
    </xf>
    <xf numFmtId="4" fontId="99" fillId="2" borderId="130" applyNumberFormat="0" applyProtection="0">
      <alignment horizontal="left" vertical="center" indent="1"/>
    </xf>
    <xf numFmtId="0" fontId="11" fillId="9" borderId="122" applyNumberFormat="0" applyFont="0" applyAlignment="0" applyProtection="0"/>
    <xf numFmtId="0" fontId="11" fillId="9" borderId="122" applyNumberFormat="0" applyFont="0" applyAlignment="0" applyProtection="0"/>
    <xf numFmtId="0" fontId="11" fillId="22" borderId="130" applyNumberFormat="0" applyProtection="0">
      <alignment horizontal="left" vertical="top" indent="1"/>
    </xf>
    <xf numFmtId="4" fontId="71" fillId="25" borderId="130" applyNumberFormat="0" applyProtection="0">
      <alignment horizontal="right" vertical="center"/>
    </xf>
    <xf numFmtId="4" fontId="71" fillId="9" borderId="130" applyNumberFormat="0" applyProtection="0">
      <alignment horizontal="left" vertical="center" indent="1"/>
    </xf>
    <xf numFmtId="0" fontId="11" fillId="69" borderId="130" applyNumberFormat="0" applyProtection="0">
      <alignment horizontal="left" vertical="center" indent="1"/>
    </xf>
    <xf numFmtId="10" fontId="17" fillId="39" borderId="126" applyNumberFormat="0" applyBorder="0" applyAlignment="0" applyProtection="0"/>
    <xf numFmtId="0" fontId="64" fillId="0" borderId="116" applyNumberFormat="0" applyFill="0" applyAlignment="0" applyProtection="0"/>
    <xf numFmtId="4" fontId="99" fillId="2" borderId="130" applyNumberFormat="0" applyProtection="0">
      <alignment horizontal="left" vertical="center" indent="1"/>
    </xf>
    <xf numFmtId="0" fontId="11" fillId="15" borderId="144" applyNumberFormat="0" applyProtection="0">
      <alignment horizontal="left" vertical="top" indent="1"/>
    </xf>
    <xf numFmtId="0" fontId="11" fillId="9" borderId="122" applyNumberFormat="0" applyFont="0" applyAlignment="0" applyProtection="0"/>
    <xf numFmtId="0" fontId="11" fillId="22" borderId="130" applyNumberFormat="0" applyProtection="0">
      <alignment horizontal="left" vertical="center" indent="1"/>
    </xf>
    <xf numFmtId="238" fontId="48" fillId="0" borderId="129">
      <protection locked="0"/>
    </xf>
    <xf numFmtId="4" fontId="71" fillId="70" borderId="130" applyNumberFormat="0" applyProtection="0">
      <alignment horizontal="right" vertical="center"/>
    </xf>
    <xf numFmtId="10" fontId="17" fillId="39" borderId="140" applyNumberFormat="0" applyBorder="0" applyAlignment="0" applyProtection="0"/>
    <xf numFmtId="0" fontId="11" fillId="9" borderId="122" applyNumberFormat="0" applyFont="0" applyAlignment="0" applyProtection="0"/>
    <xf numFmtId="0" fontId="99" fillId="2" borderId="130" applyNumberFormat="0" applyProtection="0">
      <alignment horizontal="left" vertical="top" indent="1"/>
    </xf>
    <xf numFmtId="0" fontId="64" fillId="0" borderId="116" applyNumberFormat="0" applyFill="0" applyAlignment="0" applyProtection="0"/>
    <xf numFmtId="4" fontId="71" fillId="9" borderId="130" applyNumberFormat="0" applyProtection="0">
      <alignment vertical="center"/>
    </xf>
    <xf numFmtId="0" fontId="64" fillId="0" borderId="116" applyNumberFormat="0" applyFill="0" applyAlignment="0" applyProtection="0"/>
    <xf numFmtId="4" fontId="11" fillId="0" borderId="126" applyNumberFormat="0" applyProtection="0">
      <alignment horizontal="right" vertical="center"/>
    </xf>
    <xf numFmtId="0" fontId="28" fillId="5" borderId="135" applyNumberFormat="0" applyAlignment="0" applyProtection="0"/>
    <xf numFmtId="4" fontId="71" fillId="8" borderId="130" applyNumberFormat="0" applyProtection="0">
      <alignment horizontal="right" vertical="center"/>
    </xf>
    <xf numFmtId="4" fontId="71" fillId="27" borderId="130" applyNumberFormat="0" applyProtection="0">
      <alignment horizontal="right" vertical="center"/>
    </xf>
    <xf numFmtId="0" fontId="11" fillId="9" borderId="122" applyNumberFormat="0" applyFont="0" applyAlignment="0" applyProtection="0"/>
    <xf numFmtId="4" fontId="71" fillId="9" borderId="130" applyNumberFormat="0" applyProtection="0">
      <alignment horizontal="left" vertical="center" indent="1"/>
    </xf>
    <xf numFmtId="0" fontId="64" fillId="0" borderId="116" applyNumberFormat="0" applyFill="0" applyAlignment="0" applyProtection="0"/>
    <xf numFmtId="4" fontId="97" fillId="0" borderId="127" applyBorder="0">
      <alignment horizontal="right" wrapText="1"/>
    </xf>
    <xf numFmtId="4" fontId="151" fillId="9" borderId="130" applyNumberFormat="0" applyProtection="0">
      <alignment vertical="center"/>
    </xf>
    <xf numFmtId="0" fontId="11" fillId="9" borderId="136" applyNumberFormat="0" applyFont="0" applyAlignment="0" applyProtection="0"/>
    <xf numFmtId="4" fontId="72" fillId="0" borderId="134" applyFont="0" applyFill="0" applyBorder="0" applyAlignment="0">
      <alignment horizontal="center" vertical="center"/>
    </xf>
    <xf numFmtId="0" fontId="11" fillId="22" borderId="130" applyNumberFormat="0" applyProtection="0">
      <alignment horizontal="left" vertical="center" indent="1"/>
    </xf>
    <xf numFmtId="0" fontId="28" fillId="5" borderId="121" applyNumberFormat="0" applyAlignment="0" applyProtection="0"/>
    <xf numFmtId="4" fontId="71" fillId="17" borderId="130" applyNumberFormat="0" applyProtection="0">
      <alignment horizontal="right" vertical="center"/>
    </xf>
    <xf numFmtId="0" fontId="99" fillId="2" borderId="130" applyNumberFormat="0" applyProtection="0">
      <alignment horizontal="left" vertical="top" indent="1"/>
    </xf>
    <xf numFmtId="4" fontId="72" fillId="0" borderId="134" applyFont="0" applyFill="0" applyBorder="0" applyAlignment="0">
      <alignment horizontal="center" vertical="center"/>
    </xf>
    <xf numFmtId="0" fontId="11" fillId="9" borderId="122" applyNumberFormat="0" applyFont="0" applyAlignment="0" applyProtection="0"/>
    <xf numFmtId="0" fontId="11" fillId="69" borderId="130" applyNumberFormat="0" applyProtection="0">
      <alignment horizontal="left" vertical="center" indent="1"/>
    </xf>
    <xf numFmtId="0" fontId="11" fillId="72" borderId="130" applyNumberFormat="0" applyProtection="0">
      <alignment horizontal="left" vertical="center" indent="1"/>
    </xf>
    <xf numFmtId="0" fontId="11" fillId="9" borderId="122" applyNumberFormat="0" applyFont="0" applyAlignment="0" applyProtection="0"/>
    <xf numFmtId="0" fontId="11" fillId="9" borderId="122" applyNumberFormat="0" applyFont="0" applyAlignment="0" applyProtection="0"/>
    <xf numFmtId="4" fontId="11" fillId="0" borderId="126" applyNumberFormat="0" applyProtection="0">
      <alignment horizontal="right" vertical="center"/>
    </xf>
    <xf numFmtId="0" fontId="28" fillId="5" borderId="121" applyNumberFormat="0" applyAlignment="0" applyProtection="0"/>
    <xf numFmtId="0" fontId="11" fillId="9" borderId="122" applyNumberFormat="0" applyFont="0" applyAlignment="0" applyProtection="0"/>
    <xf numFmtId="0" fontId="29" fillId="14" borderId="123" applyNumberFormat="0" applyAlignment="0" applyProtection="0"/>
    <xf numFmtId="0" fontId="35" fillId="0" borderId="124" applyNumberFormat="0" applyFill="0" applyAlignment="0" applyProtection="0"/>
    <xf numFmtId="0" fontId="11" fillId="3" borderId="126" applyNumberFormat="0">
      <protection locked="0"/>
    </xf>
    <xf numFmtId="0" fontId="30" fillId="14" borderId="121" applyNumberFormat="0" applyAlignment="0" applyProtection="0"/>
    <xf numFmtId="0" fontId="28" fillId="5" borderId="121" applyNumberFormat="0" applyAlignment="0" applyProtection="0"/>
    <xf numFmtId="0" fontId="11" fillId="9" borderId="122" applyNumberFormat="0" applyFont="0" applyAlignment="0" applyProtection="0"/>
    <xf numFmtId="0" fontId="29" fillId="14" borderId="123" applyNumberFormat="0" applyAlignment="0" applyProtection="0"/>
    <xf numFmtId="0" fontId="35" fillId="0" borderId="124" applyNumberFormat="0" applyFill="0" applyAlignment="0" applyProtection="0"/>
    <xf numFmtId="239" fontId="17" fillId="0" borderId="140" applyFont="0" applyFill="0" applyBorder="0" applyAlignment="0" applyProtection="0"/>
    <xf numFmtId="1" fontId="82" fillId="37" borderId="139" applyNumberFormat="0" applyBorder="0" applyAlignment="0">
      <alignment horizontal="centerContinuous" vertical="center"/>
      <protection locked="0"/>
    </xf>
    <xf numFmtId="0" fontId="11" fillId="72" borderId="144" applyNumberFormat="0" applyProtection="0">
      <alignment horizontal="left" vertical="center" indent="1"/>
    </xf>
    <xf numFmtId="0" fontId="127" fillId="72" borderId="144" applyNumberFormat="0" applyProtection="0">
      <alignment horizontal="left" vertical="center" indent="1"/>
    </xf>
    <xf numFmtId="49" fontId="48" fillId="0" borderId="143">
      <protection locked="0"/>
    </xf>
    <xf numFmtId="0" fontId="11" fillId="9" borderId="122" applyNumberFormat="0" applyFont="0" applyAlignment="0" applyProtection="0"/>
    <xf numFmtId="0" fontId="11" fillId="9" borderId="122" applyNumberFormat="0" applyFont="0" applyAlignment="0" applyProtection="0"/>
    <xf numFmtId="0" fontId="28" fillId="5" borderId="135" applyNumberFormat="0" applyAlignment="0" applyProtection="0"/>
    <xf numFmtId="0" fontId="28" fillId="5" borderId="135" applyNumberFormat="0" applyAlignment="0" applyProtection="0"/>
    <xf numFmtId="0" fontId="30" fillId="14" borderId="135" applyNumberFormat="0" applyAlignment="0" applyProtection="0"/>
    <xf numFmtId="49" fontId="48" fillId="0" borderId="140">
      <alignment vertical="top"/>
      <protection locked="0"/>
    </xf>
    <xf numFmtId="191" fontId="38" fillId="0" borderId="142"/>
    <xf numFmtId="0" fontId="28" fillId="5" borderId="135" applyNumberFormat="0" applyAlignment="0" applyProtection="0"/>
    <xf numFmtId="0" fontId="11" fillId="9" borderId="136" applyNumberFormat="0" applyFont="0" applyAlignment="0" applyProtection="0"/>
    <xf numFmtId="0" fontId="29" fillId="14" borderId="137" applyNumberFormat="0" applyAlignment="0" applyProtection="0"/>
    <xf numFmtId="0" fontId="35" fillId="0" borderId="138" applyNumberFormat="0" applyFill="0" applyAlignment="0" applyProtection="0"/>
    <xf numFmtId="0" fontId="28" fillId="5" borderId="135" applyNumberFormat="0" applyAlignment="0" applyProtection="0"/>
    <xf numFmtId="4" fontId="149" fillId="2" borderId="144" applyNumberFormat="0" applyProtection="0">
      <alignment vertical="center"/>
    </xf>
    <xf numFmtId="4" fontId="71" fillId="69" borderId="144" applyNumberFormat="0" applyProtection="0">
      <alignment horizontal="left" vertical="center" indent="1"/>
    </xf>
    <xf numFmtId="4" fontId="71" fillId="29" borderId="144" applyNumberFormat="0" applyProtection="0">
      <alignment horizontal="right" vertical="center"/>
    </xf>
    <xf numFmtId="239" fontId="17" fillId="0" borderId="140" applyFont="0" applyFill="0" applyBorder="0" applyAlignment="0" applyProtection="0"/>
    <xf numFmtId="4" fontId="20" fillId="72" borderId="144" applyNumberFormat="0" applyProtection="0">
      <alignment horizontal="right" vertical="center"/>
    </xf>
    <xf numFmtId="4" fontId="71" fillId="7" borderId="144" applyNumberFormat="0" applyProtection="0">
      <alignment horizontal="right" vertical="center"/>
    </xf>
    <xf numFmtId="0" fontId="11" fillId="72" borderId="144" applyNumberFormat="0" applyProtection="0">
      <alignment horizontal="left" vertical="center" indent="1"/>
    </xf>
    <xf numFmtId="0" fontId="28" fillId="5" borderId="135" applyNumberFormat="0" applyAlignment="0" applyProtection="0"/>
    <xf numFmtId="4" fontId="71" fillId="16" borderId="144" applyNumberFormat="0" applyProtection="0">
      <alignment horizontal="right" vertical="center"/>
    </xf>
    <xf numFmtId="0" fontId="11" fillId="15" borderId="144" applyNumberFormat="0" applyProtection="0">
      <alignment horizontal="left" vertical="center" indent="1"/>
    </xf>
    <xf numFmtId="1" fontId="82" fillId="37" borderId="139" applyNumberFormat="0" applyBorder="0" applyAlignment="0">
      <alignment horizontal="centerContinuous" vertical="center"/>
      <protection locked="0"/>
    </xf>
    <xf numFmtId="0" fontId="11" fillId="69" borderId="144" applyNumberFormat="0" applyProtection="0">
      <alignment horizontal="left" vertical="center" indent="1"/>
    </xf>
    <xf numFmtId="0" fontId="11" fillId="9" borderId="136" applyNumberFormat="0" applyFont="0" applyAlignment="0" applyProtection="0"/>
    <xf numFmtId="4" fontId="71" fillId="9" borderId="144" applyNumberFormat="0" applyProtection="0">
      <alignment vertical="center"/>
    </xf>
    <xf numFmtId="4" fontId="99" fillId="2" borderId="144" applyNumberFormat="0" applyProtection="0">
      <alignment vertical="center"/>
    </xf>
    <xf numFmtId="4" fontId="71" fillId="16" borderId="144" applyNumberFormat="0" applyProtection="0">
      <alignment horizontal="right" vertical="center"/>
    </xf>
    <xf numFmtId="0" fontId="11" fillId="9" borderId="136" applyNumberFormat="0" applyFont="0" applyAlignment="0" applyProtection="0"/>
    <xf numFmtId="4" fontId="71" fillId="69" borderId="144" applyNumberFormat="0" applyProtection="0">
      <alignment horizontal="right" vertical="center"/>
    </xf>
    <xf numFmtId="4" fontId="71" fillId="8" borderId="144" applyNumberFormat="0" applyProtection="0">
      <alignment horizontal="right" vertical="center"/>
    </xf>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28" fillId="5" borderId="135" applyNumberFormat="0" applyAlignment="0" applyProtection="0"/>
    <xf numFmtId="0" fontId="11" fillId="9" borderId="136" applyNumberFormat="0" applyFont="0" applyAlignment="0" applyProtection="0"/>
    <xf numFmtId="0" fontId="11" fillId="15" borderId="144" applyNumberFormat="0" applyProtection="0">
      <alignment horizontal="left" vertical="top" indent="1"/>
    </xf>
    <xf numFmtId="4" fontId="71" fillId="17" borderId="144" applyNumberFormat="0" applyProtection="0">
      <alignment horizontal="right" vertical="center"/>
    </xf>
    <xf numFmtId="4" fontId="71" fillId="29" borderId="144" applyNumberFormat="0" applyProtection="0">
      <alignment horizontal="right" vertical="center"/>
    </xf>
    <xf numFmtId="4" fontId="71" fillId="70" borderId="144" applyNumberFormat="0" applyProtection="0">
      <alignment horizontal="right" vertical="center"/>
    </xf>
    <xf numFmtId="0" fontId="28" fillId="5" borderId="135" applyNumberFormat="0" applyAlignment="0" applyProtection="0"/>
    <xf numFmtId="0" fontId="28" fillId="5" borderId="135" applyNumberFormat="0" applyAlignment="0" applyProtection="0"/>
    <xf numFmtId="239" fontId="17" fillId="0" borderId="140" applyFont="0" applyFill="0" applyBorder="0" applyAlignment="0" applyProtection="0"/>
    <xf numFmtId="4" fontId="71" fillId="72" borderId="144" applyNumberFormat="0" applyProtection="0">
      <alignment horizontal="right" vertical="center"/>
    </xf>
    <xf numFmtId="0" fontId="11" fillId="72" borderId="144" applyNumberFormat="0" applyProtection="0">
      <alignment horizontal="left" vertical="center" indent="1"/>
    </xf>
    <xf numFmtId="4" fontId="71" fillId="7" borderId="144" applyNumberFormat="0" applyProtection="0">
      <alignment horizontal="right" vertical="center"/>
    </xf>
    <xf numFmtId="4" fontId="71" fillId="44" borderId="140" applyNumberFormat="0" applyProtection="0">
      <alignment horizontal="right" vertical="center"/>
    </xf>
    <xf numFmtId="0" fontId="11" fillId="22" borderId="144" applyNumberFormat="0" applyProtection="0">
      <alignment horizontal="left" vertical="top" indent="1"/>
    </xf>
    <xf numFmtId="4" fontId="151" fillId="72" borderId="144" applyNumberFormat="0" applyProtection="0">
      <alignment horizontal="right" vertical="center"/>
    </xf>
    <xf numFmtId="0" fontId="11" fillId="9" borderId="136" applyNumberFormat="0" applyFont="0" applyAlignment="0" applyProtection="0"/>
    <xf numFmtId="0" fontId="11" fillId="72" borderId="144" applyNumberFormat="0" applyProtection="0">
      <alignment horizontal="left" vertical="center" indent="1"/>
    </xf>
    <xf numFmtId="0" fontId="28" fillId="5" borderId="135" applyNumberFormat="0" applyAlignment="0" applyProtection="0"/>
    <xf numFmtId="0" fontId="11" fillId="72" borderId="144" applyNumberFormat="0" applyProtection="0">
      <alignment horizontal="left" vertical="center" indent="1"/>
    </xf>
    <xf numFmtId="4" fontId="151" fillId="72" borderId="144" applyNumberFormat="0" applyProtection="0">
      <alignment horizontal="right" vertical="center"/>
    </xf>
    <xf numFmtId="0" fontId="11" fillId="9" borderId="136" applyNumberFormat="0" applyFont="0" applyAlignment="0" applyProtection="0"/>
    <xf numFmtId="4" fontId="11" fillId="41" borderId="140" applyNumberFormat="0" applyProtection="0">
      <alignment vertical="center"/>
    </xf>
    <xf numFmtId="0" fontId="71" fillId="69" borderId="144" applyNumberFormat="0" applyProtection="0">
      <alignment horizontal="left" vertical="top" indent="1"/>
    </xf>
    <xf numFmtId="4" fontId="71" fillId="23" borderId="144" applyNumberFormat="0" applyProtection="0">
      <alignment horizontal="right" vertical="center"/>
    </xf>
    <xf numFmtId="0" fontId="11" fillId="3" borderId="140" applyNumberFormat="0">
      <protection locked="0"/>
    </xf>
    <xf numFmtId="4" fontId="71" fillId="25" borderId="144" applyNumberFormat="0" applyProtection="0">
      <alignment horizontal="right" vertical="center"/>
    </xf>
    <xf numFmtId="0" fontId="28" fillId="5" borderId="135" applyNumberFormat="0" applyAlignment="0" applyProtection="0"/>
    <xf numFmtId="4" fontId="11" fillId="0" borderId="140" applyNumberFormat="0" applyProtection="0">
      <alignment horizontal="right" vertical="center"/>
    </xf>
    <xf numFmtId="0" fontId="11" fillId="15" borderId="144" applyNumberFormat="0" applyProtection="0">
      <alignment horizontal="left" vertical="center" indent="1"/>
    </xf>
    <xf numFmtId="4" fontId="71" fillId="72" borderId="144" applyNumberFormat="0" applyProtection="0">
      <alignment horizontal="right" vertical="center"/>
    </xf>
    <xf numFmtId="4" fontId="99" fillId="2" borderId="144" applyNumberFormat="0" applyProtection="0">
      <alignment horizontal="left" vertical="center" indent="1"/>
    </xf>
    <xf numFmtId="0" fontId="11" fillId="9" borderId="136" applyNumberFormat="0" applyFont="0" applyAlignment="0" applyProtection="0"/>
    <xf numFmtId="0" fontId="11" fillId="9" borderId="136" applyNumberFormat="0" applyFont="0" applyAlignment="0" applyProtection="0"/>
    <xf numFmtId="0" fontId="11" fillId="22" borderId="144" applyNumberFormat="0" applyProtection="0">
      <alignment horizontal="left" vertical="top" indent="1"/>
    </xf>
    <xf numFmtId="4" fontId="71" fillId="25" borderId="144" applyNumberFormat="0" applyProtection="0">
      <alignment horizontal="right" vertical="center"/>
    </xf>
    <xf numFmtId="4" fontId="71" fillId="9" borderId="144" applyNumberFormat="0" applyProtection="0">
      <alignment horizontal="left" vertical="center" indent="1"/>
    </xf>
    <xf numFmtId="0" fontId="11" fillId="69" borderId="144" applyNumberFormat="0" applyProtection="0">
      <alignment horizontal="left" vertical="center" indent="1"/>
    </xf>
    <xf numFmtId="10" fontId="17" fillId="39" borderId="140" applyNumberFormat="0" applyBorder="0" applyAlignment="0" applyProtection="0"/>
    <xf numFmtId="4" fontId="99" fillId="2" borderId="144" applyNumberFormat="0" applyProtection="0">
      <alignment horizontal="left" vertical="center" indent="1"/>
    </xf>
    <xf numFmtId="0" fontId="11" fillId="9" borderId="136" applyNumberFormat="0" applyFont="0" applyAlignment="0" applyProtection="0"/>
    <xf numFmtId="0" fontId="11" fillId="22" borderId="144" applyNumberFormat="0" applyProtection="0">
      <alignment horizontal="left" vertical="center" indent="1"/>
    </xf>
    <xf numFmtId="238" fontId="48" fillId="0" borderId="143">
      <protection locked="0"/>
    </xf>
    <xf numFmtId="4" fontId="71" fillId="70" borderId="144" applyNumberFormat="0" applyProtection="0">
      <alignment horizontal="right" vertical="center"/>
    </xf>
    <xf numFmtId="0" fontId="11" fillId="9" borderId="136" applyNumberFormat="0" applyFont="0" applyAlignment="0" applyProtection="0"/>
    <xf numFmtId="0" fontId="99" fillId="2" borderId="144" applyNumberFormat="0" applyProtection="0">
      <alignment horizontal="left" vertical="top" indent="1"/>
    </xf>
    <xf numFmtId="4" fontId="71" fillId="9" borderId="144" applyNumberFormat="0" applyProtection="0">
      <alignment vertical="center"/>
    </xf>
    <xf numFmtId="4" fontId="71" fillId="8" borderId="144" applyNumberFormat="0" applyProtection="0">
      <alignment horizontal="right" vertical="center"/>
    </xf>
    <xf numFmtId="4" fontId="71" fillId="27" borderId="144" applyNumberFormat="0" applyProtection="0">
      <alignment horizontal="right" vertical="center"/>
    </xf>
    <xf numFmtId="0" fontId="11" fillId="9" borderId="136" applyNumberFormat="0" applyFont="0" applyAlignment="0" applyProtection="0"/>
    <xf numFmtId="4" fontId="71" fillId="9" borderId="144" applyNumberFormat="0" applyProtection="0">
      <alignment horizontal="left" vertical="center" indent="1"/>
    </xf>
    <xf numFmtId="4" fontId="97" fillId="0" borderId="141" applyBorder="0">
      <alignment horizontal="right" wrapText="1"/>
    </xf>
    <xf numFmtId="4" fontId="151" fillId="9" borderId="144" applyNumberFormat="0" applyProtection="0">
      <alignment vertical="center"/>
    </xf>
    <xf numFmtId="0" fontId="11" fillId="22" borderId="144" applyNumberFormat="0" applyProtection="0">
      <alignment horizontal="left" vertical="center" indent="1"/>
    </xf>
    <xf numFmtId="0" fontId="28" fillId="5" borderId="135" applyNumberFormat="0" applyAlignment="0" applyProtection="0"/>
    <xf numFmtId="4" fontId="71" fillId="17" borderId="144" applyNumberFormat="0" applyProtection="0">
      <alignment horizontal="right" vertical="center"/>
    </xf>
    <xf numFmtId="0" fontId="99" fillId="2" borderId="144" applyNumberFormat="0" applyProtection="0">
      <alignment horizontal="left" vertical="top" indent="1"/>
    </xf>
    <xf numFmtId="0" fontId="11" fillId="9" borderId="136" applyNumberFormat="0" applyFont="0" applyAlignment="0" applyProtection="0"/>
    <xf numFmtId="0" fontId="11" fillId="69" borderId="144" applyNumberFormat="0" applyProtection="0">
      <alignment horizontal="left" vertical="center" indent="1"/>
    </xf>
    <xf numFmtId="0" fontId="11" fillId="72" borderId="144" applyNumberFormat="0" applyProtection="0">
      <alignment horizontal="left" vertical="center" indent="1"/>
    </xf>
    <xf numFmtId="0" fontId="11" fillId="9" borderId="136" applyNumberFormat="0" applyFont="0" applyAlignment="0" applyProtection="0"/>
    <xf numFmtId="0" fontId="11" fillId="9" borderId="136" applyNumberFormat="0" applyFont="0" applyAlignment="0" applyProtection="0"/>
    <xf numFmtId="4" fontId="11" fillId="0" borderId="140" applyNumberFormat="0" applyProtection="0">
      <alignment horizontal="right" vertical="center"/>
    </xf>
    <xf numFmtId="0" fontId="28" fillId="5" borderId="135" applyNumberFormat="0" applyAlignment="0" applyProtection="0"/>
    <xf numFmtId="0" fontId="11" fillId="9" borderId="136" applyNumberFormat="0" applyFont="0" applyAlignment="0" applyProtection="0"/>
    <xf numFmtId="0" fontId="29" fillId="14" borderId="137" applyNumberFormat="0" applyAlignment="0" applyProtection="0"/>
    <xf numFmtId="0" fontId="35" fillId="0" borderId="138" applyNumberFormat="0" applyFill="0" applyAlignment="0" applyProtection="0"/>
    <xf numFmtId="0" fontId="11" fillId="3" borderId="140" applyNumberFormat="0">
      <protection locked="0"/>
    </xf>
    <xf numFmtId="0" fontId="30" fillId="14" borderId="135" applyNumberFormat="0" applyAlignment="0" applyProtection="0"/>
    <xf numFmtId="0" fontId="28" fillId="5" borderId="135" applyNumberFormat="0" applyAlignment="0" applyProtection="0"/>
    <xf numFmtId="0" fontId="11" fillId="9" borderId="136" applyNumberFormat="0" applyFont="0" applyAlignment="0" applyProtection="0"/>
    <xf numFmtId="0" fontId="29" fillId="14" borderId="137" applyNumberFormat="0" applyAlignment="0" applyProtection="0"/>
    <xf numFmtId="0" fontId="35" fillId="0" borderId="138" applyNumberFormat="0" applyFill="0" applyAlignment="0" applyProtection="0"/>
    <xf numFmtId="0" fontId="131" fillId="3" borderId="135" applyNumberFormat="0" applyAlignment="0" applyProtection="0"/>
    <xf numFmtId="0" fontId="43" fillId="12"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203" fontId="48" fillId="0" borderId="140">
      <protection locked="0"/>
    </xf>
    <xf numFmtId="0" fontId="135" fillId="2"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28"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1" fillId="9" borderId="136" applyNumberFormat="0" applyFont="0" applyAlignment="0" applyProtection="0"/>
    <xf numFmtId="0" fontId="11" fillId="9" borderId="135" applyNumberFormat="0" applyFont="0" applyAlignment="0" applyProtection="0"/>
    <xf numFmtId="0" fontId="60" fillId="12" borderId="137" applyNumberFormat="0" applyAlignment="0" applyProtection="0"/>
    <xf numFmtId="0" fontId="158" fillId="0" borderId="0"/>
    <xf numFmtId="0" fontId="158" fillId="0" borderId="0"/>
    <xf numFmtId="0" fontId="158" fillId="0" borderId="0"/>
    <xf numFmtId="0" fontId="158" fillId="0" borderId="0"/>
    <xf numFmtId="0" fontId="158" fillId="0" borderId="0"/>
    <xf numFmtId="0" fontId="158" fillId="0" borderId="0"/>
    <xf numFmtId="0" fontId="146" fillId="0" borderId="0"/>
    <xf numFmtId="164" fontId="146" fillId="0" borderId="0" applyFont="0" applyFill="0" applyBorder="0" applyAlignment="0" applyProtection="0"/>
    <xf numFmtId="9" fontId="146" fillId="0" borderId="0" applyFont="0" applyFill="0" applyBorder="0" applyAlignment="0" applyProtection="0"/>
    <xf numFmtId="244" fontId="11" fillId="0" borderId="0" applyFont="0" applyFill="0" applyBorder="0" applyAlignment="0" applyProtection="0"/>
    <xf numFmtId="0" fontId="6" fillId="0" borderId="0"/>
    <xf numFmtId="9" fontId="6" fillId="0" borderId="0" applyFont="0" applyFill="0" applyBorder="0" applyAlignment="0" applyProtection="0"/>
    <xf numFmtId="246" fontId="11" fillId="0" borderId="0" applyFont="0" applyFill="0" applyBorder="0" applyAlignment="0" applyProtection="0"/>
    <xf numFmtId="0" fontId="146" fillId="0" borderId="0"/>
    <xf numFmtId="0" fontId="159" fillId="72" borderId="144" applyNumberFormat="0" applyProtection="0">
      <alignment horizontal="left" vertical="center" indent="1"/>
    </xf>
    <xf numFmtId="43" fontId="1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42" fillId="74" borderId="0" applyNumberFormat="0" applyBorder="0" applyAlignment="0" applyProtection="0"/>
    <xf numFmtId="0" fontId="142" fillId="74" borderId="0" applyNumberFormat="0" applyBorder="0" applyAlignment="0" applyProtection="0"/>
    <xf numFmtId="0" fontId="142" fillId="77" borderId="0" applyNumberFormat="0" applyBorder="0" applyAlignment="0" applyProtection="0"/>
    <xf numFmtId="0" fontId="142" fillId="77" borderId="0" applyNumberFormat="0" applyBorder="0" applyAlignment="0" applyProtection="0"/>
    <xf numFmtId="0" fontId="142" fillId="80" borderId="0" applyNumberFormat="0" applyBorder="0" applyAlignment="0" applyProtection="0"/>
    <xf numFmtId="0" fontId="142" fillId="80" borderId="0" applyNumberFormat="0" applyBorder="0" applyAlignment="0" applyProtection="0"/>
    <xf numFmtId="0" fontId="142" fillId="83" borderId="0" applyNumberFormat="0" applyBorder="0" applyAlignment="0" applyProtection="0"/>
    <xf numFmtId="0" fontId="142" fillId="83" borderId="0" applyNumberFormat="0" applyBorder="0" applyAlignment="0" applyProtection="0"/>
    <xf numFmtId="0" fontId="142" fillId="86" borderId="0" applyNumberFormat="0" applyBorder="0" applyAlignment="0" applyProtection="0"/>
    <xf numFmtId="0" fontId="142" fillId="86" borderId="0" applyNumberFormat="0" applyBorder="0" applyAlignment="0" applyProtection="0"/>
    <xf numFmtId="0" fontId="142" fillId="89" borderId="0" applyNumberFormat="0" applyBorder="0" applyAlignment="0" applyProtection="0"/>
    <xf numFmtId="0" fontId="142" fillId="89" borderId="0" applyNumberFormat="0" applyBorder="0" applyAlignment="0" applyProtection="0"/>
    <xf numFmtId="0" fontId="142" fillId="75" borderId="0" applyNumberFormat="0" applyBorder="0" applyAlignment="0" applyProtection="0"/>
    <xf numFmtId="0" fontId="142" fillId="75" borderId="0" applyNumberFormat="0" applyBorder="0" applyAlignment="0" applyProtection="0"/>
    <xf numFmtId="0" fontId="142" fillId="78" borderId="0" applyNumberFormat="0" applyBorder="0" applyAlignment="0" applyProtection="0"/>
    <xf numFmtId="0" fontId="142" fillId="78" borderId="0" applyNumberFormat="0" applyBorder="0" applyAlignment="0" applyProtection="0"/>
    <xf numFmtId="0" fontId="142" fillId="81" borderId="0" applyNumberFormat="0" applyBorder="0" applyAlignment="0" applyProtection="0"/>
    <xf numFmtId="0" fontId="142" fillId="81" borderId="0" applyNumberFormat="0" applyBorder="0" applyAlignment="0" applyProtection="0"/>
    <xf numFmtId="0" fontId="142" fillId="84" borderId="0" applyNumberFormat="0" applyBorder="0" applyAlignment="0" applyProtection="0"/>
    <xf numFmtId="0" fontId="142" fillId="84" borderId="0" applyNumberFormat="0" applyBorder="0" applyAlignment="0" applyProtection="0"/>
    <xf numFmtId="0" fontId="142" fillId="87" borderId="0" applyNumberFormat="0" applyBorder="0" applyAlignment="0" applyProtection="0"/>
    <xf numFmtId="0" fontId="142" fillId="87"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60" fillId="76" borderId="0" applyNumberFormat="0" applyBorder="0" applyAlignment="0" applyProtection="0"/>
    <xf numFmtId="0" fontId="160" fillId="76" borderId="0" applyNumberFormat="0" applyBorder="0" applyAlignment="0" applyProtection="0"/>
    <xf numFmtId="0" fontId="160" fillId="79" borderId="0" applyNumberFormat="0" applyBorder="0" applyAlignment="0" applyProtection="0"/>
    <xf numFmtId="0" fontId="160" fillId="79" borderId="0" applyNumberFormat="0" applyBorder="0" applyAlignment="0" applyProtection="0"/>
    <xf numFmtId="0" fontId="160" fillId="82" borderId="0" applyNumberFormat="0" applyBorder="0" applyAlignment="0" applyProtection="0"/>
    <xf numFmtId="0" fontId="160" fillId="82" borderId="0" applyNumberFormat="0" applyBorder="0" applyAlignment="0" applyProtection="0"/>
    <xf numFmtId="0" fontId="160" fillId="85" borderId="0" applyNumberFormat="0" applyBorder="0" applyAlignment="0" applyProtection="0"/>
    <xf numFmtId="0" fontId="160" fillId="85" borderId="0" applyNumberFormat="0" applyBorder="0" applyAlignment="0" applyProtection="0"/>
    <xf numFmtId="0" fontId="160" fillId="88" borderId="0" applyNumberFormat="0" applyBorder="0" applyAlignment="0" applyProtection="0"/>
    <xf numFmtId="0" fontId="160" fillId="88" borderId="0" applyNumberFormat="0" applyBorder="0" applyAlignment="0" applyProtection="0"/>
    <xf numFmtId="0" fontId="160" fillId="91" borderId="0" applyNumberFormat="0" applyBorder="0" applyAlignment="0" applyProtection="0"/>
    <xf numFmtId="0" fontId="160" fillId="91" borderId="0" applyNumberFormat="0" applyBorder="0" applyAlignment="0" applyProtection="0"/>
    <xf numFmtId="256" fontId="11" fillId="0" borderId="0" applyFont="0" applyFill="0" applyBorder="0" applyAlignment="0" applyProtection="0"/>
    <xf numFmtId="256" fontId="11" fillId="0" borderId="0" applyFont="0" applyFill="0" applyBorder="0" applyAlignment="0" applyProtection="0"/>
    <xf numFmtId="164" fontId="146" fillId="0" borderId="0" applyFont="0" applyFill="0" applyBorder="0" applyAlignment="0" applyProtection="0"/>
    <xf numFmtId="43" fontId="11" fillId="0" borderId="0" applyFont="0" applyFill="0" applyBorder="0" applyAlignment="0" applyProtection="0"/>
    <xf numFmtId="245" fontId="146" fillId="0" borderId="0" applyFont="0" applyFill="0" applyBorder="0" applyAlignment="0" applyProtection="0"/>
    <xf numFmtId="257" fontId="11" fillId="0" borderId="0" applyFont="0" applyFill="0" applyBorder="0" applyAlignment="0" applyProtection="0"/>
    <xf numFmtId="257" fontId="11" fillId="0" borderId="0" applyFont="0" applyFill="0" applyBorder="0" applyAlignment="0" applyProtection="0"/>
    <xf numFmtId="244" fontId="146" fillId="0" borderId="0" applyFont="0" applyFill="0" applyBorder="0" applyAlignment="0" applyProtection="0"/>
    <xf numFmtId="258" fontId="11"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46" fillId="0" borderId="0"/>
    <xf numFmtId="0" fontId="146" fillId="0" borderId="0"/>
    <xf numFmtId="0" fontId="11" fillId="64" borderId="136" applyNumberFormat="0" applyFont="0" applyAlignment="0" applyProtection="0"/>
    <xf numFmtId="0" fontId="11" fillId="64" borderId="136" applyNumberFormat="0" applyFont="0" applyAlignment="0" applyProtection="0"/>
    <xf numFmtId="4" fontId="162" fillId="2" borderId="144" applyNumberFormat="0" applyProtection="0">
      <alignment vertical="center"/>
    </xf>
    <xf numFmtId="4" fontId="162" fillId="2" borderId="144" applyNumberFormat="0" applyProtection="0">
      <alignment horizontal="left" vertical="center" indent="1"/>
    </xf>
    <xf numFmtId="4" fontId="162" fillId="69" borderId="0" applyNumberFormat="0" applyProtection="0">
      <alignment horizontal="left" vertical="center" wrapText="1" indent="1"/>
    </xf>
    <xf numFmtId="4" fontId="163"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163" fillId="72" borderId="144" applyNumberFormat="0" applyProtection="0">
      <alignment horizontal="right" vertical="center"/>
    </xf>
    <xf numFmtId="4" fontId="163" fillId="69" borderId="144" applyNumberFormat="0" applyProtection="0">
      <alignment horizontal="left" vertical="center" indent="1"/>
    </xf>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165" fillId="0" borderId="0"/>
    <xf numFmtId="0" fontId="168" fillId="0" borderId="0" applyNumberFormat="0" applyFill="0" applyBorder="0" applyAlignment="0" applyProtection="0"/>
    <xf numFmtId="0" fontId="169" fillId="0" borderId="150" applyNumberFormat="0" applyFill="0" applyAlignment="0" applyProtection="0"/>
    <xf numFmtId="0" fontId="170" fillId="0" borderId="151" applyNumberFormat="0" applyFill="0" applyAlignment="0" applyProtection="0"/>
    <xf numFmtId="0" fontId="171" fillId="0" borderId="152" applyNumberFormat="0" applyFill="0" applyAlignment="0" applyProtection="0"/>
    <xf numFmtId="0" fontId="171" fillId="0" borderId="0" applyNumberFormat="0" applyFill="0" applyBorder="0" applyAlignment="0" applyProtection="0"/>
    <xf numFmtId="0" fontId="172" fillId="92" borderId="0" applyNumberFormat="0" applyBorder="0" applyAlignment="0" applyProtection="0"/>
    <xf numFmtId="0" fontId="173" fillId="93" borderId="0" applyNumberFormat="0" applyBorder="0" applyAlignment="0" applyProtection="0"/>
    <xf numFmtId="0" fontId="174" fillId="94" borderId="0" applyNumberFormat="0" applyBorder="0" applyAlignment="0" applyProtection="0"/>
    <xf numFmtId="0" fontId="175" fillId="95" borderId="153" applyNumberFormat="0" applyAlignment="0" applyProtection="0"/>
    <xf numFmtId="0" fontId="176" fillId="96" borderId="154" applyNumberFormat="0" applyAlignment="0" applyProtection="0"/>
    <xf numFmtId="0" fontId="177" fillId="96" borderId="153" applyNumberFormat="0" applyAlignment="0" applyProtection="0"/>
    <xf numFmtId="0" fontId="178" fillId="0" borderId="155" applyNumberFormat="0" applyFill="0" applyAlignment="0" applyProtection="0"/>
    <xf numFmtId="0" fontId="179" fillId="97" borderId="156"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0" borderId="157" applyNumberFormat="0" applyFill="0" applyAlignment="0" applyProtection="0"/>
    <xf numFmtId="0" fontId="183" fillId="98"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83" fillId="76" borderId="0" applyNumberFormat="0" applyBorder="0" applyAlignment="0" applyProtection="0"/>
    <xf numFmtId="0" fontId="183" fillId="9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83" fillId="79" borderId="0" applyNumberFormat="0" applyBorder="0" applyAlignment="0" applyProtection="0"/>
    <xf numFmtId="0" fontId="183" fillId="10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83" fillId="82" borderId="0" applyNumberFormat="0" applyBorder="0" applyAlignment="0" applyProtection="0"/>
    <xf numFmtId="0" fontId="183" fillId="101"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83" fillId="85" borderId="0" applyNumberFormat="0" applyBorder="0" applyAlignment="0" applyProtection="0"/>
    <xf numFmtId="0" fontId="183" fillId="102"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83" fillId="88" borderId="0" applyNumberFormat="0" applyBorder="0" applyAlignment="0" applyProtection="0"/>
    <xf numFmtId="0" fontId="183" fillId="103" borderId="0" applyNumberFormat="0" applyBorder="0" applyAlignment="0" applyProtection="0"/>
    <xf numFmtId="0" fontId="4" fillId="89" borderId="0" applyNumberFormat="0" applyBorder="0" applyAlignment="0" applyProtection="0"/>
    <xf numFmtId="0" fontId="4" fillId="90" borderId="0" applyNumberFormat="0" applyBorder="0" applyAlignment="0" applyProtection="0"/>
    <xf numFmtId="0" fontId="183" fillId="91" borderId="0" applyNumberFormat="0" applyBorder="0" applyAlignment="0" applyProtection="0"/>
    <xf numFmtId="0" fontId="4" fillId="0" borderId="0"/>
    <xf numFmtId="0" fontId="4" fillId="0" borderId="0"/>
    <xf numFmtId="0" fontId="71" fillId="0" borderId="0">
      <alignment vertical="top"/>
    </xf>
    <xf numFmtId="0" fontId="4" fillId="0" borderId="0"/>
    <xf numFmtId="0" fontId="4" fillId="55" borderId="47" applyNumberFormat="0" applyFont="0" applyAlignment="0" applyProtection="0"/>
    <xf numFmtId="0" fontId="11" fillId="0" borderId="0"/>
    <xf numFmtId="0" fontId="37" fillId="4" borderId="0" applyNumberFormat="0" applyBorder="0" applyAlignment="0" applyProtection="0"/>
    <xf numFmtId="0" fontId="4" fillId="74" borderId="0" applyNumberFormat="0" applyBorder="0" applyAlignment="0" applyProtection="0"/>
    <xf numFmtId="0" fontId="142" fillId="5"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4" fillId="77"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4" fillId="80" borderId="0" applyNumberFormat="0" applyBorder="0" applyAlignment="0" applyProtection="0"/>
    <xf numFmtId="0" fontId="37" fillId="11" borderId="0" applyNumberFormat="0" applyBorder="0" applyAlignment="0" applyProtection="0"/>
    <xf numFmtId="0" fontId="4" fillId="83" borderId="0" applyNumberFormat="0" applyBorder="0" applyAlignment="0" applyProtection="0"/>
    <xf numFmtId="0" fontId="37" fillId="13" borderId="0" applyNumberFormat="0" applyBorder="0" applyAlignment="0" applyProtection="0"/>
    <xf numFmtId="0" fontId="4" fillId="86"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4" fillId="89" borderId="0" applyNumberFormat="0" applyBorder="0" applyAlignment="0" applyProtection="0"/>
    <xf numFmtId="0" fontId="37" fillId="15" borderId="0" applyNumberFormat="0" applyBorder="0" applyAlignment="0" applyProtection="0"/>
    <xf numFmtId="0" fontId="4" fillId="75"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 fillId="78" borderId="0" applyNumberFormat="0" applyBorder="0" applyAlignment="0" applyProtection="0"/>
    <xf numFmtId="0" fontId="37" fillId="16" borderId="0" applyNumberFormat="0" applyBorder="0" applyAlignment="0" applyProtection="0"/>
    <xf numFmtId="0" fontId="4" fillId="81" borderId="0" applyNumberFormat="0" applyBorder="0" applyAlignment="0" applyProtection="0"/>
    <xf numFmtId="0" fontId="37" fillId="11" borderId="0" applyNumberFormat="0" applyBorder="0" applyAlignment="0" applyProtection="0"/>
    <xf numFmtId="0" fontId="4" fillId="84"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5" borderId="0" applyNumberFormat="0" applyBorder="0" applyAlignment="0" applyProtection="0"/>
    <xf numFmtId="0" fontId="4" fillId="87" borderId="0" applyNumberFormat="0" applyBorder="0" applyAlignment="0" applyProtection="0"/>
    <xf numFmtId="0" fontId="37" fillId="17" borderId="0" applyNumberFormat="0" applyBorder="0" applyAlignment="0" applyProtection="0"/>
    <xf numFmtId="0" fontId="4" fillId="90"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8"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4"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2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2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29" borderId="0" applyNumberFormat="0" applyBorder="0" applyAlignment="0" applyProtection="0"/>
    <xf numFmtId="0" fontId="68" fillId="7" borderId="0" applyNumberFormat="0" applyBorder="0" applyAlignment="0" applyProtection="0"/>
    <xf numFmtId="0" fontId="30" fillId="3" borderId="135" applyNumberFormat="0" applyAlignment="0" applyProtection="0"/>
    <xf numFmtId="0" fontId="30" fillId="3" borderId="135" applyNumberFormat="0" applyAlignment="0" applyProtection="0"/>
    <xf numFmtId="0" fontId="32" fillId="12" borderId="6" applyNumberFormat="0" applyAlignment="0" applyProtection="0"/>
    <xf numFmtId="43" fontId="1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21" fontId="74" fillId="0" borderId="0">
      <protection locked="0"/>
    </xf>
    <xf numFmtId="44" fontId="147" fillId="0" borderId="0" applyFont="0" applyFill="0" applyBorder="0" applyAlignment="0" applyProtection="0"/>
    <xf numFmtId="44" fontId="147" fillId="0" borderId="0" applyFont="0" applyFill="0" applyBorder="0" applyAlignment="0" applyProtection="0"/>
    <xf numFmtId="6" fontId="80" fillId="0" borderId="0">
      <protection locked="0"/>
    </xf>
    <xf numFmtId="9" fontId="4" fillId="0" borderId="0" applyFont="0" applyFill="0" applyBorder="0" applyAlignment="0" applyProtection="0"/>
    <xf numFmtId="0" fontId="4" fillId="0" borderId="0"/>
    <xf numFmtId="0" fontId="34" fillId="0" borderId="0" applyNumberFormat="0" applyFill="0" applyBorder="0" applyAlignment="0" applyProtection="0"/>
    <xf numFmtId="9" fontId="4" fillId="0" borderId="0" applyFont="0" applyFill="0" applyBorder="0" applyAlignment="0" applyProtection="0"/>
    <xf numFmtId="0" fontId="26" fillId="10" borderId="0" applyNumberFormat="0" applyBorder="0" applyAlignment="0" applyProtection="0"/>
    <xf numFmtId="0" fontId="184" fillId="0" borderId="158" applyNumberFormat="0" applyFill="0" applyAlignment="0" applyProtection="0"/>
    <xf numFmtId="0" fontId="184" fillId="0" borderId="158" applyNumberFormat="0" applyFill="0" applyAlignment="0" applyProtection="0"/>
    <xf numFmtId="0" fontId="185" fillId="0" borderId="159" applyNumberFormat="0" applyFill="0" applyAlignment="0" applyProtection="0"/>
    <xf numFmtId="0" fontId="185" fillId="0" borderId="159"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89" fillId="0" borderId="16"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89" fillId="0" borderId="0" applyNumberFormat="0" applyFill="0" applyBorder="0" applyAlignment="0" applyProtection="0"/>
    <xf numFmtId="9" fontId="4" fillId="0" borderId="0" applyFont="0" applyFill="0" applyBorder="0" applyAlignment="0" applyProtection="0"/>
    <xf numFmtId="0" fontId="4" fillId="0" borderId="0"/>
    <xf numFmtId="0" fontId="28" fillId="2" borderId="135" applyNumberFormat="0" applyAlignment="0" applyProtection="0"/>
    <xf numFmtId="0" fontId="28" fillId="2" borderId="135" applyNumberFormat="0" applyAlignment="0" applyProtection="0"/>
    <xf numFmtId="0" fontId="28" fillId="2" borderId="135" applyNumberFormat="0" applyAlignment="0" applyProtection="0"/>
    <xf numFmtId="0" fontId="28" fillId="2" borderId="135" applyNumberFormat="0" applyAlignment="0" applyProtection="0"/>
    <xf numFmtId="0" fontId="31" fillId="0" borderId="21" applyNumberFormat="0" applyFill="0" applyAlignment="0" applyProtection="0"/>
    <xf numFmtId="0" fontId="27" fillId="2" borderId="0" applyNumberFormat="0" applyBorder="0" applyAlignment="0" applyProtection="0"/>
    <xf numFmtId="0" fontId="71" fillId="0" borderId="0"/>
    <xf numFmtId="0" fontId="71" fillId="0" borderId="0"/>
    <xf numFmtId="0" fontId="11" fillId="0" borderId="0"/>
    <xf numFmtId="0" fontId="4" fillId="0" borderId="0"/>
    <xf numFmtId="0" fontId="4" fillId="0" borderId="0"/>
    <xf numFmtId="176" fontId="12" fillId="0" borderId="0"/>
    <xf numFmtId="0" fontId="4" fillId="0" borderId="0"/>
    <xf numFmtId="0" fontId="37" fillId="0" borderId="0"/>
    <xf numFmtId="0" fontId="147" fillId="0" borderId="0"/>
    <xf numFmtId="0" fontId="4" fillId="0" borderId="0"/>
    <xf numFmtId="0" fontId="147" fillId="0" borderId="0"/>
    <xf numFmtId="0" fontId="147" fillId="0" borderId="0"/>
    <xf numFmtId="0" fontId="147" fillId="0" borderId="0"/>
    <xf numFmtId="0" fontId="147" fillId="0" borderId="0"/>
    <xf numFmtId="0" fontId="11" fillId="0" borderId="0"/>
    <xf numFmtId="0" fontId="147" fillId="0" borderId="0"/>
    <xf numFmtId="0" fontId="11" fillId="0" borderId="0"/>
    <xf numFmtId="0" fontId="11" fillId="0" borderId="0"/>
    <xf numFmtId="0" fontId="11" fillId="0" borderId="0"/>
    <xf numFmtId="0" fontId="11" fillId="0" borderId="0"/>
    <xf numFmtId="0" fontId="37" fillId="0" borderId="0"/>
    <xf numFmtId="0" fontId="4" fillId="0" borderId="0"/>
    <xf numFmtId="0" fontId="37" fillId="0" borderId="0"/>
    <xf numFmtId="0" fontId="4" fillId="0" borderId="0"/>
    <xf numFmtId="0" fontId="11" fillId="2" borderId="136" applyNumberFormat="0" applyFont="0" applyAlignment="0" applyProtection="0"/>
    <xf numFmtId="0" fontId="11" fillId="2" borderId="136" applyNumberFormat="0" applyFont="0" applyAlignment="0" applyProtection="0"/>
    <xf numFmtId="0" fontId="37" fillId="9" borderId="136" applyNumberFormat="0" applyFont="0" applyAlignment="0" applyProtection="0"/>
    <xf numFmtId="0" fontId="4" fillId="55" borderId="47" applyNumberFormat="0" applyFont="0" applyAlignment="0" applyProtection="0"/>
    <xf numFmtId="0" fontId="4" fillId="55" borderId="47" applyNumberFormat="0" applyFont="0" applyAlignment="0" applyProtection="0"/>
    <xf numFmtId="0" fontId="29" fillId="3" borderId="137" applyNumberFormat="0" applyAlignment="0" applyProtection="0"/>
    <xf numFmtId="0" fontId="29" fillId="3" borderId="137" applyNumberFormat="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86" fillId="0" borderId="0" applyFont="0" applyFill="0" applyBorder="0" applyAlignment="0" applyProtection="0"/>
    <xf numFmtId="0" fontId="186" fillId="0" borderId="0"/>
    <xf numFmtId="9" fontId="186" fillId="0" borderId="0" applyFont="0" applyFill="0" applyBorder="0" applyAlignment="0" applyProtection="0"/>
    <xf numFmtId="0" fontId="186" fillId="0" borderId="0"/>
    <xf numFmtId="9" fontId="186" fillId="0" borderId="0" applyFont="0" applyFill="0" applyBorder="0" applyAlignment="0" applyProtection="0"/>
    <xf numFmtId="0" fontId="186" fillId="0" borderId="0"/>
    <xf numFmtId="0" fontId="186" fillId="0" borderId="0"/>
    <xf numFmtId="0" fontId="186" fillId="0" borderId="0"/>
    <xf numFmtId="9" fontId="186"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35" fillId="0" borderId="161" applyNumberFormat="0" applyFill="0" applyAlignment="0" applyProtection="0"/>
    <xf numFmtId="0" fontId="35" fillId="0" borderId="161" applyNumberFormat="0" applyFill="0" applyAlignment="0" applyProtection="0"/>
    <xf numFmtId="0" fontId="33" fillId="0" borderId="0" applyNumberFormat="0" applyFill="0" applyBorder="0" applyAlignment="0" applyProtection="0"/>
    <xf numFmtId="0" fontId="4" fillId="0" borderId="0"/>
    <xf numFmtId="0" fontId="186" fillId="0" borderId="0"/>
    <xf numFmtId="0" fontId="4" fillId="0" borderId="0"/>
    <xf numFmtId="0" fontId="11" fillId="0" borderId="0"/>
    <xf numFmtId="0" fontId="11" fillId="0" borderId="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64" fillId="0" borderId="116" applyNumberFormat="0" applyFill="0" applyAlignment="0" applyProtection="0"/>
    <xf numFmtId="0" fontId="131" fillId="3" borderId="135" applyNumberFormat="0" applyAlignment="0" applyProtection="0"/>
    <xf numFmtId="0" fontId="131" fillId="3" borderId="135" applyNumberFormat="0" applyAlignment="0" applyProtection="0"/>
    <xf numFmtId="0" fontId="30" fillId="14" borderId="135" applyNumberFormat="0" applyAlignment="0" applyProtection="0"/>
    <xf numFmtId="0" fontId="30" fillId="14" borderId="135" applyNumberFormat="0" applyAlignment="0" applyProtection="0"/>
    <xf numFmtId="0" fontId="30" fillId="14" borderId="135" applyNumberFormat="0" applyAlignment="0" applyProtection="0"/>
    <xf numFmtId="0" fontId="30" fillId="14" borderId="135" applyNumberFormat="0" applyAlignment="0" applyProtection="0"/>
    <xf numFmtId="0" fontId="30" fillId="14" borderId="135" applyNumberFormat="0" applyAlignment="0" applyProtection="0"/>
    <xf numFmtId="0" fontId="30" fillId="14" borderId="135" applyNumberFormat="0" applyAlignment="0" applyProtection="0"/>
    <xf numFmtId="0" fontId="43" fillId="12" borderId="135" applyNumberFormat="0" applyAlignment="0" applyProtection="0"/>
    <xf numFmtId="0" fontId="43" fillId="12" borderId="135" applyNumberFormat="0" applyAlignment="0" applyProtection="0"/>
    <xf numFmtId="4" fontId="72" fillId="0" borderId="134" applyFont="0" applyFill="0" applyBorder="0" applyAlignment="0">
      <alignment horizontal="center" vertical="center"/>
    </xf>
    <xf numFmtId="4" fontId="72" fillId="0" borderId="134" applyFont="0" applyFill="0" applyBorder="0" applyAlignment="0">
      <alignment horizontal="center" vertical="center"/>
    </xf>
    <xf numFmtId="4" fontId="72" fillId="0" borderId="134" applyFont="0" applyFill="0" applyBorder="0" applyAlignment="0">
      <alignment horizontal="center" vertical="center"/>
    </xf>
    <xf numFmtId="4" fontId="72" fillId="0" borderId="134" applyFont="0" applyFill="0" applyBorder="0" applyAlignment="0">
      <alignment horizontal="center" vertical="center"/>
    </xf>
    <xf numFmtId="4" fontId="72" fillId="0" borderId="134" applyFont="0" applyFill="0" applyBorder="0" applyAlignment="0">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 fontId="82" fillId="37" borderId="139" applyNumberFormat="0" applyBorder="0" applyAlignment="0">
      <alignment horizontal="centerContinuous" vertical="center"/>
      <protection locked="0"/>
    </xf>
    <xf numFmtId="1" fontId="82" fillId="37" borderId="139" applyNumberFormat="0" applyBorder="0" applyAlignment="0">
      <alignment horizontal="centerContinuous" vertical="center"/>
      <protection locked="0"/>
    </xf>
    <xf numFmtId="1" fontId="82" fillId="37" borderId="139" applyNumberFormat="0" applyBorder="0" applyAlignment="0">
      <alignment horizontal="centerContinuous" vertical="center"/>
      <protection locked="0"/>
    </xf>
    <xf numFmtId="1" fontId="82" fillId="37" borderId="139" applyNumberFormat="0" applyBorder="0" applyAlignment="0">
      <alignment horizontal="centerContinuous" vertical="center"/>
      <protection locked="0"/>
    </xf>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10" fontId="17" fillId="39" borderId="140" applyNumberFormat="0" applyBorder="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203" fontId="48" fillId="0" borderId="140">
      <protection locked="0"/>
    </xf>
    <xf numFmtId="0" fontId="135" fillId="2" borderId="135" applyNumberFormat="0" applyAlignment="0" applyProtection="0"/>
    <xf numFmtId="0" fontId="135" fillId="2"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203" fontId="48" fillId="0" borderId="140">
      <protection locked="0"/>
    </xf>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28" fillId="5" borderId="135" applyNumberFormat="0" applyAlignment="0" applyProtection="0"/>
    <xf numFmtId="0" fontId="28"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56" fillId="5" borderId="135" applyNumberFormat="0" applyAlignment="0" applyProtection="0"/>
    <xf numFmtId="0" fontId="3" fillId="0" borderId="0"/>
    <xf numFmtId="0" fontId="3" fillId="0" borderId="0"/>
    <xf numFmtId="0" fontId="3"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9" borderId="136" applyNumberFormat="0" applyFont="0" applyAlignment="0" applyProtection="0"/>
    <xf numFmtId="0" fontId="7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6" applyNumberFormat="0" applyFont="0" applyAlignment="0" applyProtection="0"/>
    <xf numFmtId="0" fontId="11" fillId="9" borderId="135" applyNumberFormat="0" applyFont="0" applyAlignment="0" applyProtection="0"/>
    <xf numFmtId="0" fontId="11" fillId="9" borderId="135" applyNumberFormat="0" applyFont="0" applyAlignment="0" applyProtection="0"/>
    <xf numFmtId="0" fontId="128" fillId="3" borderId="131" applyNumberFormat="0" applyAlignment="0" applyProtection="0"/>
    <xf numFmtId="0" fontId="29" fillId="14" borderId="137" applyNumberFormat="0" applyAlignment="0" applyProtection="0"/>
    <xf numFmtId="0" fontId="29" fillId="14" borderId="137" applyNumberFormat="0" applyAlignment="0" applyProtection="0"/>
    <xf numFmtId="0" fontId="29" fillId="14" borderId="137" applyNumberFormat="0" applyAlignment="0" applyProtection="0"/>
    <xf numFmtId="0" fontId="29" fillId="14" borderId="137" applyNumberFormat="0" applyAlignment="0" applyProtection="0"/>
    <xf numFmtId="0" fontId="29" fillId="14" borderId="137" applyNumberFormat="0" applyAlignment="0" applyProtection="0"/>
    <xf numFmtId="0" fontId="29" fillId="14" borderId="137" applyNumberFormat="0" applyAlignment="0" applyProtection="0"/>
    <xf numFmtId="0" fontId="60" fillId="12" borderId="137" applyNumberFormat="0" applyAlignment="0" applyProtection="0"/>
    <xf numFmtId="0" fontId="60" fillId="12" borderId="1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97" fillId="0" borderId="141" applyBorder="0">
      <alignment horizontal="right" wrapText="1"/>
    </xf>
    <xf numFmtId="4" fontId="97" fillId="0" borderId="141" applyBorder="0">
      <alignment horizontal="right" wrapText="1"/>
    </xf>
    <xf numFmtId="4" fontId="97" fillId="0" borderId="141" applyBorder="0">
      <alignment horizontal="right" wrapText="1"/>
    </xf>
    <xf numFmtId="4" fontId="97" fillId="0" borderId="141" applyBorder="0">
      <alignment horizontal="right" wrapText="1"/>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99" fillId="2" borderId="144" applyNumberFormat="0" applyProtection="0">
      <alignment vertical="center"/>
    </xf>
    <xf numFmtId="4" fontId="99" fillId="2" borderId="144" applyNumberFormat="0" applyProtection="0">
      <alignment vertical="center"/>
    </xf>
    <xf numFmtId="4" fontId="99" fillId="2" borderId="144"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1" fillId="41" borderId="140" applyNumberFormat="0" applyProtection="0">
      <alignment vertical="center"/>
    </xf>
    <xf numFmtId="4" fontId="149" fillId="2" borderId="144" applyNumberFormat="0" applyProtection="0">
      <alignment vertical="center"/>
    </xf>
    <xf numFmtId="4" fontId="149" fillId="2" borderId="144" applyNumberFormat="0" applyProtection="0">
      <alignment vertical="center"/>
    </xf>
    <xf numFmtId="4" fontId="149" fillId="2" borderId="144" applyNumberFormat="0" applyProtection="0">
      <alignment vertical="center"/>
    </xf>
    <xf numFmtId="4" fontId="99" fillId="2" borderId="144" applyNumberFormat="0" applyProtection="0">
      <alignment horizontal="left" vertical="center" indent="1"/>
    </xf>
    <xf numFmtId="4" fontId="99" fillId="2" borderId="144" applyNumberFormat="0" applyProtection="0">
      <alignment horizontal="left" vertical="center" indent="1"/>
    </xf>
    <xf numFmtId="4" fontId="99" fillId="2" borderId="144" applyNumberFormat="0" applyProtection="0">
      <alignment horizontal="left" vertical="center" indent="1"/>
    </xf>
    <xf numFmtId="0" fontId="99" fillId="2" borderId="144" applyNumberFormat="0" applyProtection="0">
      <alignment horizontal="left" vertical="top" indent="1"/>
    </xf>
    <xf numFmtId="0" fontId="99" fillId="2" borderId="144" applyNumberFormat="0" applyProtection="0">
      <alignment horizontal="left" vertical="top" indent="1"/>
    </xf>
    <xf numFmtId="0" fontId="99" fillId="2" borderId="144" applyNumberFormat="0" applyProtection="0">
      <alignment horizontal="left" vertical="top" indent="1"/>
    </xf>
    <xf numFmtId="4" fontId="71" fillId="7" borderId="144" applyNumberFormat="0" applyProtection="0">
      <alignment horizontal="right" vertical="center"/>
    </xf>
    <xf numFmtId="4" fontId="71" fillId="7" borderId="144" applyNumberFormat="0" applyProtection="0">
      <alignment horizontal="right" vertical="center"/>
    </xf>
    <xf numFmtId="4" fontId="71" fillId="7" borderId="144" applyNumberFormat="0" applyProtection="0">
      <alignment horizontal="right" vertical="center"/>
    </xf>
    <xf numFmtId="4" fontId="71" fillId="8" borderId="144" applyNumberFormat="0" applyProtection="0">
      <alignment horizontal="right" vertical="center"/>
    </xf>
    <xf numFmtId="4" fontId="71" fillId="8" borderId="144" applyNumberFormat="0" applyProtection="0">
      <alignment horizontal="right" vertical="center"/>
    </xf>
    <xf numFmtId="4" fontId="71" fillId="8" borderId="144" applyNumberFormat="0" applyProtection="0">
      <alignment horizontal="right" vertical="center"/>
    </xf>
    <xf numFmtId="4" fontId="71" fillId="25" borderId="144" applyNumberFormat="0" applyProtection="0">
      <alignment horizontal="right" vertical="center"/>
    </xf>
    <xf numFmtId="4" fontId="71" fillId="25" borderId="144" applyNumberFormat="0" applyProtection="0">
      <alignment horizontal="right" vertical="center"/>
    </xf>
    <xf numFmtId="4" fontId="71" fillId="25" borderId="144" applyNumberFormat="0" applyProtection="0">
      <alignment horizontal="right" vertical="center"/>
    </xf>
    <xf numFmtId="4" fontId="71" fillId="17" borderId="144" applyNumberFormat="0" applyProtection="0">
      <alignment horizontal="right" vertical="center"/>
    </xf>
    <xf numFmtId="4" fontId="71" fillId="17" borderId="144" applyNumberFormat="0" applyProtection="0">
      <alignment horizontal="right" vertical="center"/>
    </xf>
    <xf numFmtId="4" fontId="71" fillId="17" borderId="144" applyNumberFormat="0" applyProtection="0">
      <alignment horizontal="right" vertical="center"/>
    </xf>
    <xf numFmtId="4" fontId="71" fillId="23" borderId="144" applyNumberFormat="0" applyProtection="0">
      <alignment horizontal="right" vertical="center"/>
    </xf>
    <xf numFmtId="4" fontId="71" fillId="23" borderId="144" applyNumberFormat="0" applyProtection="0">
      <alignment horizontal="right" vertical="center"/>
    </xf>
    <xf numFmtId="4" fontId="71" fillId="23" borderId="144" applyNumberFormat="0" applyProtection="0">
      <alignment horizontal="right" vertical="center"/>
    </xf>
    <xf numFmtId="4" fontId="71" fillId="29" borderId="144" applyNumberFormat="0" applyProtection="0">
      <alignment horizontal="right" vertical="center"/>
    </xf>
    <xf numFmtId="4" fontId="71" fillId="29" borderId="144" applyNumberFormat="0" applyProtection="0">
      <alignment horizontal="right" vertical="center"/>
    </xf>
    <xf numFmtId="4" fontId="71" fillId="29" borderId="144" applyNumberFormat="0" applyProtection="0">
      <alignment horizontal="right" vertical="center"/>
    </xf>
    <xf numFmtId="4" fontId="71" fillId="27" borderId="144" applyNumberFormat="0" applyProtection="0">
      <alignment horizontal="right" vertical="center"/>
    </xf>
    <xf numFmtId="4" fontId="71" fillId="27" borderId="144" applyNumberFormat="0" applyProtection="0">
      <alignment horizontal="right" vertical="center"/>
    </xf>
    <xf numFmtId="4" fontId="71" fillId="27" borderId="144" applyNumberFormat="0" applyProtection="0">
      <alignment horizontal="right" vertical="center"/>
    </xf>
    <xf numFmtId="4" fontId="71" fillId="70" borderId="144" applyNumberFormat="0" applyProtection="0">
      <alignment horizontal="right" vertical="center"/>
    </xf>
    <xf numFmtId="4" fontId="71" fillId="70" borderId="144" applyNumberFormat="0" applyProtection="0">
      <alignment horizontal="right" vertical="center"/>
    </xf>
    <xf numFmtId="4" fontId="71" fillId="70" borderId="144" applyNumberFormat="0" applyProtection="0">
      <alignment horizontal="right" vertical="center"/>
    </xf>
    <xf numFmtId="4" fontId="71" fillId="16" borderId="144" applyNumberFormat="0" applyProtection="0">
      <alignment horizontal="right" vertical="center"/>
    </xf>
    <xf numFmtId="4" fontId="71" fillId="16" borderId="144" applyNumberFormat="0" applyProtection="0">
      <alignment horizontal="right" vertical="center"/>
    </xf>
    <xf numFmtId="4" fontId="71" fillId="16" borderId="144" applyNumberFormat="0" applyProtection="0">
      <alignment horizontal="right" vertical="center"/>
    </xf>
    <xf numFmtId="4" fontId="71" fillId="69" borderId="144" applyNumberFormat="0" applyProtection="0">
      <alignment horizontal="right" vertical="center"/>
    </xf>
    <xf numFmtId="4" fontId="71" fillId="69" borderId="144" applyNumberFormat="0" applyProtection="0">
      <alignment horizontal="right" vertical="center"/>
    </xf>
    <xf numFmtId="4" fontId="71" fillId="69" borderId="144" applyNumberFormat="0" applyProtection="0">
      <alignment horizontal="right" vertical="center"/>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27" fillId="72" borderId="144" applyNumberFormat="0" applyProtection="0">
      <alignment horizontal="left" vertical="center" indent="1"/>
    </xf>
    <xf numFmtId="0" fontId="127" fillId="72" borderId="144" applyNumberFormat="0" applyProtection="0">
      <alignment horizontal="left" vertical="center" indent="1"/>
    </xf>
    <xf numFmtId="0" fontId="127" fillId="72" borderId="144" applyNumberFormat="0" applyProtection="0">
      <alignment horizontal="left" vertical="center"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4" fontId="71" fillId="9" borderId="144" applyNumberFormat="0" applyProtection="0">
      <alignment vertical="center"/>
    </xf>
    <xf numFmtId="4" fontId="71" fillId="9" borderId="144" applyNumberFormat="0" applyProtection="0">
      <alignment vertical="center"/>
    </xf>
    <xf numFmtId="4" fontId="71" fillId="9" borderId="144" applyNumberFormat="0" applyProtection="0">
      <alignment vertical="center"/>
    </xf>
    <xf numFmtId="4" fontId="151" fillId="9" borderId="144" applyNumberFormat="0" applyProtection="0">
      <alignment vertical="center"/>
    </xf>
    <xf numFmtId="4" fontId="151" fillId="9" borderId="144" applyNumberFormat="0" applyProtection="0">
      <alignment vertical="center"/>
    </xf>
    <xf numFmtId="4" fontId="151" fillId="9" borderId="144" applyNumberFormat="0" applyProtection="0">
      <alignment vertical="center"/>
    </xf>
    <xf numFmtId="4" fontId="71" fillId="9" borderId="144" applyNumberFormat="0" applyProtection="0">
      <alignment horizontal="left" vertical="center" indent="1"/>
    </xf>
    <xf numFmtId="4" fontId="71" fillId="9" borderId="144" applyNumberFormat="0" applyProtection="0">
      <alignment horizontal="left" vertical="center" indent="1"/>
    </xf>
    <xf numFmtId="4" fontId="71" fillId="9" borderId="144" applyNumberFormat="0" applyProtection="0">
      <alignment horizontal="left" vertical="center" indent="1"/>
    </xf>
    <xf numFmtId="0" fontId="71" fillId="9" borderId="144" applyNumberFormat="0" applyProtection="0">
      <alignment horizontal="left" vertical="top" indent="1"/>
    </xf>
    <xf numFmtId="0" fontId="71" fillId="9" borderId="144" applyNumberFormat="0" applyProtection="0">
      <alignment horizontal="left" vertical="top" indent="1"/>
    </xf>
    <xf numFmtId="0" fontId="71" fillId="9" borderId="144" applyNumberFormat="0" applyProtection="0">
      <alignment horizontal="left" vertical="top" indent="1"/>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71" fillId="72" borderId="144" applyNumberFormat="0" applyProtection="0">
      <alignment horizontal="right" vertical="center"/>
    </xf>
    <xf numFmtId="4" fontId="71" fillId="72" borderId="144" applyNumberFormat="0" applyProtection="0">
      <alignment horizontal="right" vertical="center"/>
    </xf>
    <xf numFmtId="4" fontId="71" fillId="72" borderId="144"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11" fillId="0" borderId="140"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151" fillId="72" borderId="144" applyNumberFormat="0" applyProtection="0">
      <alignment horizontal="right" vertical="center"/>
    </xf>
    <xf numFmtId="4" fontId="151" fillId="72" borderId="144" applyNumberFormat="0" applyProtection="0">
      <alignment horizontal="right" vertical="center"/>
    </xf>
    <xf numFmtId="4" fontId="151" fillId="72" borderId="144"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71" fillId="44" borderId="140" applyNumberFormat="0" applyProtection="0">
      <alignment horizontal="right" vertical="center"/>
    </xf>
    <xf numFmtId="4" fontId="71" fillId="69" borderId="144" applyNumberFormat="0" applyProtection="0">
      <alignment horizontal="left" vertical="center" indent="1"/>
    </xf>
    <xf numFmtId="4" fontId="71" fillId="69" borderId="144" applyNumberFormat="0" applyProtection="0">
      <alignment horizontal="left" vertical="center" indent="1"/>
    </xf>
    <xf numFmtId="4" fontId="71" fillId="69" borderId="144" applyNumberFormat="0" applyProtection="0">
      <alignment horizontal="left" vertical="center" indent="1"/>
    </xf>
    <xf numFmtId="0" fontId="71" fillId="69" borderId="144" applyNumberFormat="0" applyProtection="0">
      <alignment horizontal="left" vertical="top" indent="1"/>
    </xf>
    <xf numFmtId="0" fontId="71" fillId="69" borderId="144" applyNumberFormat="0" applyProtection="0">
      <alignment horizontal="left" vertical="top" indent="1"/>
    </xf>
    <xf numFmtId="0" fontId="71" fillId="69" borderId="144" applyNumberFormat="0" applyProtection="0">
      <alignment horizontal="left" vertical="top" indent="1"/>
    </xf>
    <xf numFmtId="4" fontId="20" fillId="72" borderId="144" applyNumberFormat="0" applyProtection="0">
      <alignment horizontal="right" vertical="center"/>
    </xf>
    <xf numFmtId="4" fontId="20" fillId="72" borderId="144" applyNumberFormat="0" applyProtection="0">
      <alignment horizontal="right" vertical="center"/>
    </xf>
    <xf numFmtId="4" fontId="20" fillId="72" borderId="144" applyNumberFormat="0" applyProtection="0">
      <alignment horizontal="right" vertical="center"/>
    </xf>
    <xf numFmtId="0" fontId="35" fillId="0" borderId="132" applyNumberFormat="0" applyFill="0" applyAlignment="0" applyProtection="0"/>
    <xf numFmtId="0" fontId="35" fillId="0" borderId="138" applyNumberFormat="0" applyFill="0" applyAlignment="0" applyProtection="0"/>
    <xf numFmtId="0" fontId="35" fillId="0" borderId="138" applyNumberFormat="0" applyFill="0" applyAlignment="0" applyProtection="0"/>
    <xf numFmtId="0" fontId="35" fillId="0" borderId="138" applyNumberFormat="0" applyFill="0" applyAlignment="0" applyProtection="0"/>
    <xf numFmtId="0" fontId="35" fillId="0" borderId="138" applyNumberFormat="0" applyFill="0" applyAlignment="0" applyProtection="0"/>
    <xf numFmtId="0" fontId="35" fillId="0" borderId="138" applyNumberFormat="0" applyFill="0" applyAlignment="0" applyProtection="0"/>
    <xf numFmtId="0" fontId="35" fillId="0" borderId="138" applyNumberFormat="0" applyFill="0" applyAlignment="0" applyProtection="0"/>
    <xf numFmtId="0" fontId="60" fillId="0" borderId="133" applyNumberFormat="0" applyFill="0" applyAlignment="0" applyProtection="0"/>
    <xf numFmtId="191" fontId="38" fillId="0" borderId="142"/>
    <xf numFmtId="191" fontId="38" fillId="0" borderId="142"/>
    <xf numFmtId="191" fontId="38" fillId="0" borderId="142"/>
    <xf numFmtId="191" fontId="38" fillId="0" borderId="142"/>
    <xf numFmtId="236" fontId="48" fillId="0" borderId="143">
      <protection locked="0"/>
    </xf>
    <xf numFmtId="236" fontId="48" fillId="0" borderId="143">
      <protection locked="0"/>
    </xf>
    <xf numFmtId="236" fontId="48" fillId="0" borderId="143">
      <protection locked="0"/>
    </xf>
    <xf numFmtId="236" fontId="48" fillId="0" borderId="143">
      <protection locked="0"/>
    </xf>
    <xf numFmtId="236" fontId="48" fillId="0" borderId="143">
      <protection locked="0"/>
    </xf>
    <xf numFmtId="49" fontId="48" fillId="0" borderId="140">
      <alignment vertical="top"/>
      <protection locked="0"/>
    </xf>
    <xf numFmtId="49" fontId="48" fillId="0" borderId="140">
      <alignment vertical="top"/>
      <protection locked="0"/>
    </xf>
    <xf numFmtId="49" fontId="48" fillId="0" borderId="140">
      <alignment vertical="top"/>
      <protection locked="0"/>
    </xf>
    <xf numFmtId="49" fontId="48" fillId="0" borderId="140">
      <alignment vertical="top"/>
      <protection locked="0"/>
    </xf>
    <xf numFmtId="238" fontId="48" fillId="0" borderId="143">
      <protection locked="0"/>
    </xf>
    <xf numFmtId="238" fontId="48" fillId="0" borderId="143">
      <protection locked="0"/>
    </xf>
    <xf numFmtId="238" fontId="48" fillId="0" borderId="143">
      <protection locked="0"/>
    </xf>
    <xf numFmtId="238" fontId="48" fillId="0" borderId="143">
      <protection locked="0"/>
    </xf>
    <xf numFmtId="238" fontId="48" fillId="0" borderId="143">
      <protection locked="0"/>
    </xf>
    <xf numFmtId="49" fontId="48" fillId="0" borderId="143">
      <protection locked="0"/>
    </xf>
    <xf numFmtId="49" fontId="48" fillId="0" borderId="143">
      <protection locked="0"/>
    </xf>
    <xf numFmtId="49" fontId="48" fillId="0" borderId="143">
      <protection locked="0"/>
    </xf>
    <xf numFmtId="49" fontId="48" fillId="0" borderId="143">
      <protection locked="0"/>
    </xf>
    <xf numFmtId="49" fontId="48" fillId="0" borderId="143">
      <protection locked="0"/>
    </xf>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239" fontId="17" fillId="0" borderId="140" applyFont="0" applyFill="0" applyBorder="0" applyAlignment="0" applyProtection="0"/>
    <xf numFmtId="44" fontId="144"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0" fontId="144" fillId="0" borderId="0"/>
    <xf numFmtId="0" fontId="189" fillId="0" borderId="0"/>
    <xf numFmtId="43" fontId="37" fillId="0" borderId="0" applyFont="0" applyFill="0" applyBorder="0" applyAlignment="0" applyProtection="0"/>
    <xf numFmtId="43" fontId="144" fillId="0" borderId="0" applyFont="0" applyFill="0" applyBorder="0" applyAlignment="0" applyProtection="0"/>
    <xf numFmtId="0" fontId="144" fillId="0" borderId="0"/>
    <xf numFmtId="43" fontId="144" fillId="0" borderId="0" applyFont="0" applyFill="0" applyBorder="0" applyAlignment="0" applyProtection="0"/>
    <xf numFmtId="43" fontId="3" fillId="0" borderId="0" applyFont="0" applyFill="0" applyBorder="0" applyAlignment="0" applyProtection="0"/>
    <xf numFmtId="0" fontId="144" fillId="0" borderId="0"/>
    <xf numFmtId="43" fontId="144" fillId="0" borderId="0" applyFont="0" applyFill="0" applyBorder="0" applyAlignment="0" applyProtection="0"/>
    <xf numFmtId="0" fontId="3" fillId="0" borderId="0"/>
    <xf numFmtId="0" fontId="144" fillId="0" borderId="0"/>
    <xf numFmtId="0" fontId="144" fillId="0" borderId="0"/>
    <xf numFmtId="0" fontId="188" fillId="0" borderId="0"/>
    <xf numFmtId="0" fontId="144" fillId="0" borderId="0"/>
    <xf numFmtId="0" fontId="144" fillId="0" borderId="0"/>
    <xf numFmtId="0" fontId="144" fillId="0" borderId="0"/>
    <xf numFmtId="9" fontId="144" fillId="0" borderId="0" applyFont="0" applyFill="0" applyBorder="0" applyAlignment="0" applyProtection="0"/>
    <xf numFmtId="0" fontId="48" fillId="0" borderId="0" applyNumberFormat="0" applyFill="0" applyAlignment="0" applyProtection="0">
      <alignment vertical="top"/>
      <protection locked="0"/>
    </xf>
    <xf numFmtId="9" fontId="146"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87" fillId="0" borderId="0"/>
    <xf numFmtId="43" fontId="12" fillId="0" borderId="0" applyFont="0" applyFill="0" applyBorder="0" applyAlignment="0" applyProtection="0"/>
    <xf numFmtId="44" fontId="12" fillId="0" borderId="0" applyFont="0" applyFill="0" applyBorder="0" applyAlignment="0" applyProtection="0"/>
    <xf numFmtId="43" fontId="144" fillId="0" borderId="0" applyFont="0" applyFill="0" applyBorder="0" applyAlignment="0" applyProtection="0"/>
    <xf numFmtId="0" fontId="36" fillId="107" borderId="0" applyNumberFormat="0" applyBorder="0" applyAlignment="0" applyProtection="0"/>
    <xf numFmtId="0" fontId="36" fillId="109"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7"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2" fillId="78" borderId="0" applyNumberFormat="0" applyBorder="0" applyAlignment="0" applyProtection="0"/>
    <xf numFmtId="0" fontId="71" fillId="8" borderId="0" applyNumberFormat="0" applyBorder="0" applyAlignment="0" applyProtection="0"/>
    <xf numFmtId="0" fontId="37"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2" fillId="75"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37" fillId="15" borderId="0" applyNumberFormat="0" applyBorder="0" applyAlignment="0" applyProtection="0"/>
    <xf numFmtId="0" fontId="71" fillId="22" borderId="0" applyNumberFormat="0" applyBorder="0" applyAlignment="0" applyProtection="0"/>
    <xf numFmtId="0" fontId="37" fillId="15"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2" fillId="0" borderId="0"/>
    <xf numFmtId="0" fontId="2" fillId="0" borderId="0"/>
    <xf numFmtId="0" fontId="71" fillId="7" borderId="0" applyNumberFormat="0" applyBorder="0" applyAlignment="0" applyProtection="0"/>
    <xf numFmtId="0" fontId="71" fillId="7" borderId="0" applyNumberFormat="0" applyBorder="0" applyAlignment="0" applyProtection="0"/>
    <xf numFmtId="0" fontId="2" fillId="89" borderId="0" applyNumberFormat="0" applyBorder="0" applyAlignment="0" applyProtection="0"/>
    <xf numFmtId="0" fontId="71" fillId="7" borderId="0" applyNumberFormat="0" applyBorder="0" applyAlignment="0" applyProtection="0"/>
    <xf numFmtId="0" fontId="37" fillId="5"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7" fillId="5" borderId="0" applyNumberFormat="0" applyBorder="0" applyAlignment="0" applyProtection="0"/>
    <xf numFmtId="0" fontId="71" fillId="7" borderId="0" applyNumberFormat="0" applyBorder="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64" fillId="0" borderId="165" applyNumberFormat="0" applyFill="0" applyAlignment="0" applyProtection="0"/>
    <xf numFmtId="0" fontId="2" fillId="0" borderId="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2" fillId="86" borderId="0" applyNumberFormat="0" applyBorder="0" applyAlignment="0" applyProtection="0"/>
    <xf numFmtId="0" fontId="71" fillId="15" borderId="0" applyNumberFormat="0" applyBorder="0" applyAlignment="0" applyProtection="0"/>
    <xf numFmtId="0" fontId="2" fillId="0" borderId="0"/>
    <xf numFmtId="0" fontId="37" fillId="13"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2" fillId="55" borderId="47" applyNumberFormat="0" applyFont="0" applyAlignment="0" applyProtection="0"/>
    <xf numFmtId="0" fontId="2" fillId="55" borderId="47" applyNumberFormat="0" applyFont="0" applyAlignment="0" applyProtection="0"/>
    <xf numFmtId="0" fontId="71" fillId="3" borderId="0" applyNumberFormat="0" applyBorder="0" applyAlignment="0" applyProtection="0"/>
    <xf numFmtId="0" fontId="2" fillId="8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37" fillId="1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37" fillId="11"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2" fillId="80"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37" fillId="10"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37" fillId="10"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2" fillId="7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7" fillId="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7" fillId="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2" fillId="74"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37" fillId="4"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37" fillId="4"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37" fillId="5"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4" borderId="0" applyNumberFormat="0" applyBorder="0" applyAlignment="0" applyProtection="0"/>
    <xf numFmtId="0" fontId="11" fillId="0" borderId="0"/>
    <xf numFmtId="0" fontId="190" fillId="0" borderId="0"/>
    <xf numFmtId="0" fontId="7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36" fillId="21"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36" fillId="21"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83" fillId="8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36"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36"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83" fillId="8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6" fillId="23"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6" fillId="23" borderId="0" applyNumberFormat="0" applyBorder="0" applyAlignment="0" applyProtection="0"/>
    <xf numFmtId="0" fontId="41" fillId="5" borderId="0" applyNumberFormat="0" applyBorder="0" applyAlignment="0" applyProtection="0"/>
    <xf numFmtId="0" fontId="183" fillId="91"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24"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24"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164" fontId="2" fillId="0" borderId="0" applyFont="0" applyFill="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25"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43" fontId="2" fillId="0" borderId="0" applyFont="0" applyFill="0" applyBorder="0" applyAlignment="0" applyProtection="0"/>
    <xf numFmtId="0" fontId="36" fillId="106" borderId="0" applyNumberFormat="0" applyBorder="0" applyAlignment="0" applyProtection="0"/>
    <xf numFmtId="43" fontId="2" fillId="0" borderId="0" applyFont="0" applyFill="0" applyBorder="0" applyAlignment="0" applyProtection="0"/>
    <xf numFmtId="0" fontId="36" fillId="106" borderId="0" applyNumberFormat="0" applyBorder="0" applyAlignment="0" applyProtection="0"/>
    <xf numFmtId="0" fontId="36" fillId="106" borderId="0" applyNumberFormat="0" applyBorder="0" applyAlignment="0" applyProtection="0"/>
    <xf numFmtId="43" fontId="2" fillId="0" borderId="0" applyFont="0" applyFill="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25"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27"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27"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21"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183" fillId="101" borderId="0" applyNumberFormat="0" applyBorder="0" applyAlignment="0" applyProtection="0"/>
    <xf numFmtId="0" fontId="183" fillId="101" borderId="0" applyNumberFormat="0" applyBorder="0" applyAlignment="0" applyProtection="0"/>
    <xf numFmtId="0" fontId="183" fillId="101" borderId="0" applyNumberFormat="0" applyBorder="0" applyAlignment="0" applyProtection="0"/>
    <xf numFmtId="0" fontId="183" fillId="101"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36" fillId="107" borderId="0" applyNumberFormat="0" applyBorder="0" applyAlignment="0" applyProtection="0"/>
    <xf numFmtId="0" fontId="2" fillId="0" borderId="0"/>
    <xf numFmtId="0" fontId="36" fillId="107" borderId="0" applyNumberFormat="0" applyBorder="0" applyAlignment="0" applyProtection="0"/>
    <xf numFmtId="0" fontId="36" fillId="107" borderId="0" applyNumberFormat="0" applyBorder="0" applyAlignment="0" applyProtection="0"/>
    <xf numFmtId="0" fontId="2" fillId="0" borderId="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21"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2" fillId="0" borderId="0"/>
    <xf numFmtId="0" fontId="2" fillId="0" borderId="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2" fillId="0" borderId="0"/>
    <xf numFmtId="0" fontId="2" fillId="0" borderId="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2" fillId="0" borderId="0"/>
    <xf numFmtId="0" fontId="36" fillId="108" borderId="0" applyNumberFormat="0" applyBorder="0" applyAlignment="0" applyProtection="0"/>
    <xf numFmtId="0" fontId="36" fillId="108" borderId="0" applyNumberFormat="0" applyBorder="0" applyAlignment="0" applyProtection="0"/>
    <xf numFmtId="0" fontId="2" fillId="0" borderId="0"/>
    <xf numFmtId="0" fontId="36" fillId="108" borderId="0" applyNumberFormat="0" applyBorder="0" applyAlignment="0" applyProtection="0"/>
    <xf numFmtId="0" fontId="36"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183" fillId="102" borderId="0" applyNumberFormat="0" applyBorder="0" applyAlignment="0" applyProtection="0"/>
    <xf numFmtId="0" fontId="183" fillId="102" borderId="0" applyNumberFormat="0" applyBorder="0" applyAlignment="0" applyProtection="0"/>
    <xf numFmtId="0" fontId="183" fillId="102" borderId="0" applyNumberFormat="0" applyBorder="0" applyAlignment="0" applyProtection="0"/>
    <xf numFmtId="0" fontId="183" fillId="102"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2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83" fillId="103" borderId="0" applyNumberFormat="0" applyBorder="0" applyAlignment="0" applyProtection="0"/>
    <xf numFmtId="0" fontId="183" fillId="103" borderId="0" applyNumberFormat="0" applyBorder="0" applyAlignment="0" applyProtection="0"/>
    <xf numFmtId="0" fontId="183" fillId="103" borderId="0" applyNumberFormat="0" applyBorder="0" applyAlignment="0" applyProtection="0"/>
    <xf numFmtId="0" fontId="183" fillId="103"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2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263" fontId="15" fillId="31" borderId="3">
      <alignment horizontal="center" vertical="center"/>
    </xf>
    <xf numFmtId="219" fontId="67" fillId="31" borderId="3">
      <alignment horizontal="center" vertical="center"/>
    </xf>
    <xf numFmtId="0" fontId="33" fillId="0" borderId="0" applyNumberFormat="0" applyFill="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68" fillId="7"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73" fillId="93"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51" fillId="0" borderId="0" applyNumberFormat="0" applyFill="0" applyBorder="0" applyAlignment="0" applyProtection="0"/>
    <xf numFmtId="0" fontId="30" fillId="14"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30" fillId="14" borderId="135" applyNumberFormat="0" applyAlignment="0" applyProtection="0"/>
    <xf numFmtId="0" fontId="195" fillId="110" borderId="135" applyNumberFormat="0" applyAlignment="0" applyProtection="0"/>
    <xf numFmtId="0" fontId="195" fillId="110" borderId="135" applyNumberFormat="0" applyAlignment="0" applyProtection="0"/>
    <xf numFmtId="0" fontId="30" fillId="14" borderId="135" applyNumberFormat="0" applyAlignment="0" applyProtection="0"/>
    <xf numFmtId="0" fontId="195" fillId="110" borderId="135" applyNumberFormat="0" applyAlignment="0" applyProtection="0"/>
    <xf numFmtId="0" fontId="195" fillId="110" borderId="135" applyNumberFormat="0" applyAlignment="0" applyProtection="0"/>
    <xf numFmtId="0" fontId="177" fillId="96" borderId="153"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31" fillId="0" borderId="21" applyNumberFormat="0" applyFill="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12" borderId="6" applyNumberFormat="0" applyAlignment="0" applyProtection="0"/>
    <xf numFmtId="0" fontId="32" fillId="61" borderId="6" applyNumberFormat="0" applyAlignment="0" applyProtection="0"/>
    <xf numFmtId="0" fontId="179" fillId="97" borderId="15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164" fontId="146" fillId="0" borderId="0" applyFont="0" applyFill="0" applyBorder="0" applyAlignment="0" applyProtection="0"/>
    <xf numFmtId="43" fontId="144" fillId="0" borderId="0" applyFont="0" applyFill="0" applyBorder="0" applyAlignment="0" applyProtection="0"/>
    <xf numFmtId="164" fontId="146"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45" fontId="146" fillId="0" borderId="0" applyFont="0" applyFill="0" applyBorder="0" applyAlignment="0" applyProtection="0"/>
    <xf numFmtId="203" fontId="11" fillId="0" borderId="0" applyFont="0" applyFill="0" applyBorder="0" applyAlignment="0" applyProtection="0"/>
    <xf numFmtId="243" fontId="11" fillId="0" borderId="0" applyFont="0" applyFill="0" applyBorder="0" applyAlignment="0" applyProtection="0"/>
    <xf numFmtId="0" fontId="73" fillId="0" borderId="0" applyFont="0" applyFill="0" applyBorder="0" applyAlignment="0" applyProtection="0">
      <alignment horizontal="right"/>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9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6"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64" fontId="12"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44"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46"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37" fillId="0" borderId="0" applyFont="0" applyFill="0" applyBorder="0" applyAlignment="0" applyProtection="0"/>
    <xf numFmtId="3" fontId="11" fillId="0" borderId="0" applyFont="0" applyFill="0" applyBorder="0" applyAlignment="0" applyProtection="0"/>
    <xf numFmtId="0" fontId="83" fillId="0" borderId="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65" fontId="12" fillId="0" borderId="0" applyFont="0" applyFill="0" applyBorder="0" applyAlignment="0" applyProtection="0"/>
    <xf numFmtId="44" fontId="1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2" fillId="0" borderId="0" applyFont="0" applyFill="0" applyBorder="0" applyAlignment="0" applyProtection="0"/>
    <xf numFmtId="265" fontId="12" fillId="0" borderId="0" applyFont="0" applyFill="0" applyBorder="0" applyAlignment="0" applyProtection="0"/>
    <xf numFmtId="258" fontId="1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3" fillId="0" borderId="0" applyFont="0" applyFill="0" applyBorder="0" applyAlignment="0" applyProtection="0">
      <alignment horizontal="right"/>
    </xf>
    <xf numFmtId="44" fontId="3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74" fillId="0" borderId="0">
      <protection locked="0"/>
    </xf>
    <xf numFmtId="0" fontId="28" fillId="5" borderId="13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7" fillId="0" borderId="0" applyNumberFormat="0" applyFill="0" applyBorder="0" applyAlignment="0" applyProtection="0"/>
    <xf numFmtId="0" fontId="18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5" fontId="46" fillId="0" borderId="0" applyFont="0" applyFill="0" applyBorder="0" applyAlignment="0" applyProtection="0"/>
    <xf numFmtId="0" fontId="74" fillId="0" borderId="0">
      <protection locked="0"/>
    </xf>
    <xf numFmtId="15" fontId="46" fillId="0" borderId="0" applyFont="0" applyFill="0" applyBorder="0" applyAlignment="0" applyProtection="0"/>
    <xf numFmtId="0" fontId="74" fillId="0" borderId="0">
      <protection locked="0"/>
    </xf>
    <xf numFmtId="15" fontId="46" fillId="0" borderId="0" applyFont="0" applyFill="0" applyBorder="0" applyAlignment="0" applyProtection="0"/>
    <xf numFmtId="0" fontId="196" fillId="0" borderId="0">
      <protection locked="0"/>
    </xf>
    <xf numFmtId="0" fontId="74" fillId="0" borderId="0">
      <protection locked="0"/>
    </xf>
    <xf numFmtId="15" fontId="46" fillId="0" borderId="0" applyFont="0" applyFill="0" applyBorder="0" applyAlignment="0" applyProtection="0"/>
    <xf numFmtId="0" fontId="74" fillId="0" borderId="0">
      <protection locked="0"/>
    </xf>
    <xf numFmtId="15" fontId="46" fillId="0" borderId="0" applyFont="0" applyFill="0" applyBorder="0" applyAlignment="0" applyProtection="0"/>
    <xf numFmtId="0" fontId="74" fillId="0" borderId="0">
      <protection locked="0"/>
    </xf>
    <xf numFmtId="0" fontId="74" fillId="0" borderId="0">
      <protection locked="0"/>
    </xf>
    <xf numFmtId="0" fontId="196" fillId="0" borderId="0">
      <protection locked="0"/>
    </xf>
    <xf numFmtId="2" fontId="11" fillId="0" borderId="0" applyFont="0" applyFill="0" applyBorder="0" applyAlignment="0" applyProtection="0"/>
    <xf numFmtId="267" fontId="74" fillId="0" borderId="0">
      <protection locked="0"/>
    </xf>
    <xf numFmtId="225" fontId="24" fillId="0" borderId="0">
      <alignment vertical="center"/>
    </xf>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72" fillId="9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87" fillId="0" borderId="13"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87" fillId="0" borderId="13"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69" fillId="0" borderId="150"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88"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88"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70" fillId="0" borderId="151"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89" fillId="0" borderId="16"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89" fillId="0" borderId="16"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71" fillId="0" borderId="152"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8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8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7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1" fillId="0" borderId="0">
      <protection locked="0"/>
    </xf>
    <xf numFmtId="0" fontId="197" fillId="0" borderId="0">
      <protection locked="0"/>
    </xf>
    <xf numFmtId="0" fontId="11" fillId="0" borderId="0">
      <protection locked="0"/>
    </xf>
    <xf numFmtId="0" fontId="197" fillId="0" borderId="0">
      <protection locked="0"/>
    </xf>
    <xf numFmtId="0" fontId="203" fillId="0" borderId="0" applyNumberFormat="0" applyFill="0" applyBorder="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28" fillId="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75" fillId="95" borderId="153" applyNumberFormat="0" applyAlignment="0" applyProtection="0"/>
    <xf numFmtId="0" fontId="28" fillId="5" borderId="135" applyNumberFormat="0" applyAlignment="0" applyProtection="0"/>
    <xf numFmtId="0" fontId="198" fillId="65" borderId="135" applyNumberFormat="0" applyAlignment="0" applyProtection="0"/>
    <xf numFmtId="0" fontId="175" fillId="95" borderId="153" applyNumberFormat="0" applyAlignment="0" applyProtection="0"/>
    <xf numFmtId="0" fontId="198" fillId="65" borderId="135" applyNumberFormat="0" applyAlignment="0" applyProtection="0"/>
    <xf numFmtId="0" fontId="175" fillId="95" borderId="153" applyNumberFormat="0" applyAlignment="0" applyProtection="0"/>
    <xf numFmtId="0" fontId="198" fillId="65" borderId="135" applyNumberFormat="0" applyAlignment="0" applyProtection="0"/>
    <xf numFmtId="0" fontId="175" fillId="95" borderId="153" applyNumberFormat="0" applyAlignment="0" applyProtection="0"/>
    <xf numFmtId="0" fontId="68" fillId="7" borderId="0" applyNumberFormat="0" applyBorder="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31" fillId="0" borderId="21"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78" fillId="0" borderId="155"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2"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174" fillId="94"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2" borderId="0" applyNumberFormat="0" applyBorder="0" applyAlignment="0" applyProtection="0"/>
    <xf numFmtId="268" fontId="200" fillId="0" borderId="0"/>
    <xf numFmtId="232" fontId="67" fillId="0" borderId="0"/>
    <xf numFmtId="0" fontId="204" fillId="0" borderId="0"/>
    <xf numFmtId="0" fontId="2" fillId="0" borderId="0"/>
    <xf numFmtId="0" fontId="2" fillId="0" borderId="0"/>
    <xf numFmtId="0" fontId="2"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1" fillId="0" borderId="0"/>
    <xf numFmtId="0" fontId="142" fillId="0" borderId="0"/>
    <xf numFmtId="0" fontId="142" fillId="0" borderId="0"/>
    <xf numFmtId="0" fontId="142" fillId="0" borderId="0"/>
    <xf numFmtId="0" fontId="2" fillId="0" borderId="0"/>
    <xf numFmtId="0" fontId="2" fillId="0" borderId="0"/>
    <xf numFmtId="0" fontId="2" fillId="0" borderId="0"/>
    <xf numFmtId="0" fontId="144" fillId="0" borderId="0"/>
    <xf numFmtId="0" fontId="144" fillId="0" borderId="0"/>
    <xf numFmtId="0" fontId="2" fillId="0" borderId="0"/>
    <xf numFmtId="0" fontId="11"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11" fillId="0" borderId="0"/>
    <xf numFmtId="164" fontId="14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0" fontId="36" fillId="10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244"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2" fillId="61" borderId="6" applyNumberFormat="0" applyAlignment="0" applyProtection="0"/>
    <xf numFmtId="43" fontId="37" fillId="0" borderId="0" applyFont="0" applyFill="0" applyBorder="0" applyAlignment="0" applyProtection="0"/>
    <xf numFmtId="0" fontId="194" fillId="60" borderId="0" applyNumberFormat="0" applyBorder="0" applyAlignment="0" applyProtection="0"/>
    <xf numFmtId="43" fontId="37" fillId="0" borderId="0" applyFont="0" applyFill="0" applyBorder="0" applyAlignment="0" applyProtection="0"/>
    <xf numFmtId="43" fontId="11" fillId="0" borderId="0" applyFont="0" applyFill="0" applyBorder="0" applyAlignment="0" applyProtection="0"/>
    <xf numFmtId="0" fontId="32" fillId="61" borderId="6" applyNumberFormat="0" applyAlignment="0" applyProtection="0"/>
    <xf numFmtId="0" fontId="11" fillId="9" borderId="136" applyNumberFormat="0" applyFont="0" applyAlignment="0" applyProtection="0"/>
    <xf numFmtId="0" fontId="36" fillId="106" borderId="0" applyNumberFormat="0" applyBorder="0" applyAlignment="0" applyProtection="0"/>
    <xf numFmtId="0" fontId="36" fillId="107" borderId="0" applyNumberFormat="0" applyBorder="0" applyAlignment="0" applyProtection="0"/>
    <xf numFmtId="0" fontId="2" fillId="81" borderId="0" applyNumberFormat="0" applyBorder="0" applyAlignment="0" applyProtection="0"/>
    <xf numFmtId="0" fontId="71" fillId="27" borderId="0" applyNumberFormat="0" applyBorder="0" applyAlignment="0" applyProtection="0"/>
    <xf numFmtId="0" fontId="37" fillId="1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2" fillId="81"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14" borderId="0" applyNumberFormat="0" applyBorder="0" applyAlignment="0" applyProtection="0"/>
    <xf numFmtId="6" fontId="80" fillId="0" borderId="0">
      <protection locked="0"/>
    </xf>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7" fillId="11"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7" fillId="11"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221" fontId="74" fillId="0" borderId="0">
      <protection locked="0"/>
    </xf>
    <xf numFmtId="0" fontId="2" fillId="8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1" fillId="14"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37" fillId="15" borderId="0" applyNumberFormat="0" applyBorder="0" applyAlignment="0" applyProtection="0"/>
    <xf numFmtId="0" fontId="71" fillId="22" borderId="0" applyNumberFormat="0" applyBorder="0" applyAlignment="0" applyProtection="0"/>
    <xf numFmtId="0" fontId="2" fillId="87"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7" fillId="1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2" fillId="90"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6" fillId="19" borderId="0" applyNumberFormat="0" applyBorder="0" applyAlignment="0" applyProtection="0"/>
    <xf numFmtId="0" fontId="36" fillId="8" borderId="0" applyNumberFormat="0" applyBorder="0" applyAlignment="0" applyProtection="0"/>
    <xf numFmtId="0" fontId="36" fillId="16"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36" fillId="19" borderId="0" applyNumberFormat="0" applyBorder="0" applyAlignment="0" applyProtection="0"/>
    <xf numFmtId="0" fontId="41" fillId="22" borderId="0" applyNumberFormat="0" applyBorder="0" applyAlignment="0" applyProtection="0"/>
    <xf numFmtId="0" fontId="2" fillId="90" borderId="0" applyNumberFormat="0" applyBorder="0" applyAlignment="0" applyProtection="0"/>
    <xf numFmtId="0" fontId="36" fillId="19"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2" fillId="87" borderId="0" applyNumberFormat="0" applyBorder="0" applyAlignment="0" applyProtection="0"/>
    <xf numFmtId="0" fontId="183" fillId="76"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2" fillId="84"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2" fillId="81"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 fillId="7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 fillId="75"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 fillId="89" borderId="0" applyNumberFormat="0" applyBorder="0" applyAlignment="0" applyProtection="0"/>
    <xf numFmtId="0" fontId="41" fillId="8" borderId="0" applyNumberFormat="0" applyBorder="0" applyAlignment="0" applyProtection="0"/>
    <xf numFmtId="0" fontId="36" fillId="8" borderId="0" applyNumberFormat="0" applyBorder="0" applyAlignment="0" applyProtection="0"/>
    <xf numFmtId="0" fontId="41" fillId="8" borderId="0" applyNumberFormat="0" applyBorder="0" applyAlignment="0" applyProtection="0"/>
    <xf numFmtId="0" fontId="2" fillId="86" borderId="0" applyNumberFormat="0" applyBorder="0" applyAlignment="0" applyProtection="0"/>
    <xf numFmtId="0" fontId="41" fillId="8" borderId="0" applyNumberFormat="0" applyBorder="0" applyAlignment="0" applyProtection="0"/>
    <xf numFmtId="0" fontId="36" fillId="8" borderId="0" applyNumberFormat="0" applyBorder="0" applyAlignment="0" applyProtection="0"/>
    <xf numFmtId="0" fontId="2" fillId="83"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183" fillId="79" borderId="0" applyNumberFormat="0" applyBorder="0" applyAlignment="0" applyProtection="0"/>
    <xf numFmtId="0" fontId="2" fillId="80"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 fillId="7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2" fillId="7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36" fillId="1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36" fillId="1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83" fillId="82"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2" fillId="90" borderId="0" applyNumberFormat="0" applyBorder="0" applyAlignment="0" applyProtection="0"/>
    <xf numFmtId="0" fontId="2" fillId="89" borderId="0" applyNumberFormat="0" applyBorder="0" applyAlignment="0" applyProtection="0"/>
    <xf numFmtId="0" fontId="71" fillId="22" borderId="0" applyNumberFormat="0" applyBorder="0" applyAlignment="0" applyProtection="0"/>
    <xf numFmtId="0" fontId="36" fillId="21" borderId="0" applyNumberFormat="0" applyBorder="0" applyAlignment="0" applyProtection="0"/>
    <xf numFmtId="0" fontId="2" fillId="87" borderId="0" applyNumberFormat="0" applyBorder="0" applyAlignment="0" applyProtection="0"/>
    <xf numFmtId="0" fontId="2" fillId="86" borderId="0" applyNumberFormat="0" applyBorder="0" applyAlignment="0" applyProtection="0"/>
    <xf numFmtId="0" fontId="71" fillId="5" borderId="0" applyNumberFormat="0" applyBorder="0" applyAlignment="0" applyProtection="0"/>
    <xf numFmtId="0" fontId="41" fillId="22" borderId="0" applyNumberFormat="0" applyBorder="0" applyAlignment="0" applyProtection="0"/>
    <xf numFmtId="0" fontId="2" fillId="84" borderId="0" applyNumberFormat="0" applyBorder="0" applyAlignment="0" applyProtection="0"/>
    <xf numFmtId="0" fontId="2" fillId="83" borderId="0" applyNumberFormat="0" applyBorder="0" applyAlignment="0" applyProtection="0"/>
    <xf numFmtId="0" fontId="71" fillId="5" borderId="0" applyNumberFormat="0" applyBorder="0" applyAlignment="0" applyProtection="0"/>
    <xf numFmtId="0" fontId="41" fillId="22" borderId="0" applyNumberFormat="0" applyBorder="0" applyAlignment="0" applyProtection="0"/>
    <xf numFmtId="0" fontId="2" fillId="81" borderId="0" applyNumberFormat="0" applyBorder="0" applyAlignment="0" applyProtection="0"/>
    <xf numFmtId="0" fontId="2" fillId="80" borderId="0" applyNumberFormat="0" applyBorder="0" applyAlignment="0" applyProtection="0"/>
    <xf numFmtId="0" fontId="71" fillId="5" borderId="0" applyNumberFormat="0" applyBorder="0" applyAlignment="0" applyProtection="0"/>
    <xf numFmtId="0" fontId="41" fillId="22" borderId="0" applyNumberFormat="0" applyBorder="0" applyAlignment="0" applyProtection="0"/>
    <xf numFmtId="0" fontId="2" fillId="78" borderId="0" applyNumberFormat="0" applyBorder="0" applyAlignment="0" applyProtection="0"/>
    <xf numFmtId="0" fontId="2" fillId="77" borderId="0" applyNumberFormat="0" applyBorder="0" applyAlignment="0" applyProtection="0"/>
    <xf numFmtId="0" fontId="37" fillId="17" borderId="0" applyNumberFormat="0" applyBorder="0" applyAlignment="0" applyProtection="0"/>
    <xf numFmtId="0" fontId="41" fillId="22" borderId="0" applyNumberFormat="0" applyBorder="0" applyAlignment="0" applyProtection="0"/>
    <xf numFmtId="0" fontId="2" fillId="75" borderId="0" applyNumberFormat="0" applyBorder="0" applyAlignment="0" applyProtection="0"/>
    <xf numFmtId="0" fontId="2" fillId="74" borderId="0" applyNumberFormat="0" applyBorder="0" applyAlignment="0" applyProtection="0"/>
    <xf numFmtId="0" fontId="71" fillId="5" borderId="0" applyNumberFormat="0" applyBorder="0" applyAlignment="0" applyProtection="0"/>
    <xf numFmtId="0" fontId="37" fillId="11" borderId="0" applyNumberFormat="0" applyBorder="0" applyAlignment="0" applyProtection="0"/>
    <xf numFmtId="0" fontId="71" fillId="27" borderId="0" applyNumberFormat="0" applyBorder="0" applyAlignment="0" applyProtection="0"/>
    <xf numFmtId="0" fontId="2" fillId="55" borderId="47" applyNumberFormat="0" applyFont="0" applyAlignment="0" applyProtection="0"/>
    <xf numFmtId="0" fontId="71" fillId="22" borderId="0" applyNumberFormat="0" applyBorder="0" applyAlignment="0" applyProtection="0"/>
    <xf numFmtId="0" fontId="71" fillId="22" borderId="0" applyNumberFormat="0" applyBorder="0" applyAlignment="0" applyProtection="0"/>
    <xf numFmtId="0" fontId="2" fillId="87" borderId="0" applyNumberFormat="0" applyBorder="0" applyAlignment="0" applyProtection="0"/>
    <xf numFmtId="0" fontId="71" fillId="3"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7" borderId="0" applyNumberFormat="0" applyBorder="0" applyAlignment="0" applyProtection="0"/>
    <xf numFmtId="0" fontId="37"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7" borderId="0" applyNumberFormat="0" applyBorder="0" applyAlignment="0" applyProtection="0"/>
    <xf numFmtId="0" fontId="71" fillId="6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42" fillId="0" borderId="0"/>
    <xf numFmtId="0" fontId="11"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11"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11"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144" fillId="0" borderId="0"/>
    <xf numFmtId="0" fontId="2" fillId="0" borderId="0"/>
    <xf numFmtId="0" fontId="142" fillId="0" borderId="0"/>
    <xf numFmtId="0" fontId="144" fillId="0" borderId="0"/>
    <xf numFmtId="0" fontId="11" fillId="0" borderId="0"/>
    <xf numFmtId="0" fontId="144"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144" fillId="0" borderId="0"/>
    <xf numFmtId="0" fontId="146" fillId="0" borderId="0"/>
    <xf numFmtId="0" fontId="144"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2" fillId="0" borderId="0"/>
    <xf numFmtId="0" fontId="142" fillId="0" borderId="0"/>
    <xf numFmtId="0" fontId="2" fillId="0" borderId="0"/>
    <xf numFmtId="0" fontId="2" fillId="0" borderId="0"/>
    <xf numFmtId="0" fontId="2" fillId="0" borderId="0"/>
    <xf numFmtId="0" fontId="205" fillId="0" borderId="0"/>
    <xf numFmtId="0" fontId="11" fillId="0" borderId="0">
      <alignment wrapText="1"/>
    </xf>
    <xf numFmtId="0" fontId="37" fillId="0" borderId="0"/>
    <xf numFmtId="0" fontId="2" fillId="0" borderId="0"/>
    <xf numFmtId="0" fontId="2" fillId="0" borderId="0"/>
    <xf numFmtId="0" fontId="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alignment wrapText="1"/>
    </xf>
    <xf numFmtId="0" fontId="11" fillId="0" borderId="0">
      <alignment wrapText="1"/>
    </xf>
    <xf numFmtId="0" fontId="205" fillId="0" borderId="0"/>
    <xf numFmtId="0" fontId="12" fillId="0" borderId="0"/>
    <xf numFmtId="0" fontId="14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6" fillId="0" borderId="0"/>
    <xf numFmtId="0" fontId="2" fillId="0" borderId="0"/>
    <xf numFmtId="0" fontId="2" fillId="0" borderId="0"/>
    <xf numFmtId="0" fontId="11" fillId="0" borderId="0"/>
    <xf numFmtId="0" fontId="206" fillId="0" borderId="0"/>
    <xf numFmtId="0" fontId="11" fillId="0" borderId="0"/>
    <xf numFmtId="0" fontId="2" fillId="0" borderId="0"/>
    <xf numFmtId="0" fontId="2" fillId="0" borderId="0"/>
    <xf numFmtId="0" fontId="2" fillId="0" borderId="0"/>
    <xf numFmtId="0" fontId="205"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46" fillId="0" borderId="0"/>
    <xf numFmtId="0" fontId="142" fillId="0" borderId="0"/>
    <xf numFmtId="0" fontId="11" fillId="0" borderId="0"/>
    <xf numFmtId="0" fontId="11" fillId="0" borderId="0">
      <alignment wrapText="1"/>
    </xf>
    <xf numFmtId="0" fontId="11" fillId="0" borderId="0"/>
    <xf numFmtId="0" fontId="37" fillId="0" borderId="0"/>
    <xf numFmtId="0" fontId="12" fillId="0" borderId="0"/>
    <xf numFmtId="0" fontId="2" fillId="0" borderId="0"/>
    <xf numFmtId="0" fontId="205" fillId="0" borderId="0"/>
    <xf numFmtId="0" fontId="2" fillId="0" borderId="0"/>
    <xf numFmtId="0" fontId="144"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3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2" fillId="0" borderId="0"/>
    <xf numFmtId="0" fontId="2" fillId="0" borderId="0"/>
    <xf numFmtId="0" fontId="37"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2" fillId="0" borderId="0"/>
    <xf numFmtId="0" fontId="2" fillId="0" borderId="0"/>
    <xf numFmtId="0" fontId="3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2" fillId="0" borderId="0"/>
    <xf numFmtId="0" fontId="37" fillId="0" borderId="0"/>
    <xf numFmtId="0" fontId="146" fillId="0" borderId="0"/>
    <xf numFmtId="0" fontId="144" fillId="0" borderId="0"/>
    <xf numFmtId="0" fontId="144" fillId="0" borderId="0"/>
    <xf numFmtId="0" fontId="144" fillId="0" borderId="0"/>
    <xf numFmtId="0" fontId="144" fillId="0" borderId="0"/>
    <xf numFmtId="0" fontId="2" fillId="0" borderId="0"/>
    <xf numFmtId="0" fontId="2" fillId="0" borderId="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44" fillId="9"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4"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4" borderId="137" applyNumberFormat="0" applyAlignment="0" applyProtection="0"/>
    <xf numFmtId="0" fontId="29" fillId="110" borderId="137" applyNumberFormat="0" applyAlignment="0" applyProtection="0"/>
    <xf numFmtId="0" fontId="29" fillId="110" borderId="137" applyNumberFormat="0" applyAlignment="0" applyProtection="0"/>
    <xf numFmtId="0" fontId="176" fillId="96" borderId="154"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0" fontId="83" fillId="0" borderId="0"/>
    <xf numFmtId="9" fontId="11"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0" fontId="12" fillId="0" borderId="0" applyFill="0" applyBorder="0" applyProtection="0">
      <alignment horizontal="center"/>
    </xf>
    <xf numFmtId="10" fontId="12" fillId="0" borderId="0" applyFill="0" applyBorder="0" applyProtection="0">
      <alignment horizontal="center"/>
    </xf>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88" fillId="0" borderId="0" applyNumberFormat="0" applyFont="0" applyFill="0" applyBorder="0" applyAlignment="0" applyProtection="0">
      <alignment horizontal="left"/>
    </xf>
    <xf numFmtId="0" fontId="188" fillId="0" borderId="0" applyNumberFormat="0" applyFont="0" applyFill="0" applyBorder="0" applyAlignment="0" applyProtection="0">
      <alignment horizontal="left"/>
    </xf>
    <xf numFmtId="15" fontId="188" fillId="0" borderId="0" applyFont="0" applyFill="0" applyBorder="0" applyAlignment="0" applyProtection="0"/>
    <xf numFmtId="15" fontId="188" fillId="0" borderId="0" applyFont="0" applyFill="0" applyBorder="0" applyAlignment="0" applyProtection="0"/>
    <xf numFmtId="4" fontId="188" fillId="0" borderId="0" applyFont="0" applyFill="0" applyBorder="0" applyAlignment="0" applyProtection="0"/>
    <xf numFmtId="4" fontId="188" fillId="0" borderId="0" applyFont="0" applyFill="0" applyBorder="0" applyAlignment="0" applyProtection="0"/>
    <xf numFmtId="0" fontId="192" fillId="0" borderId="8">
      <alignment horizontal="center"/>
    </xf>
    <xf numFmtId="0" fontId="192" fillId="0" borderId="8">
      <alignment horizontal="center"/>
    </xf>
    <xf numFmtId="3" fontId="188" fillId="0" borderId="0" applyFont="0" applyFill="0" applyBorder="0" applyAlignment="0" applyProtection="0"/>
    <xf numFmtId="3" fontId="188" fillId="0" borderId="0" applyFont="0" applyFill="0" applyBorder="0" applyAlignment="0" applyProtection="0"/>
    <xf numFmtId="0" fontId="188" fillId="111" borderId="0" applyNumberFormat="0" applyFont="0" applyBorder="0" applyAlignment="0" applyProtection="0"/>
    <xf numFmtId="0" fontId="188" fillId="111" borderId="0" applyNumberFormat="0" applyFont="0" applyBorder="0" applyAlignment="0" applyProtection="0"/>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vertical="center"/>
    </xf>
    <xf numFmtId="4" fontId="99" fillId="0" borderId="144" applyNumberFormat="0" applyProtection="0">
      <alignment horizontal="left" vertical="center" indent="1"/>
    </xf>
    <xf numFmtId="4" fontId="99" fillId="0" borderId="144" applyNumberFormat="0" applyProtection="0">
      <alignment horizontal="left" vertical="center" indent="1"/>
    </xf>
    <xf numFmtId="4" fontId="99" fillId="0" borderId="144" applyNumberFormat="0" applyProtection="0">
      <alignment horizontal="left" vertical="center" indent="1"/>
    </xf>
    <xf numFmtId="4" fontId="99" fillId="0" borderId="144" applyNumberFormat="0" applyProtection="0">
      <alignment horizontal="left" vertical="center" indent="1"/>
    </xf>
    <xf numFmtId="4" fontId="99" fillId="0" borderId="144" applyNumberFormat="0" applyProtection="0">
      <alignment horizontal="left" vertical="center" indent="1"/>
    </xf>
    <xf numFmtId="4" fontId="99" fillId="0" borderId="144" applyNumberFormat="0" applyProtection="0">
      <alignment horizontal="left" vertical="center" indent="1"/>
    </xf>
    <xf numFmtId="4" fontId="99" fillId="42" borderId="0" applyNumberFormat="0" applyProtection="0">
      <alignment horizontal="left" vertical="center" indent="1"/>
    </xf>
    <xf numFmtId="4" fontId="99" fillId="0" borderId="144"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100" fillId="43" borderId="0" applyNumberFormat="0" applyProtection="0">
      <alignment vertical="center"/>
    </xf>
    <xf numFmtId="4" fontId="99" fillId="0"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150" fillId="2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72"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4" fontId="71" fillId="69" borderId="0"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22" borderId="144" applyNumberFormat="0" applyProtection="0">
      <alignment horizontal="left" vertical="center" indent="1"/>
    </xf>
    <xf numFmtId="0" fontId="11" fillId="0"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69" borderId="144" applyNumberFormat="0" applyProtection="0">
      <alignment horizontal="left" vertical="center" indent="1"/>
    </xf>
    <xf numFmtId="0" fontId="11" fillId="0"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15" borderId="144" applyNumberFormat="0" applyProtection="0">
      <alignment horizontal="left" vertical="center" indent="1"/>
    </xf>
    <xf numFmtId="0" fontId="11" fillId="0"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201" fillId="72" borderId="144" applyNumberFormat="0" applyProtection="0">
      <alignment horizontal="left" vertical="center" indent="1"/>
    </xf>
    <xf numFmtId="0" fontId="20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4" fontId="71" fillId="0" borderId="144" applyNumberFormat="0" applyProtection="0">
      <alignment horizontal="right" vertical="center"/>
    </xf>
    <xf numFmtId="4" fontId="71" fillId="0" borderId="144" applyNumberFormat="0" applyProtection="0">
      <alignment horizontal="right" vertical="center"/>
    </xf>
    <xf numFmtId="4" fontId="71" fillId="0" borderId="144" applyNumberFormat="0" applyProtection="0">
      <alignment horizontal="right" vertical="center"/>
    </xf>
    <xf numFmtId="4" fontId="71" fillId="0" borderId="144" applyNumberFormat="0" applyProtection="0">
      <alignment horizontal="right" vertical="center"/>
    </xf>
    <xf numFmtId="4" fontId="71" fillId="0" borderId="144" applyNumberFormat="0" applyProtection="0">
      <alignment horizontal="right" vertical="center"/>
    </xf>
    <xf numFmtId="4" fontId="71" fillId="0" borderId="144" applyNumberFormat="0" applyProtection="0">
      <alignment horizontal="right" vertical="center"/>
    </xf>
    <xf numFmtId="4" fontId="17" fillId="0" borderId="167" applyNumberFormat="0" applyProtection="0">
      <alignment horizontal="right" vertical="center"/>
    </xf>
    <xf numFmtId="4" fontId="11" fillId="0" borderId="140" applyNumberFormat="0" applyProtection="0">
      <alignment horizontal="right" vertical="center"/>
    </xf>
    <xf numFmtId="4" fontId="71" fillId="0" borderId="144" applyNumberFormat="0" applyProtection="0">
      <alignment horizontal="right" vertical="center"/>
    </xf>
    <xf numFmtId="4" fontId="71" fillId="0" borderId="144" applyNumberFormat="0" applyProtection="0">
      <alignment horizontal="left" vertical="center" indent="1"/>
    </xf>
    <xf numFmtId="4" fontId="71" fillId="0" borderId="144" applyNumberFormat="0" applyProtection="0">
      <alignment horizontal="left" vertical="center" indent="1"/>
    </xf>
    <xf numFmtId="4" fontId="71" fillId="0" borderId="144" applyNumberFormat="0" applyProtection="0">
      <alignment horizontal="left" vertical="center" indent="1"/>
    </xf>
    <xf numFmtId="4" fontId="71" fillId="0" borderId="144" applyNumberFormat="0" applyProtection="0">
      <alignment horizontal="left" vertical="center" indent="1"/>
    </xf>
    <xf numFmtId="4" fontId="71" fillId="0" borderId="144" applyNumberFormat="0" applyProtection="0">
      <alignment horizontal="left" vertical="center" indent="1"/>
    </xf>
    <xf numFmtId="4" fontId="71" fillId="0" borderId="144" applyNumberFormat="0" applyProtection="0">
      <alignment horizontal="left" vertical="center" indent="1"/>
    </xf>
    <xf numFmtId="4" fontId="11" fillId="45" borderId="0" applyNumberFormat="0" applyProtection="0">
      <alignment horizontal="left" vertical="center"/>
    </xf>
    <xf numFmtId="4" fontId="71" fillId="0" borderId="144"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4" fontId="152" fillId="73" borderId="0" applyNumberFormat="0" applyProtection="0">
      <alignment horizontal="left" vertical="center" indent="1"/>
    </xf>
    <xf numFmtId="0" fontId="26" fillId="10" borderId="0" applyNumberFormat="0" applyBorder="0" applyAlignment="0" applyProtection="0"/>
    <xf numFmtId="0" fontId="29" fillId="14" borderId="137" applyNumberFormat="0" applyAlignment="0" applyProtection="0"/>
    <xf numFmtId="49" fontId="11" fillId="0" borderId="0" applyFont="0" applyFill="0" applyBorder="0" applyAlignment="0" applyProtection="0"/>
    <xf numFmtId="0" fontId="141" fillId="0" borderId="0" applyNumberFormat="0" applyFont="0" applyFill="0" applyBorder="0" applyProtection="0">
      <alignment horizontal="center" wrapText="1"/>
    </xf>
    <xf numFmtId="0" fontId="34" fillId="0" borderId="0" applyNumberFormat="0" applyFill="0" applyBorder="0" applyAlignment="0" applyProtection="0"/>
    <xf numFmtId="40" fontId="20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87" fillId="0" borderId="13" applyNumberFormat="0" applyFill="0" applyAlignment="0" applyProtection="0"/>
    <xf numFmtId="0" fontId="88" fillId="0" borderId="15" applyNumberFormat="0" applyFill="0" applyAlignment="0" applyProtection="0"/>
    <xf numFmtId="0" fontId="89" fillId="0" borderId="16" applyNumberFormat="0" applyFill="0" applyAlignment="0" applyProtection="0"/>
    <xf numFmtId="0" fontId="89" fillId="0" borderId="0" applyNumberFormat="0" applyFill="0" applyBorder="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8"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8"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182" fillId="0" borderId="157"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0" fontId="35" fillId="0" borderId="132" applyNumberFormat="0" applyFill="0" applyAlignment="0" applyProtection="0"/>
    <xf numFmtId="37" fontId="17" fillId="38" borderId="0" applyNumberFormat="0" applyBorder="0" applyAlignment="0" applyProtection="0"/>
    <xf numFmtId="0" fontId="32" fillId="12" borderId="6"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8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67" fillId="0" borderId="0"/>
    <xf numFmtId="0" fontId="67"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69" fontId="11" fillId="0" borderId="0">
      <alignment horizontal="left" wrapText="1"/>
    </xf>
    <xf numFmtId="269" fontId="11" fillId="0" borderId="0">
      <alignment horizontal="left" wrapText="1"/>
    </xf>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36" fillId="105" borderId="0" applyNumberFormat="0" applyBorder="0" applyAlignment="0" applyProtection="0"/>
    <xf numFmtId="0" fontId="36" fillId="24"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6" borderId="0" applyNumberFormat="0" applyBorder="0" applyAlignment="0" applyProtection="0"/>
    <xf numFmtId="0" fontId="36" fillId="25"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61" borderId="0" applyNumberFormat="0" applyBorder="0" applyAlignment="0" applyProtection="0"/>
    <xf numFmtId="0" fontId="36" fillId="27"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107" borderId="0" applyNumberFormat="0" applyBorder="0" applyAlignment="0" applyProtection="0"/>
    <xf numFmtId="0" fontId="36" fillId="21" borderId="0" applyNumberFormat="0" applyBorder="0" applyAlignment="0" applyProtection="0"/>
    <xf numFmtId="0" fontId="36" fillId="107" borderId="0" applyNumberFormat="0" applyBorder="0" applyAlignment="0" applyProtection="0"/>
    <xf numFmtId="0" fontId="36" fillId="107" borderId="0" applyNumberFormat="0" applyBorder="0" applyAlignment="0" applyProtection="0"/>
    <xf numFmtId="0" fontId="36" fillId="108" borderId="0" applyNumberFormat="0" applyBorder="0" applyAlignment="0" applyProtection="0"/>
    <xf numFmtId="0" fontId="36" fillId="18" borderId="0" applyNumberFormat="0" applyBorder="0" applyAlignment="0" applyProtection="0"/>
    <xf numFmtId="0" fontId="36" fillId="108" borderId="0" applyNumberFormat="0" applyBorder="0" applyAlignment="0" applyProtection="0"/>
    <xf numFmtId="0" fontId="36" fillId="108" borderId="0" applyNumberFormat="0" applyBorder="0" applyAlignment="0" applyProtection="0"/>
    <xf numFmtId="0" fontId="36" fillId="109" borderId="0" applyNumberFormat="0" applyBorder="0" applyAlignment="0" applyProtection="0"/>
    <xf numFmtId="0" fontId="36" fillId="2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263" fontId="15" fillId="31" borderId="3">
      <alignment horizontal="center" vertical="center"/>
    </xf>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208" fillId="112" borderId="0"/>
    <xf numFmtId="251" fontId="11" fillId="0" borderId="0"/>
    <xf numFmtId="251" fontId="11" fillId="0" borderId="0"/>
    <xf numFmtId="251" fontId="11" fillId="0" borderId="0"/>
    <xf numFmtId="251" fontId="11" fillId="0" borderId="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0" fontId="209" fillId="39" borderId="168">
      <alignment horizontal="center" wrapText="1"/>
    </xf>
    <xf numFmtId="270" fontId="210" fillId="0" borderId="0">
      <alignment horizontal="left"/>
    </xf>
    <xf numFmtId="43" fontId="11"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246"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246" fontId="11" fillId="0" borderId="0" applyFont="0" applyFill="0" applyBorder="0" applyAlignment="0" applyProtection="0"/>
    <xf numFmtId="164" fontId="146" fillId="0" borderId="0" applyFont="0" applyFill="0" applyBorder="0" applyAlignment="0" applyProtection="0"/>
    <xf numFmtId="164" fontId="146" fillId="0" borderId="0" applyFont="0" applyFill="0" applyBorder="0" applyAlignment="0" applyProtection="0"/>
    <xf numFmtId="164" fontId="37" fillId="0" borderId="0" applyFont="0" applyFill="0" applyBorder="0" applyAlignment="0" applyProtection="0"/>
    <xf numFmtId="43" fontId="144"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164" fontId="146"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164"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245" fontId="146" fillId="0" borderId="0" applyFont="0" applyFill="0" applyBorder="0" applyAlignment="0" applyProtection="0"/>
    <xf numFmtId="245" fontId="146"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3" fontId="11" fillId="0" borderId="0" applyFont="0" applyFill="0" applyBorder="0" applyAlignment="0" applyProtection="0"/>
    <xf numFmtId="0" fontId="73" fillId="0" borderId="0" applyFont="0" applyFill="0" applyBorder="0" applyAlignment="0" applyProtection="0">
      <alignment horizontal="right"/>
    </xf>
    <xf numFmtId="164" fontId="146"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6" fillId="0" borderId="0" applyFont="0" applyFill="0" applyBorder="0" applyAlignment="0" applyProtection="0"/>
    <xf numFmtId="245" fontId="146" fillId="0" borderId="0" applyFont="0" applyFill="0" applyBorder="0" applyAlignment="0" applyProtection="0"/>
    <xf numFmtId="164" fontId="193"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264" fontId="12"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38" fontId="17" fillId="0" borderId="0">
      <alignment horizontal="right"/>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21" fontId="74" fillId="0" borderId="0">
      <protection locked="0"/>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22" fontId="74" fillId="0" borderId="0">
      <protection locked="0"/>
    </xf>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4" fillId="0" borderId="0">
      <protection locked="0"/>
    </xf>
    <xf numFmtId="0" fontId="11" fillId="0" borderId="0" applyFont="0" applyFill="0" applyBorder="0" applyAlignment="0" applyProtection="0"/>
    <xf numFmtId="0" fontId="11" fillId="0" borderId="0" applyFont="0" applyFill="0" applyBorder="0" applyAlignment="0" applyProtection="0"/>
    <xf numFmtId="6" fontId="80" fillId="0" borderId="0">
      <protection locked="0"/>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 fontId="11" fillId="0" borderId="0" applyFont="0" applyFill="0" applyBorder="0" applyAlignment="0" applyProtection="0"/>
    <xf numFmtId="267" fontId="74" fillId="0" borderId="0">
      <protection locked="0"/>
    </xf>
    <xf numFmtId="2" fontId="11" fillId="0" borderId="0" applyFont="0" applyFill="0" applyBorder="0" applyAlignment="0" applyProtection="0"/>
    <xf numFmtId="224"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25" fontId="24" fillId="0" borderId="0">
      <alignment vertical="center"/>
    </xf>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1" fillId="0" borderId="0">
      <protection locked="0"/>
    </xf>
    <xf numFmtId="0" fontId="11" fillId="0" borderId="0">
      <protection locked="0"/>
    </xf>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28" fillId="5" borderId="135" applyNumberFormat="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272" fontId="11" fillId="0" borderId="0" applyFont="0" applyFill="0" applyBorder="0" applyAlignment="0" applyProtection="0"/>
    <xf numFmtId="273"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27" fillId="65" borderId="0" applyNumberFormat="0" applyBorder="0" applyAlignment="0" applyProtection="0"/>
    <xf numFmtId="0" fontId="174" fillId="94"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268" fontId="200" fillId="0" borderId="0"/>
    <xf numFmtId="276" fontId="64" fillId="0" borderId="31" applyFont="0" applyFill="0" applyBorder="0" applyAlignment="0" applyProtection="0"/>
    <xf numFmtId="0" fontId="142" fillId="0" borderId="0"/>
    <xf numFmtId="0" fontId="204"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6" fillId="0" borderId="0"/>
    <xf numFmtId="0" fontId="146"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1" fillId="0" borderId="0"/>
    <xf numFmtId="0" fontId="11" fillId="0" borderId="0"/>
    <xf numFmtId="0" fontId="11" fillId="0" borderId="0"/>
    <xf numFmtId="0" fontId="144" fillId="0" borderId="0"/>
    <xf numFmtId="0" fontId="144"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1" fillId="0" borderId="0"/>
    <xf numFmtId="0" fontId="11" fillId="0" borderId="0"/>
    <xf numFmtId="0" fontId="144" fillId="0" borderId="0"/>
    <xf numFmtId="0" fontId="144"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1" fillId="0" borderId="0">
      <alignment vertical="top"/>
    </xf>
    <xf numFmtId="0" fontId="146"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2" fillId="0" borderId="0"/>
    <xf numFmtId="0" fontId="11" fillId="0" borderId="0"/>
    <xf numFmtId="0" fontId="11" fillId="0" borderId="0"/>
    <xf numFmtId="0" fontId="11" fillId="0" borderId="0"/>
    <xf numFmtId="0" fontId="142" fillId="0" borderId="0"/>
    <xf numFmtId="0" fontId="1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5" fillId="0" borderId="0"/>
    <xf numFmtId="0" fontId="11" fillId="0" borderId="0">
      <alignment wrapText="1"/>
    </xf>
    <xf numFmtId="0" fontId="37" fillId="0" borderId="0"/>
    <xf numFmtId="0" fontId="11" fillId="0" borderId="0"/>
    <xf numFmtId="0" fontId="11" fillId="0" borderId="0"/>
    <xf numFmtId="0" fontId="11" fillId="0" borderId="0"/>
    <xf numFmtId="0" fontId="11" fillId="0" borderId="0"/>
    <xf numFmtId="0" fontId="12" fillId="0" borderId="0"/>
    <xf numFmtId="0" fontId="11" fillId="0" borderId="0">
      <alignment wrapText="1"/>
    </xf>
    <xf numFmtId="0" fontId="11" fillId="0" borderId="0">
      <alignment wrapText="1"/>
    </xf>
    <xf numFmtId="0" fontId="20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37" fillId="0" borderId="0"/>
    <xf numFmtId="0" fontId="11" fillId="0" borderId="0"/>
    <xf numFmtId="0" fontId="2" fillId="0" borderId="0"/>
    <xf numFmtId="0" fontId="205"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42" fillId="0" borderId="0"/>
    <xf numFmtId="0" fontId="11" fillId="0" borderId="0">
      <alignment wrapText="1"/>
    </xf>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2" fillId="0" borderId="0"/>
    <xf numFmtId="0" fontId="37" fillId="0" borderId="0"/>
    <xf numFmtId="0" fontId="11" fillId="0" borderId="0"/>
    <xf numFmtId="0" fontId="11" fillId="0" borderId="0"/>
    <xf numFmtId="0" fontId="11" fillId="0" borderId="0"/>
    <xf numFmtId="0" fontId="11" fillId="0" borderId="0"/>
    <xf numFmtId="0" fontId="67" fillId="0" borderId="0"/>
    <xf numFmtId="0" fontId="144" fillId="0" borderId="0"/>
    <xf numFmtId="0" fontId="6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146" fillId="0" borderId="0"/>
    <xf numFmtId="0" fontId="146" fillId="0" borderId="0"/>
    <xf numFmtId="0" fontId="2" fillId="0" borderId="0"/>
    <xf numFmtId="0" fontId="37"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2" fillId="0" borderId="0"/>
    <xf numFmtId="0" fontId="37"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44" fillId="9" borderId="136" applyNumberFormat="0" applyFon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40" fontId="211" fillId="54" borderId="0">
      <alignment horizontal="right"/>
    </xf>
    <xf numFmtId="0" fontId="212" fillId="54" borderId="0">
      <alignment horizontal="right"/>
    </xf>
    <xf numFmtId="0" fontId="213" fillId="54" borderId="42"/>
    <xf numFmtId="0" fontId="213" fillId="0" borderId="0" applyBorder="0">
      <alignment horizontal="centerContinuous"/>
    </xf>
    <xf numFmtId="0" fontId="214" fillId="0" borderId="0" applyBorder="0">
      <alignment horizontal="centerContinuous"/>
    </xf>
    <xf numFmtId="9" fontId="67" fillId="0" borderId="0" applyFont="0" applyFill="0" applyBorder="0" applyAlignment="0" applyProtection="0"/>
    <xf numFmtId="9" fontId="12" fillId="0" borderId="0" applyFont="0" applyFill="0" applyBorder="0" applyAlignment="0" applyProtection="0"/>
    <xf numFmtId="9" fontId="67" fillId="0" borderId="0" applyFont="0" applyFill="0" applyBorder="0" applyAlignment="0" applyProtection="0"/>
    <xf numFmtId="9" fontId="11"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37"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37"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1" fillId="0" borderId="0" applyFont="0" applyFill="0" applyBorder="0" applyAlignment="0" applyProtection="0"/>
    <xf numFmtId="0" fontId="188" fillId="0" borderId="0" applyNumberFormat="0" applyFont="0" applyFill="0" applyBorder="0" applyAlignment="0" applyProtection="0">
      <alignment horizontal="left"/>
    </xf>
    <xf numFmtId="15" fontId="188" fillId="0" borderId="0" applyFont="0" applyFill="0" applyBorder="0" applyAlignment="0" applyProtection="0"/>
    <xf numFmtId="4" fontId="188" fillId="0" borderId="0" applyFont="0" applyFill="0" applyBorder="0" applyAlignment="0" applyProtection="0"/>
    <xf numFmtId="0" fontId="192" fillId="0" borderId="8">
      <alignment horizontal="center"/>
    </xf>
    <xf numFmtId="3" fontId="188" fillId="0" borderId="0" applyFont="0" applyFill="0" applyBorder="0" applyAlignment="0" applyProtection="0"/>
    <xf numFmtId="0" fontId="188" fillId="111" borderId="0" applyNumberFormat="0" applyFont="0" applyBorder="0" applyAlignment="0" applyProtection="0"/>
    <xf numFmtId="4" fontId="99" fillId="0" borderId="144" applyNumberFormat="0" applyProtection="0">
      <alignment vertical="center"/>
    </xf>
    <xf numFmtId="4" fontId="99" fillId="0" borderId="144" applyNumberFormat="0" applyProtection="0">
      <alignment horizontal="left" vertical="center" indent="1"/>
    </xf>
    <xf numFmtId="4" fontId="99" fillId="0" borderId="0" applyNumberFormat="0" applyProtection="0">
      <alignment horizontal="left" vertical="center" indent="1"/>
    </xf>
    <xf numFmtId="4" fontId="71" fillId="0" borderId="144" applyNumberFormat="0" applyProtection="0">
      <alignment horizontal="right" vertical="center"/>
    </xf>
    <xf numFmtId="4" fontId="71" fillId="0" borderId="144" applyNumberFormat="0" applyProtection="0">
      <alignment horizontal="left" vertical="center" indent="1"/>
    </xf>
    <xf numFmtId="0" fontId="71" fillId="0" borderId="0">
      <alignment vertical="top"/>
    </xf>
    <xf numFmtId="0" fontId="153" fillId="0" borderId="0"/>
    <xf numFmtId="0" fontId="141" fillId="0" borderId="0" applyNumberFormat="0" applyFont="0" applyFill="0" applyBorder="0" applyProtection="0">
      <alignment horizontal="center" wrapText="1"/>
    </xf>
    <xf numFmtId="277" fontId="67" fillId="0" borderId="0"/>
    <xf numFmtId="0" fontId="25" fillId="0" borderId="0" applyNumberFormat="0" applyFill="0" applyBorder="0" applyAlignment="0" applyProtection="0"/>
    <xf numFmtId="0" fontId="35" fillId="0" borderId="132"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5" fontId="146" fillId="0" borderId="0" applyFont="0" applyFill="0" applyBorder="0" applyAlignment="0" applyProtection="0"/>
    <xf numFmtId="0" fontId="2" fillId="0" borderId="0"/>
    <xf numFmtId="245" fontId="146"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244"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7" applyNumberFormat="0" applyFont="0" applyAlignment="0" applyProtection="0"/>
    <xf numFmtId="0" fontId="2" fillId="55" borderId="47" applyNumberFormat="0" applyFont="0" applyAlignment="0" applyProtection="0"/>
    <xf numFmtId="0" fontId="12" fillId="0" borderId="0"/>
    <xf numFmtId="4" fontId="99" fillId="2" borderId="144" applyNumberFormat="0" applyProtection="0">
      <alignment vertical="center"/>
    </xf>
    <xf numFmtId="0" fontId="2" fillId="55" borderId="47" applyNumberFormat="0" applyFont="0" applyAlignment="0" applyProtection="0"/>
    <xf numFmtId="0" fontId="2" fillId="55" borderId="47" applyNumberFormat="0" applyFont="0" applyAlignment="0" applyProtection="0"/>
    <xf numFmtId="4" fontId="99" fillId="69" borderId="0" applyNumberFormat="0" applyProtection="0">
      <alignment horizontal="left" vertical="center" indent="1"/>
    </xf>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4" fontId="71" fillId="72" borderId="144" applyNumberFormat="0" applyProtection="0">
      <alignment horizontal="right" vertical="center"/>
    </xf>
    <xf numFmtId="4" fontId="151" fillId="72" borderId="144" applyNumberFormat="0" applyProtection="0">
      <alignment horizontal="right" vertical="center"/>
    </xf>
    <xf numFmtId="4" fontId="71" fillId="69" borderId="144" applyNumberFormat="0" applyProtection="0">
      <alignment horizontal="left" vertical="center" indent="1"/>
    </xf>
    <xf numFmtId="0" fontId="207" fillId="55" borderId="47" applyNumberFormat="0" applyFont="0" applyAlignment="0" applyProtection="0"/>
    <xf numFmtId="0" fontId="13" fillId="0" borderId="0" applyFill="0" applyBorder="0" applyProtection="0">
      <alignment horizontal="centerContinuous" wrapText="1"/>
    </xf>
    <xf numFmtId="43" fontId="144"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144" fillId="0" borderId="0" applyFont="0" applyFill="0" applyBorder="0" applyAlignment="0" applyProtection="0"/>
    <xf numFmtId="0" fontId="144" fillId="0" borderId="0"/>
    <xf numFmtId="9" fontId="2"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14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2" fillId="0" borderId="0" applyFont="0" applyFill="0" applyBorder="0" applyAlignment="0" applyProtection="0"/>
    <xf numFmtId="9" fontId="1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4" fillId="0" borderId="0"/>
    <xf numFmtId="9" fontId="2" fillId="0" borderId="0" applyFont="0" applyFill="0" applyBorder="0" applyAlignment="0" applyProtection="0"/>
    <xf numFmtId="43" fontId="144" fillId="0" borderId="0" applyFont="0" applyFill="0" applyBorder="0" applyAlignment="0" applyProtection="0"/>
    <xf numFmtId="0" fontId="144" fillId="0" borderId="0"/>
    <xf numFmtId="0" fontId="144" fillId="0" borderId="0"/>
    <xf numFmtId="0" fontId="146" fillId="0" borderId="0"/>
    <xf numFmtId="9" fontId="146" fillId="0" borderId="0" applyFont="0" applyFill="0" applyBorder="0" applyAlignment="0" applyProtection="0"/>
    <xf numFmtId="43" fontId="2" fillId="0" borderId="0" applyFont="0" applyFill="0" applyBorder="0" applyAlignment="0" applyProtection="0"/>
    <xf numFmtId="0" fontId="144" fillId="0" borderId="0"/>
    <xf numFmtId="0" fontId="11" fillId="0" borderId="0"/>
    <xf numFmtId="44" fontId="71" fillId="0" borderId="0" applyFont="0" applyFill="0" applyBorder="0" applyAlignment="0" applyProtection="0"/>
    <xf numFmtId="0" fontId="71" fillId="0" borderId="0"/>
    <xf numFmtId="0" fontId="11" fillId="0" borderId="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59" fillId="72" borderId="144" applyNumberFormat="0" applyProtection="0">
      <alignment horizontal="left" vertical="center" indent="1"/>
    </xf>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30" fillId="14" borderId="135" applyNumberFormat="0" applyAlignment="0" applyProtection="0"/>
    <xf numFmtId="0" fontId="30" fillId="14" borderId="135" applyNumberFormat="0" applyAlignment="0" applyProtection="0"/>
    <xf numFmtId="0" fontId="32" fillId="12" borderId="6" applyNumberFormat="0" applyAlignment="0" applyProtection="0"/>
    <xf numFmtId="0" fontId="32" fillId="12"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37"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7"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269" fontId="11" fillId="0" borderId="0">
      <alignment horizontal="left" wrapText="1"/>
    </xf>
    <xf numFmtId="43" fontId="11" fillId="0" borderId="0" applyFont="0" applyFill="0" applyBorder="0" applyAlignment="0" applyProtection="0"/>
    <xf numFmtId="0" fontId="2" fillId="0" borderId="0"/>
    <xf numFmtId="0" fontId="142" fillId="0" borderId="0"/>
    <xf numFmtId="0" fontId="11" fillId="0" borderId="0"/>
    <xf numFmtId="0" fontId="11" fillId="0" borderId="0"/>
    <xf numFmtId="9" fontId="11" fillId="0" borderId="0" applyFont="0" applyFill="0" applyBorder="0" applyAlignment="0" applyProtection="0"/>
    <xf numFmtId="277" fontId="67" fillId="0" borderId="0"/>
    <xf numFmtId="0" fontId="83" fillId="0" borderId="0"/>
    <xf numFmtId="9" fontId="11" fillId="0" borderId="0" applyFont="0" applyFill="0" applyBorder="0" applyAlignment="0" applyProtection="0"/>
    <xf numFmtId="0" fontId="11" fillId="0" borderId="0"/>
    <xf numFmtId="9" fontId="2" fillId="0" borderId="0" applyFont="0" applyFill="0" applyBorder="0" applyAlignment="0" applyProtection="0"/>
    <xf numFmtId="0" fontId="67" fillId="0" borderId="0"/>
    <xf numFmtId="43" fontId="11" fillId="0" borderId="0" applyFont="0" applyFill="0" applyBorder="0" applyAlignment="0" applyProtection="0"/>
    <xf numFmtId="0" fontId="36" fillId="25" borderId="0" applyNumberFormat="0" applyBorder="0" applyAlignment="0" applyProtection="0"/>
    <xf numFmtId="43" fontId="147" fillId="0" borderId="0" applyFont="0" applyFill="0" applyBorder="0" applyAlignment="0" applyProtection="0"/>
    <xf numFmtId="0" fontId="11" fillId="0" borderId="0"/>
    <xf numFmtId="0" fontId="11" fillId="0" borderId="0"/>
    <xf numFmtId="0" fontId="11" fillId="0" borderId="0"/>
    <xf numFmtId="0" fontId="11" fillId="0" borderId="0"/>
    <xf numFmtId="0" fontId="142" fillId="0" borderId="0"/>
    <xf numFmtId="0" fontId="11" fillId="0" borderId="0"/>
    <xf numFmtId="0" fontId="11" fillId="0" borderId="0"/>
    <xf numFmtId="44"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0" fontId="173" fillId="93" borderId="0" applyNumberFormat="0" applyBorder="0" applyAlignment="0" applyProtection="0"/>
    <xf numFmtId="0" fontId="71" fillId="7" borderId="0" applyNumberFormat="0" applyBorder="0" applyAlignment="0" applyProtection="0"/>
    <xf numFmtId="0" fontId="71" fillId="69" borderId="0" applyNumberFormat="0" applyBorder="0" applyAlignment="0" applyProtection="0"/>
    <xf numFmtId="0" fontId="67" fillId="0" borderId="0"/>
    <xf numFmtId="44" fontId="11"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87" fillId="0" borderId="13" applyNumberFormat="0" applyFill="0" applyAlignment="0" applyProtection="0"/>
    <xf numFmtId="0" fontId="87" fillId="0" borderId="13"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89" fillId="0" borderId="16" applyNumberFormat="0" applyFill="0" applyAlignment="0" applyProtection="0"/>
    <xf numFmtId="0" fontId="89" fillId="0" borderId="1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 fillId="5" borderId="135" applyNumberFormat="0" applyAlignment="0" applyProtection="0"/>
    <xf numFmtId="0" fontId="31" fillId="0" borderId="21" applyNumberFormat="0" applyFill="0" applyAlignment="0" applyProtection="0"/>
    <xf numFmtId="0" fontId="31" fillId="0" borderId="21" applyNumberFormat="0" applyFill="0" applyAlignment="0" applyProtection="0"/>
    <xf numFmtId="0" fontId="27" fillId="2" borderId="0" applyNumberFormat="0" applyBorder="0" applyAlignment="0" applyProtection="0"/>
    <xf numFmtId="0" fontId="27" fillId="2" borderId="0" applyNumberFormat="0" applyBorder="0" applyAlignment="0" applyProtection="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9" borderId="136" applyNumberFormat="0" applyFont="0" applyAlignment="0" applyProtection="0"/>
    <xf numFmtId="0" fontId="144" fillId="9" borderId="136" applyNumberFormat="0" applyFont="0" applyAlignment="0" applyProtection="0"/>
    <xf numFmtId="0" fontId="29" fillId="14" borderId="137" applyNumberFormat="0" applyAlignment="0" applyProtection="0"/>
    <xf numFmtId="0" fontId="29" fillId="14" borderId="137" applyNumberFormat="0" applyAlignment="0" applyProtection="0"/>
    <xf numFmtId="9" fontId="11"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xf numFmtId="164" fontId="146" fillId="0" borderId="0" applyFont="0" applyFill="0" applyBorder="0" applyAlignment="0" applyProtection="0"/>
    <xf numFmtId="245" fontId="146" fillId="0" borderId="0" applyFont="0" applyFill="0" applyBorder="0" applyAlignment="0" applyProtection="0"/>
    <xf numFmtId="245" fontId="146" fillId="0" borderId="0" applyFont="0" applyFill="0" applyBorder="0" applyAlignment="0" applyProtection="0"/>
    <xf numFmtId="0" fontId="146" fillId="0" borderId="0"/>
    <xf numFmtId="9" fontId="146" fillId="0" borderId="0" applyFont="0" applyFill="0" applyBorder="0" applyAlignment="0" applyProtection="0"/>
    <xf numFmtId="244" fontId="146" fillId="0" borderId="0" applyFont="0" applyFill="0" applyBorder="0" applyAlignment="0" applyProtection="0"/>
    <xf numFmtId="244" fontId="146" fillId="0" borderId="0" applyFont="0" applyFill="0" applyBorder="0" applyAlignment="0" applyProtection="0"/>
    <xf numFmtId="244" fontId="146" fillId="0" borderId="0" applyFont="0" applyFill="0" applyBorder="0" applyAlignment="0" applyProtection="0"/>
    <xf numFmtId="244" fontId="146" fillId="0" borderId="0" applyFont="0" applyFill="0" applyBorder="0" applyAlignment="0" applyProtection="0"/>
    <xf numFmtId="244" fontId="146" fillId="0" borderId="0" applyFont="0" applyFill="0" applyBorder="0" applyAlignment="0" applyProtection="0"/>
    <xf numFmtId="9" fontId="2" fillId="0" borderId="0" applyFont="0" applyFill="0" applyBorder="0" applyAlignment="0" applyProtection="0"/>
    <xf numFmtId="0" fontId="206" fillId="0" borderId="0"/>
    <xf numFmtId="43" fontId="2" fillId="0" borderId="0" applyFont="0" applyFill="0" applyBorder="0" applyAlignment="0" applyProtection="0"/>
    <xf numFmtId="164" fontId="206" fillId="0" borderId="0" applyFont="0" applyFill="0" applyBorder="0" applyAlignment="0" applyProtection="0"/>
    <xf numFmtId="164" fontId="146" fillId="0" borderId="0" applyFont="0" applyFill="0" applyBorder="0" applyAlignment="0" applyProtection="0"/>
    <xf numFmtId="245" fontId="146"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0" fontId="12" fillId="0" borderId="0"/>
    <xf numFmtId="0" fontId="146" fillId="0" borderId="0"/>
    <xf numFmtId="0" fontId="146" fillId="0" borderId="0"/>
    <xf numFmtId="9" fontId="11"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11" fillId="0" borderId="0"/>
    <xf numFmtId="44" fontId="11" fillId="0" borderId="0" applyFont="0" applyFill="0" applyBorder="0" applyAlignment="0" applyProtection="0"/>
    <xf numFmtId="0" fontId="146"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2" fillId="0" borderId="0"/>
    <xf numFmtId="0" fontId="2" fillId="0" borderId="0"/>
    <xf numFmtId="0" fontId="2" fillId="0" borderId="0"/>
    <xf numFmtId="0" fontId="2" fillId="0" borderId="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01" fillId="72" borderId="144" applyNumberFormat="0" applyProtection="0">
      <alignment horizontal="left" vertical="center" indent="1"/>
    </xf>
    <xf numFmtId="43" fontId="11" fillId="0" borderId="0" applyFont="0" applyFill="0" applyBorder="0" applyAlignment="0" applyProtection="0"/>
    <xf numFmtId="44" fontId="3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6" fontId="80" fillId="0" borderId="0">
      <protection locked="0"/>
    </xf>
    <xf numFmtId="6" fontId="80" fillId="0" borderId="0">
      <protection locked="0"/>
    </xf>
    <xf numFmtId="6" fontId="80" fillId="0" borderId="0">
      <protection locked="0"/>
    </xf>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6" fontId="80" fillId="0" borderId="0">
      <protection locked="0"/>
    </xf>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221" fontId="74" fillId="0" borderId="0">
      <protection locked="0"/>
    </xf>
    <xf numFmtId="44" fontId="2" fillId="0" borderId="0" applyFont="0" applyFill="0" applyBorder="0" applyAlignment="0" applyProtection="0"/>
    <xf numFmtId="6" fontId="80" fillId="0" borderId="0">
      <protection locked="0"/>
    </xf>
    <xf numFmtId="43" fontId="2" fillId="0" borderId="0" applyFont="0" applyFill="0" applyBorder="0" applyAlignment="0" applyProtection="0"/>
    <xf numFmtId="221" fontId="74" fillId="0" borderId="0">
      <protection locked="0"/>
    </xf>
    <xf numFmtId="44" fontId="2" fillId="0" borderId="0" applyFont="0" applyFill="0" applyBorder="0" applyAlignment="0" applyProtection="0"/>
    <xf numFmtId="221" fontId="74" fillId="0" borderId="0">
      <protection locked="0"/>
    </xf>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6" fontId="80" fillId="0" borderId="0">
      <protection locked="0"/>
    </xf>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6" fontId="80" fillId="0" borderId="0">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6" fontId="80" fillId="0" borderId="0">
      <protection locked="0"/>
    </xf>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6" fontId="80" fillId="0" borderId="0">
      <protection locked="0"/>
    </xf>
    <xf numFmtId="6" fontId="80" fillId="0" borderId="0">
      <protection locked="0"/>
    </xf>
    <xf numFmtId="0" fontId="2" fillId="0" borderId="0"/>
    <xf numFmtId="6" fontId="80" fillId="0" borderId="0">
      <protection locked="0"/>
    </xf>
    <xf numFmtId="9" fontId="2" fillId="0" borderId="0" applyFont="0" applyFill="0" applyBorder="0" applyAlignment="0" applyProtection="0"/>
    <xf numFmtId="221" fontId="74" fillId="0" borderId="0">
      <protection locked="0"/>
    </xf>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6" fontId="80" fillId="0" borderId="0">
      <protection locked="0"/>
    </xf>
    <xf numFmtId="6" fontId="80" fillId="0" borderId="0">
      <protection locked="0"/>
    </xf>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6" fontId="80" fillId="0" borderId="0">
      <protection locked="0"/>
    </xf>
    <xf numFmtId="0" fontId="2" fillId="0" borderId="0"/>
    <xf numFmtId="6" fontId="80" fillId="0" borderId="0">
      <protection locked="0"/>
    </xf>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6" fontId="80" fillId="0" borderId="0">
      <protection locked="0"/>
    </xf>
    <xf numFmtId="0" fontId="2" fillId="0" borderId="0"/>
    <xf numFmtId="6" fontId="80" fillId="0" borderId="0">
      <protection locked="0"/>
    </xf>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221" fontId="74" fillId="0" borderId="0">
      <protection locked="0"/>
    </xf>
    <xf numFmtId="9" fontId="2" fillId="0" borderId="0" applyFont="0" applyFill="0" applyBorder="0" applyAlignment="0" applyProtection="0"/>
    <xf numFmtId="43" fontId="2" fillId="0" borderId="0" applyFont="0" applyFill="0" applyBorder="0" applyAlignment="0" applyProtection="0"/>
    <xf numFmtId="221" fontId="74" fillId="0" borderId="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1" fontId="74" fillId="0" borderId="0">
      <protection locked="0"/>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0" fillId="0" borderId="0">
      <protection locked="0"/>
    </xf>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6" fontId="80" fillId="0" borderId="0">
      <protection locked="0"/>
    </xf>
    <xf numFmtId="6" fontId="80" fillId="0" borderId="0">
      <protection locked="0"/>
    </xf>
    <xf numFmtId="6" fontId="80" fillId="0" borderId="0">
      <protection locked="0"/>
    </xf>
    <xf numFmtId="6" fontId="80" fillId="0" borderId="0">
      <protection locked="0"/>
    </xf>
    <xf numFmtId="0" fontId="2" fillId="0" borderId="0"/>
    <xf numFmtId="221" fontId="74" fillId="0" borderId="0">
      <protection locked="0"/>
    </xf>
    <xf numFmtId="0" fontId="2" fillId="0" borderId="0"/>
    <xf numFmtId="0" fontId="2" fillId="0" borderId="0"/>
    <xf numFmtId="43" fontId="11" fillId="0" borderId="0" applyFont="0" applyFill="0" applyBorder="0" applyAlignment="0" applyProtection="0"/>
    <xf numFmtId="0" fontId="2" fillId="0" borderId="0"/>
    <xf numFmtId="6" fontId="80" fillId="0" borderId="0">
      <protection locked="0"/>
    </xf>
    <xf numFmtId="6" fontId="80" fillId="0" borderId="0">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221" fontId="74" fillId="0" borderId="0">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36" fillId="107" borderId="0" applyNumberFormat="0" applyBorder="0" applyAlignment="0" applyProtection="0"/>
    <xf numFmtId="0" fontId="2" fillId="80" borderId="0" applyNumberFormat="0" applyBorder="0" applyAlignment="0" applyProtection="0"/>
    <xf numFmtId="0" fontId="36" fillId="107"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36" fillId="107"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6"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36" fillId="10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36" fillId="108" borderId="0" applyNumberFormat="0" applyBorder="0" applyAlignment="0" applyProtection="0"/>
    <xf numFmtId="0" fontId="36" fillId="108"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46"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6" fillId="108"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4" fillId="60" borderId="0" applyNumberFormat="0" applyBorder="0" applyAlignment="0" applyProtection="0"/>
    <xf numFmtId="0" fontId="195" fillId="110" borderId="135" applyNumberFormat="0" applyAlignment="0" applyProtection="0"/>
    <xf numFmtId="0" fontId="195" fillId="110" borderId="135" applyNumberFormat="0" applyAlignment="0" applyProtection="0"/>
    <xf numFmtId="0" fontId="195" fillId="110" borderId="135" applyNumberFormat="0" applyAlignment="0" applyProtection="0"/>
    <xf numFmtId="0" fontId="32" fillId="61" borderId="6" applyNumberFormat="0" applyAlignment="0" applyProtection="0"/>
    <xf numFmtId="0" fontId="32" fillId="61" borderId="6" applyNumberFormat="0" applyAlignment="0" applyProtection="0"/>
    <xf numFmtId="0" fontId="32" fillId="61" borderId="6" applyNumberFormat="0" applyAlignment="0" applyProtection="0"/>
    <xf numFmtId="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164" fontId="146" fillId="0" borderId="0" applyFont="0" applyFill="0" applyBorder="0" applyAlignment="0" applyProtection="0"/>
    <xf numFmtId="43" fontId="144" fillId="0" borderId="0" applyFont="0" applyFill="0" applyBorder="0" applyAlignment="0" applyProtection="0"/>
    <xf numFmtId="164" fontId="146"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43" fontId="144"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45" fontId="146" fillId="0" borderId="0" applyFont="0" applyFill="0" applyBorder="0" applyAlignment="0" applyProtection="0"/>
    <xf numFmtId="203" fontId="11" fillId="0" borderId="0" applyFont="0" applyFill="0" applyBorder="0" applyAlignment="0" applyProtection="0"/>
    <xf numFmtId="243" fontId="11" fillId="0" borderId="0" applyFont="0" applyFill="0" applyBorder="0" applyAlignment="0" applyProtection="0"/>
    <xf numFmtId="0" fontId="73" fillId="0" borderId="0" applyFont="0" applyFill="0" applyBorder="0" applyAlignment="0" applyProtection="0">
      <alignment horizontal="right"/>
    </xf>
    <xf numFmtId="43" fontId="37" fillId="0" borderId="0" applyFont="0" applyFill="0" applyBorder="0" applyAlignment="0" applyProtection="0"/>
    <xf numFmtId="164" fontId="19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64" fontId="12"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03" fontId="11" fillId="0" borderId="0" applyFont="0" applyFill="0" applyBorder="0" applyAlignment="0" applyProtection="0"/>
    <xf numFmtId="221" fontId="74" fillId="0" borderId="0">
      <protection locked="0"/>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2" fontId="74" fillId="0" borderId="0">
      <protection locked="0"/>
    </xf>
    <xf numFmtId="0" fontId="74" fillId="0" borderId="0">
      <protection locked="0"/>
    </xf>
    <xf numFmtId="6" fontId="80" fillId="0" borderId="0">
      <protection locked="0"/>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67" fontId="74" fillId="0" borderId="0">
      <protection locked="0"/>
    </xf>
    <xf numFmtId="224" fontId="11" fillId="0" borderId="0">
      <protection locked="0"/>
    </xf>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84" fillId="0" borderId="12" applyNumberFormat="0" applyFill="0" applyAlignment="0" applyProtection="0"/>
    <xf numFmtId="0" fontId="184" fillId="0" borderId="12" applyNumberFormat="0" applyFill="0" applyAlignment="0" applyProtection="0"/>
    <xf numFmtId="0" fontId="184" fillId="0" borderId="12"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85" fillId="0" borderId="15" applyNumberFormat="0" applyFill="0" applyAlignment="0" applyProtection="0"/>
    <xf numFmtId="0" fontId="128" fillId="0" borderId="160" applyNumberFormat="0" applyFill="0" applyAlignment="0" applyProtection="0"/>
    <xf numFmtId="0" fontId="128" fillId="0" borderId="160"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203" fillId="0" borderId="0" applyNumberFormat="0" applyFill="0" applyBorder="0" applyAlignment="0" applyProtection="0"/>
    <xf numFmtId="0" fontId="198" fillId="65" borderId="135" applyNumberFormat="0" applyAlignment="0" applyProtection="0"/>
    <xf numFmtId="0" fontId="198" fillId="65" borderId="135" applyNumberFormat="0" applyAlignment="0" applyProtection="0"/>
    <xf numFmtId="0" fontId="198" fillId="65" borderId="135" applyNumberFormat="0" applyAlignment="0" applyProtection="0"/>
    <xf numFmtId="0" fontId="199" fillId="0" borderId="166" applyNumberFormat="0" applyFill="0" applyAlignment="0" applyProtection="0"/>
    <xf numFmtId="0" fontId="199" fillId="0" borderId="166" applyNumberFormat="0" applyFill="0" applyAlignment="0" applyProtection="0"/>
    <xf numFmtId="0" fontId="199" fillId="0" borderId="166" applyNumberFormat="0" applyFill="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04" fillId="0" borderId="0"/>
    <xf numFmtId="0" fontId="11" fillId="0" borderId="0"/>
    <xf numFmtId="0" fontId="146" fillId="0" borderId="0"/>
    <xf numFmtId="0" fontId="146" fillId="0" borderId="0"/>
    <xf numFmtId="0" fontId="2" fillId="0" borderId="0"/>
    <xf numFmtId="0" fontId="142" fillId="0" borderId="0"/>
    <xf numFmtId="0" fontId="142" fillId="0" borderId="0"/>
    <xf numFmtId="0" fontId="142" fillId="0" borderId="0"/>
    <xf numFmtId="0" fontId="142" fillId="0" borderId="0"/>
    <xf numFmtId="0" fontId="2" fillId="0" borderId="0"/>
    <xf numFmtId="0" fontId="144" fillId="0" borderId="0"/>
    <xf numFmtId="0" fontId="144"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2" fillId="0" borderId="0"/>
    <xf numFmtId="0" fontId="142" fillId="0" borderId="0"/>
    <xf numFmtId="0" fontId="142" fillId="0" borderId="0"/>
    <xf numFmtId="0" fontId="2" fillId="0" borderId="0"/>
    <xf numFmtId="0" fontId="142" fillId="0" borderId="0"/>
    <xf numFmtId="0" fontId="144" fillId="0" borderId="0"/>
    <xf numFmtId="0" fontId="144" fillId="0" borderId="0"/>
    <xf numFmtId="0" fontId="11" fillId="0" borderId="0">
      <alignment vertical="top"/>
    </xf>
    <xf numFmtId="0" fontId="146"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37"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142" fillId="0" borderId="0"/>
    <xf numFmtId="0" fontId="142" fillId="0" borderId="0"/>
    <xf numFmtId="0" fontId="142" fillId="0" borderId="0"/>
    <xf numFmtId="0" fontId="142" fillId="0" borderId="0"/>
    <xf numFmtId="0" fontId="2" fillId="0" borderId="0"/>
    <xf numFmtId="0" fontId="142" fillId="0" borderId="0"/>
    <xf numFmtId="0" fontId="2" fillId="0" borderId="0"/>
    <xf numFmtId="0" fontId="142" fillId="0" borderId="0"/>
    <xf numFmtId="0" fontId="2" fillId="0" borderId="0"/>
    <xf numFmtId="0" fontId="142" fillId="0" borderId="0"/>
    <xf numFmtId="0" fontId="2" fillId="0" borderId="0"/>
    <xf numFmtId="0" fontId="2" fillId="0" borderId="0"/>
    <xf numFmtId="0" fontId="205" fillId="0" borderId="0"/>
    <xf numFmtId="0" fontId="11" fillId="0" borderId="0">
      <alignment wrapText="1"/>
    </xf>
    <xf numFmtId="0" fontId="37" fillId="0" borderId="0"/>
    <xf numFmtId="0" fontId="11" fillId="0" borderId="0">
      <alignment wrapText="1"/>
    </xf>
    <xf numFmtId="0" fontId="11" fillId="0" borderId="0">
      <alignment wrapText="1"/>
    </xf>
    <xf numFmtId="0" fontId="205" fillId="0" borderId="0"/>
    <xf numFmtId="0" fontId="14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6" fillId="0" borderId="0"/>
    <xf numFmtId="0" fontId="205" fillId="0" borderId="0"/>
    <xf numFmtId="0" fontId="37" fillId="0" borderId="0"/>
    <xf numFmtId="0" fontId="2" fillId="0" borderId="0"/>
    <xf numFmtId="0" fontId="11" fillId="0" borderId="0"/>
    <xf numFmtId="0" fontId="146" fillId="0" borderId="0"/>
    <xf numFmtId="0" fontId="11" fillId="0" borderId="0"/>
    <xf numFmtId="0" fontId="142" fillId="0" borderId="0"/>
    <xf numFmtId="0" fontId="12" fillId="0" borderId="0"/>
    <xf numFmtId="0" fontId="11" fillId="0" borderId="0">
      <alignment wrapText="1"/>
    </xf>
    <xf numFmtId="0" fontId="37" fillId="0" borderId="0"/>
    <xf numFmtId="0" fontId="205"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7" fillId="0" borderId="0"/>
    <xf numFmtId="0" fontId="144" fillId="0" borderId="0"/>
    <xf numFmtId="0" fontId="144" fillId="0" borderId="0"/>
    <xf numFmtId="0" fontId="144" fillId="0" borderId="0"/>
    <xf numFmtId="0" fontId="144" fillId="0" borderId="0"/>
    <xf numFmtId="0" fontId="92" fillId="0" borderId="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37" fillId="55" borderId="47" applyNumberFormat="0" applyFont="0" applyAlignment="0" applyProtection="0"/>
    <xf numFmtId="0" fontId="11" fillId="64" borderId="136" applyNumberFormat="0" applyFont="0" applyAlignment="0" applyProtection="0"/>
    <xf numFmtId="0" fontId="37" fillId="55" borderId="47" applyNumberFormat="0" applyFont="0" applyAlignment="0" applyProtection="0"/>
    <xf numFmtId="0" fontId="29" fillId="110" borderId="137" applyNumberFormat="0" applyAlignment="0" applyProtection="0"/>
    <xf numFmtId="0" fontId="29" fillId="110" borderId="137" applyNumberFormat="0" applyAlignment="0" applyProtection="0"/>
    <xf numFmtId="0" fontId="29" fillId="110" borderId="137" applyNumberFormat="0" applyAlignment="0" applyProtection="0"/>
    <xf numFmtId="9" fontId="11"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01" fillId="72" borderId="144" applyNumberFormat="0" applyProtection="0">
      <alignment horizontal="left" vertical="center" indent="1"/>
    </xf>
    <xf numFmtId="0" fontId="71" fillId="0" borderId="0">
      <alignment vertical="top"/>
    </xf>
    <xf numFmtId="0" fontId="35" fillId="0" borderId="132" applyNumberFormat="0" applyFill="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9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6" fontId="80" fillId="0" borderId="0">
      <protection locked="0"/>
    </xf>
    <xf numFmtId="221" fontId="74" fillId="0" borderId="0">
      <protection locked="0"/>
    </xf>
    <xf numFmtId="221" fontId="74" fillId="0" borderId="0">
      <protection locked="0"/>
    </xf>
    <xf numFmtId="6" fontId="80" fillId="0" borderId="0">
      <protection locked="0"/>
    </xf>
    <xf numFmtId="6" fontId="80" fillId="0" borderId="0">
      <protection locked="0"/>
    </xf>
    <xf numFmtId="0" fontId="11" fillId="9" borderId="136" applyNumberFormat="0" applyFont="0" applyAlignment="0" applyProtection="0"/>
    <xf numFmtId="6" fontId="80" fillId="0" borderId="0">
      <protection locked="0"/>
    </xf>
    <xf numFmtId="221" fontId="74" fillId="0" borderId="0">
      <protection locked="0"/>
    </xf>
    <xf numFmtId="0" fontId="2" fillId="0" borderId="0"/>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1" fontId="74" fillId="0" borderId="0">
      <protection locked="0"/>
    </xf>
    <xf numFmtId="222" fontId="74" fillId="0" borderId="0">
      <protection locked="0"/>
    </xf>
    <xf numFmtId="224" fontId="11" fillId="0" borderId="0">
      <protection locked="0"/>
    </xf>
    <xf numFmtId="0" fontId="1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34" fontId="74" fillId="0" borderId="0">
      <protection locked="0"/>
    </xf>
    <xf numFmtId="4" fontId="11" fillId="45" borderId="0" applyNumberFormat="0" applyProtection="0">
      <alignment horizontal="left" vertical="center"/>
    </xf>
    <xf numFmtId="1" fontId="67" fillId="0" borderId="0" applyBorder="0">
      <alignment horizontal="left" vertical="top" wrapText="1"/>
    </xf>
    <xf numFmtId="0" fontId="71"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0" fontId="53"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6" fontId="80" fillId="0" borderId="0">
      <protection locked="0"/>
    </xf>
    <xf numFmtId="221" fontId="74" fillId="0" borderId="0">
      <protection locked="0"/>
    </xf>
    <xf numFmtId="9" fontId="11" fillId="0" borderId="0" applyFont="0" applyFill="0" applyBorder="0" applyAlignment="0" applyProtection="0"/>
    <xf numFmtId="221" fontId="74" fillId="0" borderId="0">
      <protection locked="0"/>
    </xf>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143" fillId="0" borderId="0"/>
    <xf numFmtId="221" fontId="74" fillId="0" borderId="0">
      <protection locked="0"/>
    </xf>
    <xf numFmtId="221" fontId="74" fillId="0" borderId="0">
      <protection locked="0"/>
    </xf>
    <xf numFmtId="164" fontId="146" fillId="0" borderId="0" applyFont="0" applyFill="0" applyBorder="0" applyAlignment="0" applyProtection="0"/>
    <xf numFmtId="245" fontId="146" fillId="0" borderId="0" applyFont="0" applyFill="0" applyBorder="0" applyAlignment="0" applyProtection="0"/>
    <xf numFmtId="43" fontId="156"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144" fillId="0" borderId="0" applyFont="0" applyFill="0" applyBorder="0" applyAlignment="0" applyProtection="0"/>
    <xf numFmtId="44" fontId="156" fillId="0" borderId="0" applyFont="0" applyFill="0" applyBorder="0" applyAlignment="0" applyProtection="0"/>
    <xf numFmtId="44" fontId="71" fillId="0" borderId="0" applyFont="0" applyFill="0" applyBorder="0" applyAlignment="0" applyProtection="0"/>
    <xf numFmtId="0" fontId="2" fillId="0" borderId="0"/>
    <xf numFmtId="0" fontId="2" fillId="0" borderId="0"/>
    <xf numFmtId="0" fontId="143" fillId="0" borderId="0"/>
    <xf numFmtId="0" fontId="143" fillId="0" borderId="0"/>
    <xf numFmtId="0" fontId="143" fillId="0" borderId="0"/>
    <xf numFmtId="247" fontId="11" fillId="0" borderId="0"/>
    <xf numFmtId="0" fontId="143" fillId="0" borderId="0"/>
    <xf numFmtId="0" fontId="12" fillId="0" borderId="0"/>
    <xf numFmtId="0" fontId="142" fillId="0" borderId="0"/>
    <xf numFmtId="0" fontId="143" fillId="0" borderId="0"/>
    <xf numFmtId="0" fontId="143" fillId="0" borderId="0"/>
    <xf numFmtId="0" fontId="143" fillId="0" borderId="0"/>
    <xf numFmtId="0" fontId="144" fillId="0" borderId="0"/>
    <xf numFmtId="0" fontId="144" fillId="0" borderId="0"/>
    <xf numFmtId="0" fontId="146" fillId="0" borderId="0"/>
    <xf numFmtId="0" fontId="2" fillId="0" borderId="0"/>
    <xf numFmtId="9" fontId="71" fillId="0" borderId="0" applyFont="0" applyFill="0" applyBorder="0" applyAlignment="0" applyProtection="0"/>
    <xf numFmtId="10" fontId="12" fillId="0" borderId="0" applyFill="0" applyBorder="0" applyProtection="0">
      <alignment horizontal="center"/>
    </xf>
    <xf numFmtId="9" fontId="156"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144" fillId="0" borderId="0" applyFont="0" applyFill="0" applyBorder="0" applyAlignment="0" applyProtection="0"/>
    <xf numFmtId="9" fontId="146" fillId="0" borderId="0" applyFont="0" applyFill="0" applyBorder="0" applyAlignment="0" applyProtection="0"/>
    <xf numFmtId="221" fontId="74" fillId="0" borderId="0">
      <protection locked="0"/>
    </xf>
    <xf numFmtId="0" fontId="127" fillId="72" borderId="144" applyNumberFormat="0" applyProtection="0">
      <alignment horizontal="left" vertical="center" indent="1"/>
    </xf>
    <xf numFmtId="9" fontId="71" fillId="0" borderId="0" applyFont="0" applyFill="0" applyBorder="0" applyAlignment="0" applyProtection="0"/>
    <xf numFmtId="43" fontId="11" fillId="0" borderId="0" applyFont="0" applyFill="0" applyBorder="0" applyAlignment="0" applyProtection="0"/>
    <xf numFmtId="6" fontId="80" fillId="0" borderId="0">
      <protection locked="0"/>
    </xf>
    <xf numFmtId="221" fontId="74" fillId="0" borderId="0">
      <protection locked="0"/>
    </xf>
    <xf numFmtId="6" fontId="80" fillId="0" borderId="0">
      <protection locked="0"/>
    </xf>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11" fillId="0" borderId="0"/>
    <xf numFmtId="0" fontId="11" fillId="0" borderId="0"/>
    <xf numFmtId="0" fontId="37" fillId="4" borderId="0" applyNumberFormat="0" applyBorder="0" applyAlignment="0" applyProtection="0"/>
    <xf numFmtId="0" fontId="2" fillId="74" borderId="0" applyNumberFormat="0" applyBorder="0" applyAlignment="0" applyProtection="0"/>
    <xf numFmtId="0" fontId="37" fillId="7" borderId="0" applyNumberFormat="0" applyBorder="0" applyAlignment="0" applyProtection="0"/>
    <xf numFmtId="0" fontId="2" fillId="77" borderId="0" applyNumberFormat="0" applyBorder="0" applyAlignment="0" applyProtection="0"/>
    <xf numFmtId="0" fontId="37" fillId="10" borderId="0" applyNumberFormat="0" applyBorder="0" applyAlignment="0" applyProtection="0"/>
    <xf numFmtId="0" fontId="2" fillId="80" borderId="0" applyNumberFormat="0" applyBorder="0" applyAlignment="0" applyProtection="0"/>
    <xf numFmtId="0" fontId="37" fillId="11" borderId="0" applyNumberFormat="0" applyBorder="0" applyAlignment="0" applyProtection="0"/>
    <xf numFmtId="0" fontId="2" fillId="83" borderId="0" applyNumberFormat="0" applyBorder="0" applyAlignment="0" applyProtection="0"/>
    <xf numFmtId="0" fontId="37" fillId="13" borderId="0" applyNumberFormat="0" applyBorder="0" applyAlignment="0" applyProtection="0"/>
    <xf numFmtId="0" fontId="2" fillId="86" borderId="0" applyNumberFormat="0" applyBorder="0" applyAlignment="0" applyProtection="0"/>
    <xf numFmtId="0" fontId="37" fillId="5" borderId="0" applyNumberFormat="0" applyBorder="0" applyAlignment="0" applyProtection="0"/>
    <xf numFmtId="0" fontId="2" fillId="89" borderId="0" applyNumberFormat="0" applyBorder="0" applyAlignment="0" applyProtection="0"/>
    <xf numFmtId="0" fontId="37" fillId="15" borderId="0" applyNumberFormat="0" applyBorder="0" applyAlignment="0" applyProtection="0"/>
    <xf numFmtId="0" fontId="2" fillId="75" borderId="0" applyNumberFormat="0" applyBorder="0" applyAlignment="0" applyProtection="0"/>
    <xf numFmtId="0" fontId="37" fillId="8" borderId="0" applyNumberFormat="0" applyBorder="0" applyAlignment="0" applyProtection="0"/>
    <xf numFmtId="0" fontId="2" fillId="78" borderId="0" applyNumberFormat="0" applyBorder="0" applyAlignment="0" applyProtection="0"/>
    <xf numFmtId="0" fontId="37" fillId="16"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37" fillId="11" borderId="0" applyNumberFormat="0" applyBorder="0" applyAlignment="0" applyProtection="0"/>
    <xf numFmtId="0" fontId="2" fillId="84" borderId="0" applyNumberFormat="0" applyBorder="0" applyAlignment="0" applyProtection="0"/>
    <xf numFmtId="0" fontId="37" fillId="15"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37" fillId="17" borderId="0" applyNumberFormat="0" applyBorder="0" applyAlignment="0" applyProtection="0"/>
    <xf numFmtId="0" fontId="2" fillId="90" borderId="0" applyNumberFormat="0" applyBorder="0" applyAlignment="0" applyProtection="0"/>
    <xf numFmtId="0" fontId="36" fillId="19" borderId="0" applyNumberFormat="0" applyBorder="0" applyAlignment="0" applyProtection="0"/>
    <xf numFmtId="0" fontId="36" fillId="8" borderId="0" applyNumberFormat="0" applyBorder="0" applyAlignment="0" applyProtection="0"/>
    <xf numFmtId="0" fontId="36" fillId="16"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68" fillId="7" borderId="0" applyNumberFormat="0" applyBorder="0" applyAlignment="0" applyProtection="0"/>
    <xf numFmtId="0" fontId="30" fillId="14" borderId="135" applyNumberFormat="0" applyAlignment="0" applyProtection="0"/>
    <xf numFmtId="0" fontId="32" fillId="12"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3" fontId="11" fillId="0" borderId="0" applyFont="0" applyFill="0" applyBorder="0" applyAlignment="0" applyProtection="0"/>
    <xf numFmtId="0" fontId="11" fillId="9" borderId="136"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58"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223" fontId="11" fillId="0" borderId="0" applyFont="0" applyFill="0" applyBorder="0" applyAlignment="0" applyProtection="0"/>
    <xf numFmtId="0" fontId="34" fillId="0" borderId="0" applyNumberFormat="0" applyFill="0" applyBorder="0" applyAlignment="0" applyProtection="0"/>
    <xf numFmtId="2" fontId="11" fillId="0" borderId="0" applyFont="0" applyFill="0" applyBorder="0" applyAlignment="0" applyProtection="0"/>
    <xf numFmtId="0" fontId="26" fillId="10" borderId="0" applyNumberFormat="0" applyBorder="0" applyAlignment="0" applyProtection="0"/>
    <xf numFmtId="0" fontId="87" fillId="0" borderId="13" applyNumberFormat="0" applyFill="0" applyAlignment="0" applyProtection="0"/>
    <xf numFmtId="0" fontId="88" fillId="0" borderId="15" applyNumberFormat="0" applyFill="0" applyAlignment="0" applyProtection="0"/>
    <xf numFmtId="0" fontId="89" fillId="0" borderId="16" applyNumberFormat="0" applyFill="0" applyAlignment="0" applyProtection="0"/>
    <xf numFmtId="0" fontId="89" fillId="0" borderId="0" applyNumberFormat="0" applyFill="0" applyBorder="0" applyAlignment="0" applyProtection="0"/>
    <xf numFmtId="0" fontId="11" fillId="0" borderId="0">
      <protection locked="0"/>
    </xf>
    <xf numFmtId="0" fontId="11" fillId="0" borderId="0">
      <protection locked="0"/>
    </xf>
    <xf numFmtId="0" fontId="31" fillId="0" borderId="21" applyNumberFormat="0" applyFill="0" applyAlignment="0" applyProtection="0"/>
    <xf numFmtId="0" fontId="27"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29" fillId="14" borderId="137"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0"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center"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22" borderId="144" applyNumberFormat="0" applyProtection="0">
      <alignment horizontal="left" vertical="top"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0"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center"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69" borderId="144" applyNumberFormat="0" applyProtection="0">
      <alignment horizontal="left" vertical="top"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0"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0"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center"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15" borderId="144" applyNumberFormat="0" applyProtection="0">
      <alignment horizontal="left" vertical="top"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center"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72" borderId="144" applyNumberFormat="0" applyProtection="0">
      <alignment horizontal="left" vertical="top" indent="1"/>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0" fontId="11" fillId="3" borderId="140" applyNumberFormat="0">
      <protection locked="0"/>
    </xf>
    <xf numFmtId="49" fontId="11" fillId="0" borderId="0" applyFont="0" applyFill="0" applyBorder="0" applyAlignment="0" applyProtection="0"/>
    <xf numFmtId="0" fontId="108" fillId="0" borderId="0" applyNumberFormat="0" applyFill="0" applyBorder="0" applyAlignment="0" applyProtection="0"/>
    <xf numFmtId="0" fontId="35" fillId="0" borderId="138" applyNumberFormat="0" applyFill="0" applyAlignment="0" applyProtection="0"/>
    <xf numFmtId="0" fontId="33" fillId="0" borderId="0" applyNumberFormat="0" applyFill="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7"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9" borderId="0" applyNumberFormat="0" applyBorder="0" applyAlignment="0" applyProtection="0"/>
    <xf numFmtId="0" fontId="28" fillId="5" borderId="135" applyNumberFormat="0" applyAlignment="0" applyProtection="0"/>
    <xf numFmtId="0" fontId="144" fillId="9" borderId="13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6" fillId="0" borderId="0"/>
    <xf numFmtId="43" fontId="11" fillId="0" borderId="0" applyFont="0" applyFill="0" applyBorder="0" applyAlignment="0" applyProtection="0"/>
    <xf numFmtId="244" fontId="11"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44" fontId="2" fillId="0" borderId="0" applyFont="0" applyFill="0" applyBorder="0" applyAlignment="0" applyProtection="0"/>
    <xf numFmtId="43" fontId="2" fillId="0" borderId="0" applyFont="0" applyFill="0" applyBorder="0" applyAlignment="0" applyProtection="0"/>
    <xf numFmtId="0" fontId="2"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11" fillId="0" borderId="0"/>
    <xf numFmtId="44" fontId="11" fillId="0" borderId="0" applyFont="0" applyFill="0" applyBorder="0" applyAlignment="0" applyProtection="0"/>
    <xf numFmtId="269" fontId="11" fillId="0" borderId="0">
      <alignment horizontal="left" wrapText="1"/>
    </xf>
    <xf numFmtId="269" fontId="11" fillId="0" borderId="0">
      <alignment horizontal="left" wrapText="1"/>
    </xf>
    <xf numFmtId="43" fontId="11" fillId="0" borderId="0" applyFont="0" applyFill="0" applyBorder="0" applyAlignment="0" applyProtection="0"/>
    <xf numFmtId="251" fontId="11" fillId="0" borderId="0"/>
    <xf numFmtId="251" fontId="11" fillId="0" borderId="0"/>
    <xf numFmtId="251" fontId="11" fillId="0" borderId="0"/>
    <xf numFmtId="251"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applyNumberFormat="0" applyFill="0" applyBorder="0" applyAlignment="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3" fontId="18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0" fontId="11" fillId="2" borderId="0" applyNumberFormat="0" applyFont="0" applyAlignment="0" applyProtection="0"/>
    <xf numFmtId="217" fontId="11" fillId="0" borderId="0" applyFont="0" applyFill="0" applyBorder="0" applyAlignment="0" applyProtection="0"/>
    <xf numFmtId="218" fontId="11" fillId="0" borderId="0" applyFont="0" applyFill="0" applyBorder="0" applyProtection="0">
      <alignment horizontal="right"/>
    </xf>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2" fillId="0" borderId="0"/>
    <xf numFmtId="43"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246" fontId="11" fillId="0" borderId="0" applyFont="0" applyFill="0" applyBorder="0" applyAlignment="0" applyProtection="0"/>
    <xf numFmtId="246" fontId="11" fillId="0" borderId="0" applyFont="0" applyFill="0" applyBorder="0" applyAlignment="0" applyProtection="0"/>
    <xf numFmtId="0" fontId="146" fillId="0" borderId="0"/>
    <xf numFmtId="0" fontId="2" fillId="0" borderId="0"/>
    <xf numFmtId="4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4" fontId="11" fillId="0" borderId="0">
      <protection locked="0"/>
    </xf>
    <xf numFmtId="0" fontId="188"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88" fillId="0" borderId="0" applyNumberFormat="0" applyFont="0" applyFill="0" applyBorder="0" applyAlignment="0" applyProtection="0">
      <alignment horizontal="left"/>
    </xf>
    <xf numFmtId="15" fontId="188" fillId="0" borderId="0" applyFont="0" applyFill="0" applyBorder="0" applyAlignment="0" applyProtection="0"/>
    <xf numFmtId="4" fontId="188" fillId="0" borderId="0" applyFont="0" applyFill="0" applyBorder="0" applyAlignment="0" applyProtection="0"/>
    <xf numFmtId="0" fontId="192" fillId="0" borderId="8">
      <alignment horizontal="center"/>
    </xf>
    <xf numFmtId="3" fontId="188" fillId="0" borderId="0" applyFont="0" applyFill="0" applyBorder="0" applyAlignment="0" applyProtection="0"/>
    <xf numFmtId="0" fontId="188" fillId="111" borderId="0" applyNumberFormat="0" applyFont="0" applyBorder="0" applyAlignment="0" applyProtection="0"/>
    <xf numFmtId="4" fontId="11" fillId="41" borderId="140" applyNumberFormat="0" applyProtection="0">
      <alignment vertical="center"/>
    </xf>
    <xf numFmtId="9" fontId="2" fillId="0" borderId="0" applyFont="0" applyFill="0" applyBorder="0" applyAlignment="0" applyProtection="0"/>
    <xf numFmtId="0" fontId="2" fillId="0" borderId="0"/>
    <xf numFmtId="0" fontId="11" fillId="0" borderId="0" applyFont="0" applyFill="0" applyBorder="0" applyAlignment="0" applyProtection="0"/>
    <xf numFmtId="3" fontId="11" fillId="0" borderId="0" applyFont="0" applyFill="0" applyBorder="0" applyAlignment="0" applyProtection="0"/>
    <xf numFmtId="4" fontId="11" fillId="0" borderId="140" applyNumberFormat="0" applyProtection="0">
      <alignment horizontal="right" vertical="center"/>
    </xf>
    <xf numFmtId="4" fontId="11" fillId="45" borderId="0" applyNumberFormat="0" applyProtection="0">
      <alignment horizontal="left" vertical="center"/>
    </xf>
    <xf numFmtId="0" fontId="11" fillId="0" borderId="30"/>
    <xf numFmtId="0" fontId="146"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246"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2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3" fontId="11" fillId="0" borderId="0" applyFont="0" applyFill="0" applyBorder="0" applyAlignment="0" applyProtection="0"/>
    <xf numFmtId="43" fontId="11" fillId="0" borderId="0" applyFont="0" applyFill="0" applyBorder="0" applyAlignment="0" applyProtection="0"/>
    <xf numFmtId="244" fontId="11" fillId="0" borderId="0" applyFont="0" applyFill="0" applyBorder="0" applyAlignment="0" applyProtection="0"/>
    <xf numFmtId="203" fontId="11" fillId="0" borderId="0" applyFont="0" applyFill="0" applyBorder="0" applyAlignment="0" applyProtection="0"/>
    <xf numFmtId="20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4" fontId="11" fillId="0" borderId="0">
      <protection locked="0"/>
    </xf>
    <xf numFmtId="2" fontId="11" fillId="0" borderId="0" applyFont="0" applyFill="0" applyBorder="0" applyAlignment="0" applyProtection="0"/>
    <xf numFmtId="0" fontId="11" fillId="0" borderId="0">
      <protection locked="0"/>
    </xf>
    <xf numFmtId="0" fontId="11" fillId="0" borderId="0">
      <protection locked="0"/>
    </xf>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0" fontId="11" fillId="64" borderId="136"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188" fillId="0" borderId="0" applyNumberFormat="0" applyFont="0" applyFill="0" applyBorder="0" applyAlignment="0" applyProtection="0">
      <alignment horizontal="left"/>
    </xf>
    <xf numFmtId="15" fontId="188" fillId="0" borderId="0" applyFont="0" applyFill="0" applyBorder="0" applyAlignment="0" applyProtection="0"/>
    <xf numFmtId="4" fontId="188" fillId="0" borderId="0" applyFont="0" applyFill="0" applyBorder="0" applyAlignment="0" applyProtection="0"/>
    <xf numFmtId="0" fontId="192" fillId="0" borderId="8">
      <alignment horizontal="center"/>
    </xf>
    <xf numFmtId="3" fontId="188" fillId="0" borderId="0" applyFont="0" applyFill="0" applyBorder="0" applyAlignment="0" applyProtection="0"/>
    <xf numFmtId="0" fontId="188" fillId="111"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244"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20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88"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xf numFmtId="3"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0" fontId="192" fillId="0" borderId="8">
      <alignment horizontal="center"/>
    </xf>
    <xf numFmtId="0" fontId="146"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88" fillId="0" borderId="0" applyNumberFormat="0" applyFont="0" applyFill="0" applyBorder="0" applyAlignment="0" applyProtection="0">
      <alignment horizontal="left"/>
    </xf>
    <xf numFmtId="0" fontId="2" fillId="0" borderId="0"/>
    <xf numFmtId="0" fontId="11" fillId="0" borderId="0"/>
    <xf numFmtId="0" fontId="11" fillId="0" borderId="0"/>
    <xf numFmtId="15" fontId="188" fillId="0" borderId="0" applyFont="0" applyFill="0" applyBorder="0" applyAlignment="0" applyProtection="0"/>
    <xf numFmtId="9" fontId="11" fillId="0" borderId="0" applyFont="0" applyFill="0" applyBorder="0" applyAlignment="0" applyProtection="0"/>
    <xf numFmtId="0" fontId="11" fillId="0" borderId="0"/>
    <xf numFmtId="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0" fontId="215" fillId="0" borderId="0"/>
    <xf numFmtId="43" fontId="215" fillId="0" borderId="0" applyFont="0" applyFill="0" applyBorder="0" applyAlignment="0" applyProtection="0"/>
    <xf numFmtId="44" fontId="215" fillId="0" borderId="0" applyFont="0" applyFill="0" applyBorder="0" applyAlignment="0" applyProtection="0"/>
    <xf numFmtId="0" fontId="2"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9" borderId="136" applyNumberFormat="0" applyFont="0" applyAlignment="0" applyProtection="0"/>
    <xf numFmtId="0" fontId="11" fillId="9" borderId="136"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xf numFmtId="221" fontId="74" fillId="0" borderId="0">
      <protection locked="0"/>
    </xf>
    <xf numFmtId="6" fontId="8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0" fillId="0" borderId="0">
      <protection locked="0"/>
    </xf>
    <xf numFmtId="6" fontId="80" fillId="0" borderId="0">
      <protection locked="0"/>
    </xf>
    <xf numFmtId="221" fontId="74" fillId="0" borderId="0">
      <protection locked="0"/>
    </xf>
    <xf numFmtId="0" fontId="11" fillId="0" borderId="0" applyNumberFormat="0" applyFill="0" applyBorder="0" applyAlignment="0"/>
    <xf numFmtId="221" fontId="74" fillId="0" borderId="0">
      <protection locked="0"/>
    </xf>
    <xf numFmtId="0" fontId="11" fillId="0" borderId="0" applyNumberFormat="0" applyFill="0" applyBorder="0" applyAlignment="0"/>
    <xf numFmtId="9" fontId="2" fillId="0" borderId="0" applyFont="0" applyFill="0" applyBorder="0" applyAlignment="0" applyProtection="0"/>
    <xf numFmtId="0" fontId="2" fillId="0" borderId="0"/>
    <xf numFmtId="0" fontId="2" fillId="0" borderId="0"/>
    <xf numFmtId="0" fontId="2" fillId="0" borderId="0"/>
    <xf numFmtId="0" fontId="11" fillId="0" borderId="0" applyNumberFormat="0" applyFill="0" applyBorder="0" applyAlignment="0"/>
    <xf numFmtId="221" fontId="74" fillId="0" borderId="0">
      <protection locked="0"/>
    </xf>
    <xf numFmtId="6" fontId="8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1" fillId="0" borderId="0" applyNumberFormat="0" applyFill="0" applyBorder="0" applyAlignment="0"/>
    <xf numFmtId="221" fontId="74" fillId="0" borderId="0">
      <protection locked="0"/>
    </xf>
    <xf numFmtId="6" fontId="80" fillId="0" borderId="0">
      <protection locked="0"/>
    </xf>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221" fontId="74" fillId="0" borderId="0">
      <protection locked="0"/>
    </xf>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xf numFmtId="6" fontId="80" fillId="0" borderId="0">
      <protection locked="0"/>
    </xf>
    <xf numFmtId="6" fontId="80" fillId="0" borderId="0">
      <protection locked="0"/>
    </xf>
    <xf numFmtId="0" fontId="2" fillId="0" borderId="0"/>
    <xf numFmtId="221" fontId="74" fillId="0" borderId="0">
      <protection locked="0"/>
    </xf>
    <xf numFmtId="0" fontId="2" fillId="0" borderId="0"/>
    <xf numFmtId="6" fontId="80" fillId="0" borderId="0">
      <protection locked="0"/>
    </xf>
    <xf numFmtId="43" fontId="2" fillId="0" borderId="0" applyFont="0" applyFill="0" applyBorder="0" applyAlignment="0" applyProtection="0"/>
    <xf numFmtId="0" fontId="11" fillId="0" borderId="0" applyNumberFormat="0" applyFill="0" applyBorder="0" applyAlignment="0"/>
    <xf numFmtId="0" fontId="2" fillId="0" borderId="0"/>
    <xf numFmtId="6" fontId="80" fillId="0" borderId="0">
      <protection locked="0"/>
    </xf>
    <xf numFmtId="6" fontId="80" fillId="0" borderId="0">
      <protection locked="0"/>
    </xf>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0" fontId="11" fillId="0" borderId="0" applyNumberFormat="0" applyFill="0" applyBorder="0" applyAlignme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6" fontId="80" fillId="0" borderId="0">
      <protection locked="0"/>
    </xf>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11" fillId="0" borderId="0" applyNumberFormat="0" applyFill="0" applyBorder="0" applyAlignment="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221" fontId="74"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1" fontId="74"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6" fontId="80" fillId="0" borderId="0">
      <protection locked="0"/>
    </xf>
    <xf numFmtId="0" fontId="11" fillId="0" borderId="0" applyNumberFormat="0" applyFill="0" applyBorder="0" applyAlignment="0"/>
    <xf numFmtId="221" fontId="74" fillId="0" borderId="0">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221" fontId="74" fillId="0" borderId="0">
      <protection locked="0"/>
    </xf>
    <xf numFmtId="0" fontId="2" fillId="0" borderId="0"/>
    <xf numFmtId="9" fontId="2" fillId="0" borderId="0" applyFont="0" applyFill="0" applyBorder="0" applyAlignment="0" applyProtection="0"/>
    <xf numFmtId="6" fontId="80" fillId="0" borderId="0">
      <protection locked="0"/>
    </xf>
    <xf numFmtId="221" fontId="74" fillId="0" borderId="0">
      <protection locked="0"/>
    </xf>
    <xf numFmtId="0" fontId="11" fillId="0" borderId="0" applyNumberFormat="0" applyFill="0" applyBorder="0" applyAlignment="0"/>
    <xf numFmtId="221" fontId="74" fillId="0" borderId="0">
      <protection locked="0"/>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6" fontId="80" fillId="0" borderId="0">
      <protection locked="0"/>
    </xf>
    <xf numFmtId="221" fontId="74" fillId="0" borderId="0">
      <protection locked="0"/>
    </xf>
    <xf numFmtId="0" fontId="11" fillId="0" borderId="0" applyNumberFormat="0" applyFill="0" applyBorder="0" applyAlignment="0"/>
    <xf numFmtId="0" fontId="11" fillId="0" borderId="0" applyNumberFormat="0" applyFill="0" applyBorder="0" applyAlignment="0"/>
    <xf numFmtId="0" fontId="2" fillId="0" borderId="0"/>
    <xf numFmtId="0" fontId="11" fillId="0" borderId="0" applyNumberFormat="0" applyFill="0" applyBorder="0" applyAlignment="0"/>
    <xf numFmtId="221" fontId="74" fillId="0" borderId="0">
      <protection locked="0"/>
    </xf>
    <xf numFmtId="6" fontId="8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6" fontId="80" fillId="0" borderId="0">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1" fontId="74" fillId="0" borderId="0">
      <protection locked="0"/>
    </xf>
    <xf numFmtId="0" fontId="11"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1" fillId="0" borderId="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xf numFmtId="0" fontId="2" fillId="0" borderId="0"/>
    <xf numFmtId="0" fontId="2" fillId="0" borderId="0"/>
    <xf numFmtId="0" fontId="2" fillId="0" borderId="0"/>
    <xf numFmtId="0" fontId="11" fillId="9" borderId="136" applyNumberFormat="0" applyFont="0" applyAlignment="0" applyProtection="0"/>
    <xf numFmtId="0" fontId="2" fillId="0" borderId="0"/>
    <xf numFmtId="224" fontId="11" fillId="0" borderId="0">
      <protection locked="0"/>
    </xf>
    <xf numFmtId="226" fontId="11" fillId="0" borderId="0">
      <protection locked="0"/>
    </xf>
    <xf numFmtId="226" fontId="11" fillId="0" borderId="0">
      <protection locked="0"/>
    </xf>
    <xf numFmtId="0" fontId="11" fillId="0" borderId="0"/>
    <xf numFmtId="233" fontId="11" fillId="0" borderId="0">
      <protection hidden="1"/>
    </xf>
    <xf numFmtId="10" fontId="11" fillId="0" borderId="0" applyFont="0" applyFill="0" applyBorder="0" applyAlignment="0" applyProtection="0"/>
    <xf numFmtId="235" fontId="11" fillId="0" borderId="0"/>
    <xf numFmtId="4" fontId="11" fillId="45" borderId="0" applyNumberFormat="0" applyProtection="0">
      <alignment horizontal="left" vertical="center"/>
    </xf>
    <xf numFmtId="0" fontId="11" fillId="0" borderId="30"/>
    <xf numFmtId="9"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24" fontId="11" fillId="0" borderId="0">
      <protection locked="0"/>
    </xf>
    <xf numFmtId="226" fontId="11" fillId="0" borderId="0">
      <protection locked="0"/>
    </xf>
    <xf numFmtId="226" fontId="11" fillId="0" borderId="0">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244" fontId="11" fillId="0" borderId="0" applyFont="0" applyFill="0" applyBorder="0" applyAlignment="0" applyProtection="0"/>
    <xf numFmtId="246" fontId="11" fillId="0" borderId="0" applyFont="0" applyFill="0" applyBorder="0" applyAlignment="0" applyProtection="0"/>
    <xf numFmtId="0" fontId="2" fillId="0" borderId="0"/>
    <xf numFmtId="0" fontId="2" fillId="0" borderId="0"/>
    <xf numFmtId="247" fontId="11" fillId="0" borderId="0"/>
    <xf numFmtId="0" fontId="2" fillId="0" borderId="0"/>
    <xf numFmtId="43" fontId="11"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2" fillId="55" borderId="4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3" fontId="188"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43" fontId="11" fillId="0" borderId="0" applyFont="0" applyFill="0" applyBorder="0" applyAlignment="0" applyProtection="0"/>
    <xf numFmtId="0" fontId="2" fillId="0" borderId="0"/>
    <xf numFmtId="0" fontId="188"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0" fontId="2" fillId="55" borderId="4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88" fillId="0" borderId="0" applyFont="0" applyFill="0" applyBorder="0" applyAlignment="0" applyProtection="0"/>
    <xf numFmtId="0" fontId="11" fillId="0" borderId="0"/>
    <xf numFmtId="0" fontId="192" fillId="0" borderId="8">
      <alignment horizontal="center"/>
    </xf>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88" fillId="0" borderId="0" applyNumberFormat="0" applyFont="0" applyFill="0" applyBorder="0" applyAlignment="0" applyProtection="0">
      <alignment horizontal="left"/>
    </xf>
    <xf numFmtId="0" fontId="2" fillId="0" borderId="0"/>
    <xf numFmtId="15" fontId="188"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3" fontId="11" fillId="0" borderId="0" applyFont="0" applyFill="0" applyBorder="0" applyAlignment="0" applyProtection="0"/>
    <xf numFmtId="9" fontId="11" fillId="0" borderId="0" applyFont="0" applyFill="0" applyBorder="0" applyAlignment="0" applyProtection="0"/>
    <xf numFmtId="0" fontId="11" fillId="0" borderId="0" applyFont="0" applyFill="0" applyBorder="0" applyAlignment="0" applyProtection="0"/>
    <xf numFmtId="0" fontId="216" fillId="0" borderId="0"/>
    <xf numFmtId="44" fontId="217" fillId="0" borderId="0"/>
    <xf numFmtId="44" fontId="217" fillId="0" borderId="0"/>
    <xf numFmtId="44" fontId="217" fillId="0" borderId="0"/>
    <xf numFmtId="0" fontId="216" fillId="0" borderId="0"/>
    <xf numFmtId="0" fontId="216" fillId="0" borderId="0"/>
    <xf numFmtId="9" fontId="217" fillId="0" borderId="0"/>
    <xf numFmtId="44" fontId="217" fillId="0" borderId="0"/>
    <xf numFmtId="0" fontId="216" fillId="0" borderId="0"/>
    <xf numFmtId="0" fontId="216" fillId="0" borderId="0"/>
    <xf numFmtId="0" fontId="216" fillId="0" borderId="0"/>
    <xf numFmtId="9" fontId="217" fillId="0" borderId="0"/>
    <xf numFmtId="44" fontId="217" fillId="0" borderId="0"/>
    <xf numFmtId="9" fontId="217" fillId="0" borderId="0"/>
    <xf numFmtId="44" fontId="217" fillId="0" borderId="0"/>
    <xf numFmtId="9" fontId="217" fillId="0" borderId="0"/>
    <xf numFmtId="9" fontId="217" fillId="0" borderId="0"/>
    <xf numFmtId="9" fontId="217" fillId="0" borderId="0"/>
    <xf numFmtId="0" fontId="126" fillId="0" borderId="0"/>
    <xf numFmtId="44" fontId="217" fillId="0" borderId="0"/>
    <xf numFmtId="9" fontId="217" fillId="0" borderId="0"/>
    <xf numFmtId="0" fontId="11" fillId="0" borderId="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40" fillId="7" borderId="0" applyNumberFormat="0" applyBorder="0" applyAlignment="0" applyProtection="0"/>
    <xf numFmtId="0" fontId="40" fillId="6" borderId="0" applyNumberFormat="0" applyBorder="0" applyAlignment="0" applyProtection="0"/>
    <xf numFmtId="0" fontId="41" fillId="6" borderId="0" applyNumberFormat="0" applyBorder="0" applyAlignment="0" applyProtection="0"/>
    <xf numFmtId="0" fontId="41" fillId="26" borderId="0" applyNumberFormat="0" applyBorder="0" applyAlignment="0" applyProtection="0"/>
    <xf numFmtId="0" fontId="41" fillId="7" borderId="0" applyNumberFormat="0" applyBorder="0" applyAlignment="0" applyProtection="0"/>
    <xf numFmtId="0" fontId="41" fillId="22" borderId="0" applyNumberFormat="0" applyBorder="0" applyAlignment="0" applyProtection="0"/>
    <xf numFmtId="0" fontId="41" fillId="18" borderId="0" applyNumberFormat="0" applyBorder="0" applyAlignment="0" applyProtection="0"/>
    <xf numFmtId="0" fontId="41" fillId="30" borderId="0" applyNumberFormat="0" applyBorder="0" applyAlignment="0" applyProtection="0"/>
    <xf numFmtId="0" fontId="11"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6" fillId="5" borderId="13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9" borderId="135" applyNumberFormat="0" applyFont="0" applyAlignment="0" applyProtection="0"/>
    <xf numFmtId="9" fontId="11" fillId="0" borderId="0" applyFont="0" applyFill="0" applyBorder="0" applyAlignment="0" applyProtection="0"/>
    <xf numFmtId="0" fontId="1" fillId="0" borderId="0"/>
    <xf numFmtId="167" fontId="11" fillId="0" borderId="0" applyFont="0" applyFill="0" applyBorder="0" applyAlignment="0" applyProtection="0"/>
    <xf numFmtId="41" fontId="11" fillId="0" borderId="0" applyFont="0" applyFill="0" applyBorder="0" applyAlignment="0" applyProtection="0"/>
    <xf numFmtId="0" fontId="1" fillId="0" borderId="0"/>
    <xf numFmtId="9" fontId="1" fillId="0" borderId="0" applyFont="0" applyFill="0" applyBorder="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64" fillId="0" borderId="172" applyNumberFormat="0" applyFill="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0" fontId="1" fillId="55" borderId="4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18" fillId="0" borderId="0"/>
    <xf numFmtId="0" fontId="1" fillId="0" borderId="0"/>
    <xf numFmtId="0" fontId="168" fillId="0" borderId="0" applyNumberFormat="0" applyFill="0" applyBorder="0" applyAlignment="0" applyProtection="0"/>
    <xf numFmtId="0" fontId="175" fillId="95" borderId="153" applyNumberFormat="0" applyAlignment="0" applyProtection="0"/>
    <xf numFmtId="0" fontId="175" fillId="95" borderId="153" applyNumberFormat="0" applyAlignment="0" applyProtection="0"/>
    <xf numFmtId="0" fontId="1" fillId="0" borderId="0"/>
    <xf numFmtId="0" fontId="175" fillId="95" borderId="153" applyNumberFormat="0" applyAlignment="0" applyProtection="0"/>
    <xf numFmtId="0" fontId="1" fillId="0" borderId="0"/>
    <xf numFmtId="0" fontId="1" fillId="55" borderId="47" applyNumberFormat="0" applyFont="0" applyAlignment="0" applyProtection="0"/>
    <xf numFmtId="0" fontId="183" fillId="98"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0" borderId="0"/>
    <xf numFmtId="0" fontId="183" fillId="9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83" fillId="10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83" fillId="101"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83" fillId="102"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183" fillId="103"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75" fillId="95" borderId="153" applyNumberFormat="0" applyAlignment="0" applyProtection="0"/>
    <xf numFmtId="0" fontId="1" fillId="55" borderId="47" applyNumberFormat="0" applyFont="0" applyAlignment="0" applyProtection="0"/>
    <xf numFmtId="0" fontId="183" fillId="98" borderId="0" applyNumberFormat="0" applyBorder="0" applyAlignment="0" applyProtection="0"/>
    <xf numFmtId="0" fontId="183" fillId="101" borderId="0" applyNumberFormat="0" applyBorder="0" applyAlignment="0" applyProtection="0"/>
    <xf numFmtId="0" fontId="183" fillId="99" borderId="0" applyNumberFormat="0" applyBorder="0" applyAlignment="0" applyProtection="0"/>
    <xf numFmtId="0" fontId="183" fillId="98" borderId="0" applyNumberFormat="0" applyBorder="0" applyAlignment="0" applyProtection="0"/>
    <xf numFmtId="0" fontId="183" fillId="101" borderId="0" applyNumberFormat="0" applyBorder="0" applyAlignment="0" applyProtection="0"/>
    <xf numFmtId="0" fontId="183" fillId="10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83" fillId="98" borderId="0" applyNumberFormat="0" applyBorder="0" applyAlignment="0" applyProtection="0"/>
    <xf numFmtId="0" fontId="183" fillId="101" borderId="0" applyNumberFormat="0" applyBorder="0" applyAlignment="0" applyProtection="0"/>
    <xf numFmtId="0" fontId="1" fillId="81" borderId="0" applyNumberFormat="0" applyBorder="0" applyAlignment="0" applyProtection="0"/>
    <xf numFmtId="0" fontId="183" fillId="99" borderId="0" applyNumberFormat="0" applyBorder="0" applyAlignment="0" applyProtection="0"/>
    <xf numFmtId="0" fontId="183" fillId="102" borderId="0" applyNumberFormat="0" applyBorder="0" applyAlignment="0" applyProtection="0"/>
    <xf numFmtId="0" fontId="183" fillId="100" borderId="0" applyNumberFormat="0" applyBorder="0" applyAlignment="0" applyProtection="0"/>
    <xf numFmtId="0" fontId="1" fillId="87" borderId="0" applyNumberFormat="0" applyBorder="0" applyAlignment="0" applyProtection="0"/>
    <xf numFmtId="0" fontId="183" fillId="103" borderId="0" applyNumberFormat="0" applyBorder="0" applyAlignment="0" applyProtection="0"/>
    <xf numFmtId="0" fontId="1" fillId="55" borderId="47" applyNumberFormat="0" applyFont="0" applyAlignment="0" applyProtection="0"/>
    <xf numFmtId="0" fontId="183" fillId="99" borderId="0" applyNumberFormat="0" applyBorder="0" applyAlignment="0" applyProtection="0"/>
    <xf numFmtId="0" fontId="183" fillId="102" borderId="0" applyNumberFormat="0" applyBorder="0" applyAlignment="0" applyProtection="0"/>
    <xf numFmtId="0" fontId="183" fillId="100" borderId="0" applyNumberFormat="0" applyBorder="0" applyAlignment="0" applyProtection="0"/>
    <xf numFmtId="0" fontId="1" fillId="87" borderId="0" applyNumberFormat="0" applyBorder="0" applyAlignment="0" applyProtection="0"/>
    <xf numFmtId="0" fontId="183" fillId="103" borderId="0" applyNumberFormat="0" applyBorder="0" applyAlignment="0" applyProtection="0"/>
    <xf numFmtId="0" fontId="1" fillId="55" borderId="47" applyNumberFormat="0" applyFont="0" applyAlignment="0" applyProtection="0"/>
    <xf numFmtId="0" fontId="183" fillId="102" borderId="0" applyNumberFormat="0" applyBorder="0" applyAlignment="0" applyProtection="0"/>
    <xf numFmtId="0" fontId="1" fillId="87" borderId="0" applyNumberFormat="0" applyBorder="0" applyAlignment="0" applyProtection="0"/>
    <xf numFmtId="0" fontId="183" fillId="103" borderId="0" applyNumberFormat="0" applyBorder="0" applyAlignment="0" applyProtection="0"/>
  </cellStyleXfs>
  <cellXfs count="634">
    <xf numFmtId="165" fontId="0" fillId="0" borderId="0" xfId="0"/>
    <xf numFmtId="165" fontId="13" fillId="0" borderId="0" xfId="0" applyFont="1" applyAlignment="1">
      <alignment horizontal="center"/>
    </xf>
    <xf numFmtId="165" fontId="13" fillId="0" borderId="0" xfId="0" applyFont="1"/>
    <xf numFmtId="165" fontId="12" fillId="0" borderId="0" xfId="0" applyFont="1"/>
    <xf numFmtId="165" fontId="12" fillId="0" borderId="0" xfId="0" applyFont="1" applyAlignment="1">
      <alignment horizontal="right"/>
    </xf>
    <xf numFmtId="165" fontId="15" fillId="0" borderId="0" xfId="0" applyFont="1"/>
    <xf numFmtId="165" fontId="15" fillId="0" borderId="0" xfId="0" applyFont="1" applyAlignment="1">
      <alignment horizontal="centerContinuous"/>
    </xf>
    <xf numFmtId="166" fontId="0" fillId="0" borderId="0" xfId="0" applyNumberFormat="1" applyAlignment="1">
      <alignment horizontal="center"/>
    </xf>
    <xf numFmtId="166" fontId="0" fillId="0" borderId="0" xfId="0" applyNumberFormat="1" applyAlignment="1">
      <alignment horizontal="center" vertical="top"/>
    </xf>
    <xf numFmtId="165" fontId="0" fillId="0" borderId="0" xfId="0" applyAlignment="1">
      <alignment vertical="top"/>
    </xf>
    <xf numFmtId="165" fontId="0" fillId="0" borderId="0" xfId="0" applyAlignment="1">
      <alignment vertical="center"/>
    </xf>
    <xf numFmtId="165" fontId="13" fillId="0" borderId="0" xfId="0" applyFont="1" applyAlignment="1">
      <alignment vertical="center"/>
    </xf>
    <xf numFmtId="165" fontId="13" fillId="0" borderId="0" xfId="0" applyFont="1" applyAlignment="1">
      <alignment vertical="top"/>
    </xf>
    <xf numFmtId="167" fontId="13" fillId="0" borderId="0" xfId="640" applyFont="1" applyAlignment="1">
      <alignment vertical="center"/>
    </xf>
    <xf numFmtId="168" fontId="13" fillId="0" borderId="0" xfId="328" applyNumberFormat="1" applyFont="1" applyAlignment="1">
      <alignment vertical="center"/>
    </xf>
    <xf numFmtId="168" fontId="13" fillId="0" borderId="0" xfId="0" applyNumberFormat="1" applyFont="1" applyAlignment="1">
      <alignment vertical="center"/>
    </xf>
    <xf numFmtId="168" fontId="0" fillId="0" borderId="0" xfId="0" applyNumberFormat="1"/>
    <xf numFmtId="168" fontId="13" fillId="0" borderId="0" xfId="0" applyNumberFormat="1" applyFont="1" applyAlignment="1">
      <alignment vertical="top"/>
    </xf>
    <xf numFmtId="166" fontId="12" fillId="0" borderId="0" xfId="0" applyNumberFormat="1" applyFont="1" applyAlignment="1">
      <alignment horizontal="center" vertical="center"/>
    </xf>
    <xf numFmtId="165" fontId="12" fillId="0" borderId="0" xfId="0" applyFont="1" applyAlignment="1">
      <alignment vertical="center"/>
    </xf>
    <xf numFmtId="168" fontId="12" fillId="0" borderId="0" xfId="0" applyNumberFormat="1" applyFont="1" applyAlignment="1">
      <alignment vertical="center"/>
    </xf>
    <xf numFmtId="168" fontId="13" fillId="0" borderId="0" xfId="0" applyNumberFormat="1" applyFont="1"/>
    <xf numFmtId="170" fontId="13" fillId="0" borderId="0" xfId="328" applyFont="1" applyAlignment="1">
      <alignment vertical="center"/>
    </xf>
    <xf numFmtId="166" fontId="12" fillId="0" borderId="0" xfId="0" applyNumberFormat="1" applyFont="1" applyAlignment="1">
      <alignment horizontal="center" vertical="top"/>
    </xf>
    <xf numFmtId="165" fontId="12" fillId="0" borderId="0" xfId="0" applyFont="1" applyAlignment="1">
      <alignment vertical="top"/>
    </xf>
    <xf numFmtId="168" fontId="13" fillId="0" borderId="0" xfId="0" applyNumberFormat="1" applyFont="1" applyAlignment="1">
      <alignment horizontal="right" vertical="center"/>
    </xf>
    <xf numFmtId="168" fontId="12" fillId="0" borderId="0" xfId="328" applyNumberFormat="1" applyFont="1" applyAlignment="1"/>
    <xf numFmtId="167" fontId="12" fillId="0" borderId="0" xfId="640" applyFont="1"/>
    <xf numFmtId="170" fontId="12" fillId="0" borderId="0" xfId="328" applyFont="1" applyAlignment="1"/>
    <xf numFmtId="174" fontId="12" fillId="0" borderId="0" xfId="328" applyNumberFormat="1" applyFont="1" applyBorder="1" applyAlignment="1">
      <alignment vertical="center"/>
    </xf>
    <xf numFmtId="174" fontId="12" fillId="0" borderId="0" xfId="328" applyNumberFormat="1" applyFont="1" applyAlignment="1"/>
    <xf numFmtId="174" fontId="12" fillId="0" borderId="0" xfId="174" applyNumberFormat="1" applyFont="1"/>
    <xf numFmtId="170" fontId="12" fillId="0" borderId="0" xfId="328" applyFont="1" applyAlignment="1">
      <alignment vertical="center"/>
    </xf>
    <xf numFmtId="0" fontId="0" fillId="0" borderId="0" xfId="0" applyNumberFormat="1"/>
    <xf numFmtId="0" fontId="13" fillId="0" borderId="31" xfId="0" applyNumberFormat="1" applyFont="1" applyBorder="1" applyAlignment="1">
      <alignment horizontal="centerContinuous"/>
    </xf>
    <xf numFmtId="0" fontId="12" fillId="0" borderId="31" xfId="0" applyNumberFormat="1" applyFont="1" applyBorder="1" applyAlignment="1">
      <alignment horizontal="center" wrapText="1"/>
    </xf>
    <xf numFmtId="0" fontId="12" fillId="0" borderId="0" xfId="0" applyNumberFormat="1" applyFont="1" applyAlignment="1">
      <alignment horizontal="center"/>
    </xf>
    <xf numFmtId="0" fontId="12" fillId="0" borderId="31" xfId="0" applyNumberFormat="1" applyFont="1" applyBorder="1" applyAlignment="1">
      <alignment horizontal="centerContinuous"/>
    </xf>
    <xf numFmtId="0" fontId="12" fillId="0" borderId="0" xfId="0" applyNumberFormat="1" applyFont="1" applyAlignment="1">
      <alignment horizontal="centerContinuous"/>
    </xf>
    <xf numFmtId="174" fontId="12" fillId="0" borderId="0" xfId="174" applyNumberFormat="1" applyFont="1" applyAlignment="1">
      <alignment vertical="center"/>
    </xf>
    <xf numFmtId="170" fontId="13" fillId="0" borderId="0" xfId="328" applyFont="1" applyBorder="1" applyAlignment="1">
      <alignment vertical="top"/>
    </xf>
    <xf numFmtId="173" fontId="12" fillId="0" borderId="0" xfId="328" applyNumberFormat="1" applyFont="1" applyAlignment="1">
      <alignment vertical="center"/>
    </xf>
    <xf numFmtId="174" fontId="13" fillId="0" borderId="0" xfId="174" applyNumberFormat="1" applyFont="1" applyAlignment="1">
      <alignment vertical="top"/>
    </xf>
    <xf numFmtId="165" fontId="0" fillId="0" borderId="0" xfId="0" applyAlignment="1">
      <alignment horizontal="left"/>
    </xf>
    <xf numFmtId="173" fontId="12" fillId="0" borderId="0" xfId="328" applyNumberFormat="1" applyFont="1" applyAlignment="1"/>
    <xf numFmtId="170" fontId="13" fillId="0" borderId="0" xfId="328" applyFont="1" applyBorder="1" applyAlignment="1">
      <alignment vertical="center"/>
    </xf>
    <xf numFmtId="174" fontId="13" fillId="0" borderId="0" xfId="174" applyNumberFormat="1" applyFont="1" applyBorder="1" applyAlignment="1">
      <alignment vertical="center"/>
    </xf>
    <xf numFmtId="0" fontId="0" fillId="0" borderId="0" xfId="0" applyNumberFormat="1" applyAlignment="1">
      <alignment horizontal="center"/>
    </xf>
    <xf numFmtId="0" fontId="12" fillId="0" borderId="0" xfId="328" applyNumberFormat="1" applyFont="1" applyAlignment="1">
      <alignment vertical="center"/>
    </xf>
    <xf numFmtId="0" fontId="12" fillId="0" borderId="0" xfId="328" applyNumberFormat="1" applyFont="1" applyAlignment="1">
      <alignment horizontal="centerContinuous" vertical="center"/>
    </xf>
    <xf numFmtId="176" fontId="12" fillId="0" borderId="0" xfId="174" applyNumberFormat="1" applyFont="1" applyAlignment="1">
      <alignment vertical="center"/>
    </xf>
    <xf numFmtId="176" fontId="12" fillId="0" borderId="0" xfId="174" applyNumberFormat="1" applyFont="1" applyAlignment="1">
      <alignment horizontal="centerContinuous" vertical="center"/>
    </xf>
    <xf numFmtId="0" fontId="12" fillId="0" borderId="0" xfId="328" quotePrefix="1" applyNumberFormat="1" applyFont="1" applyAlignment="1">
      <alignment vertical="center"/>
    </xf>
    <xf numFmtId="171" fontId="12" fillId="0" borderId="0" xfId="640" applyNumberFormat="1" applyFont="1" applyAlignment="1">
      <alignment vertical="center"/>
    </xf>
    <xf numFmtId="172" fontId="12" fillId="0" borderId="0" xfId="640" applyNumberFormat="1" applyFont="1" applyAlignment="1">
      <alignment vertical="center"/>
    </xf>
    <xf numFmtId="170" fontId="12" fillId="0" borderId="0" xfId="328" applyFont="1" applyBorder="1" applyAlignment="1">
      <alignment horizontal="center" vertical="center"/>
    </xf>
    <xf numFmtId="174" fontId="12" fillId="0" borderId="0" xfId="174" applyNumberFormat="1" applyFont="1" applyBorder="1" applyAlignment="1">
      <alignment horizontal="center" vertical="center"/>
    </xf>
    <xf numFmtId="170" fontId="12" fillId="0" borderId="0" xfId="328" applyFont="1" applyBorder="1" applyAlignment="1">
      <alignment horizontal="center" vertical="top"/>
    </xf>
    <xf numFmtId="170" fontId="12" fillId="0" borderId="0" xfId="328" applyFont="1" applyBorder="1" applyAlignment="1">
      <alignment horizontal="center"/>
    </xf>
    <xf numFmtId="175" fontId="12" fillId="0" borderId="0" xfId="174" applyNumberFormat="1" applyFont="1" applyAlignment="1">
      <alignment vertical="center"/>
    </xf>
    <xf numFmtId="167" fontId="12" fillId="0" borderId="0" xfId="640" applyFont="1" applyAlignment="1">
      <alignment vertical="center"/>
    </xf>
    <xf numFmtId="171" fontId="12" fillId="0" borderId="0" xfId="640" applyNumberFormat="1" applyFont="1" applyBorder="1" applyAlignment="1">
      <alignment vertical="center"/>
    </xf>
    <xf numFmtId="178" fontId="12" fillId="0" borderId="0" xfId="180" applyFont="1" applyAlignment="1">
      <alignment vertical="center"/>
    </xf>
    <xf numFmtId="178" fontId="12" fillId="0" borderId="0" xfId="180" applyAlignment="1"/>
    <xf numFmtId="169" fontId="13" fillId="0" borderId="0" xfId="328" applyNumberFormat="1" applyFont="1" applyAlignment="1">
      <alignment vertical="center"/>
    </xf>
    <xf numFmtId="175" fontId="13" fillId="0" borderId="0" xfId="328" applyNumberFormat="1" applyFont="1" applyAlignment="1">
      <alignment vertical="center"/>
    </xf>
    <xf numFmtId="175" fontId="12" fillId="0" borderId="0" xfId="328" applyNumberFormat="1" applyFont="1" applyAlignment="1"/>
    <xf numFmtId="175" fontId="12" fillId="0" borderId="0" xfId="328" applyNumberFormat="1" applyFont="1" applyAlignment="1">
      <alignment vertical="center"/>
    </xf>
    <xf numFmtId="175" fontId="13" fillId="0" borderId="0" xfId="328" applyNumberFormat="1" applyFont="1" applyBorder="1" applyAlignment="1">
      <alignment vertical="center"/>
    </xf>
    <xf numFmtId="171" fontId="13" fillId="0" borderId="0" xfId="640" applyNumberFormat="1" applyFont="1" applyAlignment="1">
      <alignment vertical="center"/>
    </xf>
    <xf numFmtId="171" fontId="12" fillId="0" borderId="0" xfId="640" applyNumberFormat="1" applyFont="1"/>
    <xf numFmtId="165" fontId="0" fillId="0" borderId="0" xfId="0" quotePrefix="1"/>
    <xf numFmtId="0" fontId="0" fillId="0" borderId="0" xfId="0" quotePrefix="1" applyNumberFormat="1"/>
    <xf numFmtId="0" fontId="13" fillId="0" borderId="0" xfId="0" applyNumberFormat="1" applyFont="1" applyAlignment="1">
      <alignment horizontal="centerContinuous"/>
    </xf>
    <xf numFmtId="0" fontId="12" fillId="0" borderId="0" xfId="0" applyNumberFormat="1" applyFont="1" applyAlignment="1">
      <alignment horizontal="center" wrapText="1"/>
    </xf>
    <xf numFmtId="168" fontId="13" fillId="0" borderId="0" xfId="328" applyNumberFormat="1" applyFont="1" applyBorder="1" applyAlignment="1">
      <alignment vertical="top"/>
    </xf>
    <xf numFmtId="168" fontId="13" fillId="0" borderId="0" xfId="328" applyNumberFormat="1" applyFont="1" applyBorder="1" applyAlignment="1"/>
    <xf numFmtId="0" fontId="0" fillId="0" borderId="38" xfId="0" applyNumberFormat="1" applyBorder="1"/>
    <xf numFmtId="0" fontId="12" fillId="0" borderId="38" xfId="0" applyNumberFormat="1" applyFont="1" applyBorder="1" applyAlignment="1">
      <alignment horizontal="center"/>
    </xf>
    <xf numFmtId="165" fontId="13" fillId="0" borderId="38" xfId="0" applyFont="1" applyBorder="1" applyAlignment="1">
      <alignment vertical="center"/>
    </xf>
    <xf numFmtId="165" fontId="0" fillId="0" borderId="38" xfId="0" applyBorder="1"/>
    <xf numFmtId="165" fontId="13" fillId="0" borderId="38" xfId="0" applyFont="1" applyBorder="1" applyAlignment="1">
      <alignment vertical="top"/>
    </xf>
    <xf numFmtId="165" fontId="13" fillId="0" borderId="38" xfId="0" applyFont="1" applyBorder="1"/>
    <xf numFmtId="165" fontId="0" fillId="0" borderId="38" xfId="0" applyBorder="1" applyAlignment="1">
      <alignment vertical="top"/>
    </xf>
    <xf numFmtId="170" fontId="13" fillId="0" borderId="0" xfId="328" applyFont="1" applyBorder="1" applyAlignment="1"/>
    <xf numFmtId="0" fontId="0" fillId="0" borderId="39" xfId="0" applyNumberFormat="1" applyBorder="1"/>
    <xf numFmtId="168" fontId="13" fillId="0" borderId="38" xfId="0" applyNumberFormat="1" applyFont="1" applyBorder="1" applyAlignment="1">
      <alignment vertical="center"/>
    </xf>
    <xf numFmtId="168" fontId="0" fillId="0" borderId="38" xfId="0" applyNumberFormat="1" applyBorder="1"/>
    <xf numFmtId="168" fontId="13" fillId="0" borderId="38" xfId="0" applyNumberFormat="1" applyFont="1" applyBorder="1" applyAlignment="1">
      <alignment vertical="top"/>
    </xf>
    <xf numFmtId="168" fontId="13" fillId="0" borderId="38" xfId="0" applyNumberFormat="1" applyFont="1" applyBorder="1"/>
    <xf numFmtId="168" fontId="12" fillId="0" borderId="38" xfId="0" applyNumberFormat="1" applyFont="1" applyBorder="1" applyAlignment="1">
      <alignment vertical="center"/>
    </xf>
    <xf numFmtId="178" fontId="12" fillId="0" borderId="38" xfId="180" applyFont="1" applyBorder="1" applyAlignment="1">
      <alignment vertical="center"/>
    </xf>
    <xf numFmtId="170" fontId="13" fillId="0" borderId="0" xfId="328" applyFont="1" applyBorder="1" applyAlignment="1">
      <alignment horizontal="center"/>
    </xf>
    <xf numFmtId="168" fontId="13" fillId="0" borderId="0" xfId="0" applyNumberFormat="1" applyFont="1" applyAlignment="1">
      <alignment horizontal="right"/>
    </xf>
    <xf numFmtId="168" fontId="13" fillId="0" borderId="38" xfId="0" applyNumberFormat="1" applyFont="1" applyBorder="1" applyAlignment="1">
      <alignment horizontal="right"/>
    </xf>
    <xf numFmtId="174" fontId="13" fillId="0" borderId="0" xfId="174" applyNumberFormat="1" applyFont="1" applyBorder="1" applyAlignment="1"/>
    <xf numFmtId="165" fontId="12" fillId="0" borderId="38" xfId="0" applyFont="1" applyBorder="1" applyAlignment="1">
      <alignment vertical="center"/>
    </xf>
    <xf numFmtId="168" fontId="12" fillId="0" borderId="40" xfId="0" applyNumberFormat="1" applyFont="1" applyBorder="1" applyAlignment="1">
      <alignment vertical="center"/>
    </xf>
    <xf numFmtId="171" fontId="13" fillId="0" borderId="0" xfId="640" applyNumberFormat="1" applyFont="1" applyBorder="1" applyAlignment="1">
      <alignment vertical="center"/>
    </xf>
    <xf numFmtId="168" fontId="13" fillId="0" borderId="0" xfId="328" applyNumberFormat="1" applyFont="1" applyAlignment="1"/>
    <xf numFmtId="167" fontId="13" fillId="0" borderId="0" xfId="640" applyFont="1" applyAlignment="1"/>
    <xf numFmtId="41" fontId="12" fillId="0" borderId="0" xfId="174" applyFont="1"/>
    <xf numFmtId="171" fontId="13" fillId="0" borderId="0" xfId="640" applyNumberFormat="1" applyFont="1" applyAlignment="1"/>
    <xf numFmtId="170" fontId="13" fillId="0" borderId="0" xfId="328" applyFont="1" applyAlignment="1"/>
    <xf numFmtId="179" fontId="12" fillId="0" borderId="0" xfId="328" applyNumberFormat="1" applyFont="1" applyAlignment="1"/>
    <xf numFmtId="178" fontId="13" fillId="0" borderId="0" xfId="180" applyFont="1" applyBorder="1" applyAlignment="1">
      <alignment vertical="center"/>
    </xf>
    <xf numFmtId="178" fontId="12" fillId="0" borderId="0" xfId="180" applyFont="1" applyBorder="1" applyAlignment="1">
      <alignment vertical="center"/>
    </xf>
    <xf numFmtId="0" fontId="12" fillId="0" borderId="0" xfId="180" applyNumberFormat="1" applyFont="1" applyAlignment="1">
      <alignment vertical="center"/>
    </xf>
    <xf numFmtId="170" fontId="12" fillId="0" borderId="0" xfId="328" applyFont="1" applyBorder="1" applyAlignment="1"/>
    <xf numFmtId="173" fontId="12" fillId="0" borderId="0" xfId="328" applyNumberFormat="1" applyFont="1" applyBorder="1" applyAlignment="1">
      <alignment vertical="top"/>
    </xf>
    <xf numFmtId="0" fontId="12" fillId="0" borderId="0" xfId="328" quotePrefix="1" applyNumberFormat="1" applyFont="1" applyBorder="1" applyAlignment="1">
      <alignment vertical="top"/>
    </xf>
    <xf numFmtId="0" fontId="12" fillId="0" borderId="0" xfId="328" applyNumberFormat="1" applyFont="1" applyBorder="1" applyAlignment="1"/>
    <xf numFmtId="0" fontId="12" fillId="0" borderId="0" xfId="328" quotePrefix="1" applyNumberFormat="1" applyFont="1" applyBorder="1" applyAlignment="1">
      <alignment vertical="center"/>
    </xf>
    <xf numFmtId="178" fontId="12" fillId="0" borderId="0" xfId="180" applyBorder="1" applyAlignment="1"/>
    <xf numFmtId="168" fontId="12" fillId="0" borderId="0" xfId="0" applyNumberFormat="1" applyFont="1" applyAlignment="1">
      <alignment vertical="top"/>
    </xf>
    <xf numFmtId="168" fontId="12" fillId="0" borderId="38" xfId="0" applyNumberFormat="1" applyFont="1" applyBorder="1" applyAlignment="1">
      <alignment vertical="top"/>
    </xf>
    <xf numFmtId="178" fontId="12" fillId="0" borderId="0" xfId="180" applyFont="1" applyBorder="1" applyAlignment="1">
      <alignment vertical="top"/>
    </xf>
    <xf numFmtId="178" fontId="12" fillId="0" borderId="0" xfId="180" applyFont="1" applyAlignment="1">
      <alignment vertical="top"/>
    </xf>
    <xf numFmtId="0" fontId="12" fillId="0" borderId="0" xfId="180" applyNumberFormat="1" applyFont="1" applyAlignment="1">
      <alignment vertical="top"/>
    </xf>
    <xf numFmtId="168" fontId="0" fillId="0" borderId="0" xfId="0" applyNumberFormat="1" applyAlignment="1">
      <alignment vertical="top"/>
    </xf>
    <xf numFmtId="168" fontId="0" fillId="0" borderId="38" xfId="0" applyNumberFormat="1" applyBorder="1" applyAlignment="1">
      <alignment vertical="top"/>
    </xf>
    <xf numFmtId="178" fontId="12" fillId="0" borderId="0" xfId="180" applyAlignment="1">
      <alignment vertical="top"/>
    </xf>
    <xf numFmtId="175" fontId="12" fillId="0" borderId="0" xfId="328" applyNumberFormat="1" applyFont="1" applyAlignment="1">
      <alignment vertical="top"/>
    </xf>
    <xf numFmtId="172" fontId="12" fillId="0" borderId="0" xfId="640" applyNumberFormat="1" applyFont="1" applyAlignment="1">
      <alignment vertical="top"/>
    </xf>
    <xf numFmtId="0" fontId="12" fillId="0" borderId="31" xfId="0" quotePrefix="1" applyNumberFormat="1" applyFont="1" applyBorder="1" applyAlignment="1">
      <alignment horizontal="center" wrapText="1"/>
    </xf>
    <xf numFmtId="0" fontId="0" fillId="0" borderId="38" xfId="0" applyNumberFormat="1" applyBorder="1" applyAlignment="1">
      <alignment horizontal="center"/>
    </xf>
    <xf numFmtId="0" fontId="12" fillId="0" borderId="0" xfId="328" applyNumberFormat="1" applyFont="1" applyAlignment="1"/>
    <xf numFmtId="0" fontId="12" fillId="0" borderId="0" xfId="328" applyNumberFormat="1" applyFont="1" applyAlignment="1">
      <alignment vertical="top"/>
    </xf>
    <xf numFmtId="0" fontId="13" fillId="0" borderId="0" xfId="328" applyNumberFormat="1" applyFont="1" applyBorder="1" applyAlignment="1"/>
    <xf numFmtId="178" fontId="13" fillId="0" borderId="0" xfId="180" applyFont="1" applyAlignment="1">
      <alignment vertical="center"/>
    </xf>
    <xf numFmtId="0" fontId="11" fillId="0" borderId="0" xfId="328" quotePrefix="1" applyNumberFormat="1" applyFont="1" applyAlignment="1">
      <alignment vertical="top"/>
    </xf>
    <xf numFmtId="170" fontId="12" fillId="0" borderId="0" xfId="328" applyFont="1" applyBorder="1" applyAlignment="1">
      <alignment vertical="top"/>
    </xf>
    <xf numFmtId="0" fontId="13" fillId="0" borderId="0" xfId="0" applyNumberFormat="1" applyFont="1" applyAlignment="1">
      <alignment horizontal="center"/>
    </xf>
    <xf numFmtId="165" fontId="12" fillId="0" borderId="0" xfId="0" quotePrefix="1" applyFont="1"/>
    <xf numFmtId="165" fontId="11" fillId="0" borderId="0" xfId="0" applyFont="1"/>
    <xf numFmtId="165" fontId="0" fillId="0" borderId="0" xfId="0" applyAlignment="1">
      <alignment horizontal="center"/>
    </xf>
    <xf numFmtId="7" fontId="12" fillId="0" borderId="0" xfId="328" applyNumberFormat="1" applyFont="1" applyBorder="1" applyAlignment="1">
      <alignment vertical="top"/>
    </xf>
    <xf numFmtId="0" fontId="11" fillId="0" borderId="0" xfId="328" quotePrefix="1" applyNumberFormat="1" applyFont="1" applyBorder="1" applyAlignment="1">
      <alignment vertical="top"/>
    </xf>
    <xf numFmtId="0" fontId="12" fillId="0" borderId="31" xfId="0" quotePrefix="1" applyNumberFormat="1" applyFont="1" applyBorder="1" applyAlignment="1">
      <alignment horizontal="center"/>
    </xf>
    <xf numFmtId="0" fontId="12" fillId="0" borderId="31" xfId="0" applyNumberFormat="1" applyFont="1" applyBorder="1" applyAlignment="1">
      <alignment horizontal="center"/>
    </xf>
    <xf numFmtId="170" fontId="12" fillId="0" borderId="0" xfId="180" applyNumberFormat="1" applyFont="1" applyAlignment="1">
      <alignment vertical="center"/>
    </xf>
    <xf numFmtId="170" fontId="12" fillId="0" borderId="0" xfId="180" applyNumberFormat="1" applyAlignment="1"/>
    <xf numFmtId="170" fontId="13" fillId="0" borderId="0" xfId="180" applyNumberFormat="1" applyFont="1" applyBorder="1" applyAlignment="1">
      <alignment vertical="center"/>
    </xf>
    <xf numFmtId="170" fontId="12" fillId="0" borderId="0" xfId="174" applyNumberFormat="1" applyFont="1" applyAlignment="1">
      <alignment vertical="center"/>
    </xf>
    <xf numFmtId="0" fontId="13" fillId="0" borderId="31" xfId="0" applyNumberFormat="1" applyFont="1" applyBorder="1" applyAlignment="1">
      <alignment horizontal="center"/>
    </xf>
    <xf numFmtId="166" fontId="12" fillId="0" borderId="0" xfId="0" applyNumberFormat="1" applyFont="1" applyAlignment="1">
      <alignment horizontal="center"/>
    </xf>
    <xf numFmtId="44" fontId="12" fillId="0" borderId="0" xfId="174" applyNumberFormat="1" applyFont="1" applyAlignment="1">
      <alignment vertical="center"/>
    </xf>
    <xf numFmtId="43" fontId="12" fillId="0" borderId="0" xfId="174" applyNumberFormat="1" applyFont="1" applyAlignment="1">
      <alignment vertical="center"/>
    </xf>
    <xf numFmtId="44" fontId="12" fillId="0" borderId="0" xfId="0" applyNumberFormat="1" applyFont="1" applyAlignment="1">
      <alignment horizontal="centerContinuous"/>
    </xf>
    <xf numFmtId="44" fontId="12" fillId="0" borderId="0" xfId="0" applyNumberFormat="1" applyFont="1" applyAlignment="1">
      <alignment horizontal="center"/>
    </xf>
    <xf numFmtId="168" fontId="12" fillId="0" borderId="0" xfId="0" applyNumberFormat="1" applyFont="1"/>
    <xf numFmtId="168" fontId="12" fillId="0" borderId="38" xfId="0" applyNumberFormat="1" applyFont="1" applyBorder="1"/>
    <xf numFmtId="173" fontId="12" fillId="0" borderId="0" xfId="328" applyNumberFormat="1" applyFont="1" applyBorder="1" applyAlignment="1"/>
    <xf numFmtId="0" fontId="12" fillId="0" borderId="0" xfId="328" quotePrefix="1" applyNumberFormat="1" applyFont="1" applyBorder="1" applyAlignment="1"/>
    <xf numFmtId="178" fontId="12" fillId="0" borderId="0" xfId="180" applyFont="1" applyAlignment="1"/>
    <xf numFmtId="0" fontId="12" fillId="0" borderId="0" xfId="180" applyNumberFormat="1" applyFont="1" applyAlignment="1"/>
    <xf numFmtId="178" fontId="12" fillId="0" borderId="0" xfId="180" applyFont="1" applyBorder="1" applyAlignment="1"/>
    <xf numFmtId="175" fontId="12" fillId="0" borderId="0" xfId="328" applyNumberFormat="1" applyFont="1" applyBorder="1" applyAlignment="1">
      <alignment vertical="center"/>
    </xf>
    <xf numFmtId="173" fontId="12" fillId="0" borderId="0" xfId="328" applyNumberFormat="1" applyFont="1" applyAlignment="1">
      <alignment horizontal="center" vertical="center"/>
    </xf>
    <xf numFmtId="177" fontId="12" fillId="0" borderId="0" xfId="174" applyNumberFormat="1" applyFont="1" applyFill="1" applyAlignment="1">
      <alignment vertical="center"/>
    </xf>
    <xf numFmtId="176" fontId="12" fillId="0" borderId="0" xfId="174" applyNumberFormat="1" applyFont="1" applyFill="1" applyAlignment="1">
      <alignment vertical="center"/>
    </xf>
    <xf numFmtId="165" fontId="12" fillId="0" borderId="0" xfId="622" quotePrefix="1"/>
    <xf numFmtId="165" fontId="12" fillId="0" borderId="0" xfId="622" quotePrefix="1" applyAlignment="1">
      <alignment vertical="center"/>
    </xf>
    <xf numFmtId="0" fontId="13" fillId="0" borderId="38" xfId="0" applyNumberFormat="1" applyFont="1" applyBorder="1" applyAlignment="1">
      <alignment horizontal="centerContinuous"/>
    </xf>
    <xf numFmtId="165" fontId="11" fillId="0" borderId="0" xfId="0" applyFont="1" applyAlignment="1">
      <alignment horizontal="right"/>
    </xf>
    <xf numFmtId="0" fontId="12" fillId="0" borderId="0" xfId="0" applyNumberFormat="1" applyFont="1"/>
    <xf numFmtId="0" fontId="12" fillId="0" borderId="38" xfId="0" applyNumberFormat="1" applyFont="1" applyBorder="1"/>
    <xf numFmtId="168" fontId="13" fillId="0" borderId="38" xfId="0" applyNumberFormat="1" applyFont="1" applyBorder="1" applyAlignment="1">
      <alignment horizontal="center" vertical="center"/>
    </xf>
    <xf numFmtId="168" fontId="13" fillId="0" borderId="0" xfId="0" applyNumberFormat="1" applyFont="1" applyAlignment="1">
      <alignment horizontal="center" vertical="center"/>
    </xf>
    <xf numFmtId="183" fontId="12" fillId="0" borderId="0" xfId="180" applyNumberFormat="1" applyFont="1" applyBorder="1" applyAlignment="1">
      <alignment vertical="center"/>
    </xf>
    <xf numFmtId="170" fontId="12" fillId="0" borderId="0" xfId="180" applyNumberFormat="1" applyFont="1" applyBorder="1" applyAlignment="1">
      <alignment vertical="center"/>
    </xf>
    <xf numFmtId="171" fontId="12" fillId="0" borderId="0" xfId="640" applyNumberFormat="1" applyFont="1" applyBorder="1" applyAlignment="1">
      <alignment vertical="top"/>
    </xf>
    <xf numFmtId="178" fontId="12" fillId="0" borderId="38" xfId="180" applyFont="1" applyBorder="1" applyAlignment="1"/>
    <xf numFmtId="184" fontId="12" fillId="0" borderId="0" xfId="180" applyNumberFormat="1" applyFont="1" applyBorder="1" applyAlignment="1"/>
    <xf numFmtId="175" fontId="12" fillId="0" borderId="0" xfId="180" applyNumberFormat="1" applyFont="1" applyAlignment="1">
      <alignment vertical="center"/>
    </xf>
    <xf numFmtId="165" fontId="12" fillId="0" borderId="38" xfId="0" applyFont="1" applyBorder="1"/>
    <xf numFmtId="176" fontId="12" fillId="0" borderId="0" xfId="174" applyNumberFormat="1" applyFont="1" applyAlignment="1">
      <alignment horizontal="centerContinuous"/>
    </xf>
    <xf numFmtId="0" fontId="12" fillId="0" borderId="0" xfId="328" applyNumberFormat="1" applyFont="1" applyAlignment="1">
      <alignment horizontal="centerContinuous"/>
    </xf>
    <xf numFmtId="165" fontId="12" fillId="0" borderId="38" xfId="0" applyFont="1" applyBorder="1" applyAlignment="1">
      <alignment vertical="top"/>
    </xf>
    <xf numFmtId="176" fontId="12" fillId="0" borderId="0" xfId="174" applyNumberFormat="1" applyFont="1" applyAlignment="1">
      <alignment horizontal="centerContinuous" vertical="top"/>
    </xf>
    <xf numFmtId="0" fontId="12" fillId="0" borderId="0" xfId="328" applyNumberFormat="1" applyFont="1" applyAlignment="1">
      <alignment horizontal="centerContinuous" vertical="top"/>
    </xf>
    <xf numFmtId="170" fontId="12" fillId="0" borderId="0" xfId="328" applyFont="1" applyBorder="1" applyAlignment="1">
      <alignment vertical="center"/>
    </xf>
    <xf numFmtId="173" fontId="12" fillId="0" borderId="0" xfId="328" applyNumberFormat="1" applyFont="1" applyBorder="1" applyAlignment="1">
      <alignment vertical="center"/>
    </xf>
    <xf numFmtId="43" fontId="12" fillId="0" borderId="0" xfId="174" applyNumberFormat="1" applyFont="1" applyBorder="1" applyAlignment="1">
      <alignment vertical="center"/>
    </xf>
    <xf numFmtId="43" fontId="12" fillId="0" borderId="0" xfId="0" applyNumberFormat="1" applyFont="1" applyAlignment="1">
      <alignment vertical="center"/>
    </xf>
    <xf numFmtId="186" fontId="12" fillId="0" borderId="0" xfId="0" applyNumberFormat="1" applyFont="1" applyAlignment="1">
      <alignment horizontal="center"/>
    </xf>
    <xf numFmtId="187" fontId="12" fillId="0" borderId="0" xfId="0" applyNumberFormat="1" applyFont="1" applyAlignment="1">
      <alignment horizontal="center"/>
    </xf>
    <xf numFmtId="178" fontId="12" fillId="0" borderId="31" xfId="180" applyFont="1" applyBorder="1" applyAlignment="1">
      <alignment horizontal="center" vertical="center"/>
    </xf>
    <xf numFmtId="170" fontId="12" fillId="0" borderId="31" xfId="328" applyFont="1" applyBorder="1" applyAlignment="1">
      <alignment horizontal="center" vertical="center"/>
    </xf>
    <xf numFmtId="168" fontId="12" fillId="0" borderId="0" xfId="0" applyNumberFormat="1" applyFont="1" applyAlignment="1">
      <alignment horizontal="center" vertical="center"/>
    </xf>
    <xf numFmtId="165" fontId="12" fillId="0" borderId="40" xfId="0" applyFont="1" applyBorder="1" applyAlignment="1">
      <alignment vertical="center"/>
    </xf>
    <xf numFmtId="165" fontId="12" fillId="0" borderId="40" xfId="0" applyFont="1" applyBorder="1"/>
    <xf numFmtId="165" fontId="12" fillId="0" borderId="40" xfId="0" applyFont="1" applyBorder="1" applyAlignment="1">
      <alignment vertical="top"/>
    </xf>
    <xf numFmtId="0" fontId="12" fillId="0" borderId="40" xfId="0" applyNumberFormat="1" applyFont="1" applyBorder="1" applyAlignment="1">
      <alignment horizontal="center"/>
    </xf>
    <xf numFmtId="185" fontId="12" fillId="0" borderId="0" xfId="0" applyNumberFormat="1" applyFont="1" applyAlignment="1">
      <alignment horizontal="center" vertical="top"/>
    </xf>
    <xf numFmtId="165" fontId="12" fillId="0" borderId="0" xfId="0" applyFont="1" applyAlignment="1">
      <alignment horizontal="center"/>
    </xf>
    <xf numFmtId="165" fontId="12" fillId="0" borderId="0" xfId="0" applyFont="1" applyAlignment="1">
      <alignment horizontal="center" vertical="top"/>
    </xf>
    <xf numFmtId="181" fontId="12" fillId="0" borderId="0" xfId="180" applyNumberFormat="1" applyFont="1" applyAlignment="1"/>
    <xf numFmtId="188" fontId="12" fillId="0" borderId="0" xfId="328" applyNumberFormat="1" applyFont="1" applyBorder="1" applyAlignment="1"/>
    <xf numFmtId="168" fontId="13" fillId="0" borderId="0" xfId="328" applyNumberFormat="1" applyFont="1" applyAlignment="1">
      <alignment vertical="top"/>
    </xf>
    <xf numFmtId="167" fontId="13" fillId="0" borderId="0" xfId="640" applyFont="1" applyAlignment="1">
      <alignment vertical="top"/>
    </xf>
    <xf numFmtId="170" fontId="13" fillId="0" borderId="0" xfId="328" applyFont="1" applyAlignment="1">
      <alignment vertical="top"/>
    </xf>
    <xf numFmtId="171" fontId="12" fillId="0" borderId="0" xfId="640" applyNumberFormat="1" applyFont="1" applyAlignment="1">
      <alignment vertical="top"/>
    </xf>
    <xf numFmtId="178" fontId="12" fillId="0" borderId="38" xfId="180" applyBorder="1" applyAlignment="1"/>
    <xf numFmtId="180" fontId="12" fillId="0" borderId="0" xfId="327" applyNumberFormat="1" applyFont="1"/>
    <xf numFmtId="0" fontId="11" fillId="0" borderId="0" xfId="624"/>
    <xf numFmtId="177" fontId="11" fillId="0" borderId="41" xfId="624" applyNumberFormat="1" applyBorder="1"/>
    <xf numFmtId="0" fontId="11" fillId="0" borderId="4" xfId="624" quotePrefix="1" applyBorder="1"/>
    <xf numFmtId="177" fontId="11" fillId="0" borderId="0" xfId="624" applyNumberFormat="1"/>
    <xf numFmtId="0" fontId="11" fillId="0" borderId="0" xfId="624" quotePrefix="1"/>
    <xf numFmtId="191" fontId="11" fillId="0" borderId="0" xfId="624" applyNumberFormat="1"/>
    <xf numFmtId="177" fontId="11" fillId="0" borderId="42" xfId="624" applyNumberFormat="1" applyBorder="1"/>
    <xf numFmtId="0" fontId="11" fillId="0" borderId="43" xfId="624" quotePrefix="1" applyBorder="1"/>
    <xf numFmtId="0" fontId="11" fillId="0" borderId="31" xfId="624" applyBorder="1"/>
    <xf numFmtId="0" fontId="11" fillId="0" borderId="31" xfId="624" quotePrefix="1" applyBorder="1"/>
    <xf numFmtId="0" fontId="11" fillId="0" borderId="0" xfId="623"/>
    <xf numFmtId="177" fontId="11" fillId="0" borderId="0" xfId="623" applyNumberFormat="1"/>
    <xf numFmtId="0" fontId="11" fillId="0" borderId="0" xfId="623" quotePrefix="1"/>
    <xf numFmtId="0" fontId="21" fillId="0" borderId="0" xfId="623" applyFont="1"/>
    <xf numFmtId="7" fontId="11" fillId="0" borderId="0" xfId="623" applyNumberFormat="1"/>
    <xf numFmtId="7" fontId="11" fillId="0" borderId="0" xfId="623" quotePrefix="1" applyNumberFormat="1"/>
    <xf numFmtId="0" fontId="11" fillId="0" borderId="0" xfId="623" quotePrefix="1" applyAlignment="1">
      <alignment horizontal="center"/>
    </xf>
    <xf numFmtId="0" fontId="11" fillId="0" borderId="0" xfId="623" applyAlignment="1">
      <alignment horizontal="center"/>
    </xf>
    <xf numFmtId="191" fontId="11" fillId="0" borderId="0" xfId="623" applyNumberFormat="1" applyAlignment="1">
      <alignment horizontal="right"/>
    </xf>
    <xf numFmtId="191" fontId="11" fillId="0" borderId="0" xfId="623" applyNumberFormat="1"/>
    <xf numFmtId="3" fontId="11" fillId="0" borderId="0" xfId="623" applyNumberFormat="1" applyAlignment="1">
      <alignment horizontal="right"/>
    </xf>
    <xf numFmtId="0" fontId="15" fillId="0" borderId="0" xfId="623" applyFont="1"/>
    <xf numFmtId="177" fontId="11" fillId="0" borderId="41" xfId="623" applyNumberFormat="1" applyBorder="1"/>
    <xf numFmtId="0" fontId="11" fillId="0" borderId="4" xfId="623" quotePrefix="1" applyBorder="1"/>
    <xf numFmtId="177" fontId="11" fillId="0" borderId="42" xfId="623" applyNumberFormat="1" applyBorder="1"/>
    <xf numFmtId="0" fontId="11" fillId="0" borderId="43" xfId="623" quotePrefix="1" applyBorder="1"/>
    <xf numFmtId="0" fontId="11" fillId="0" borderId="31" xfId="623" applyBorder="1"/>
    <xf numFmtId="0" fontId="11" fillId="0" borderId="31" xfId="623" quotePrefix="1" applyBorder="1"/>
    <xf numFmtId="3" fontId="11" fillId="0" borderId="31" xfId="623" applyNumberFormat="1" applyBorder="1"/>
    <xf numFmtId="177" fontId="11" fillId="0" borderId="44" xfId="623" applyNumberFormat="1" applyBorder="1"/>
    <xf numFmtId="177" fontId="15" fillId="0" borderId="0" xfId="623" applyNumberFormat="1" applyFont="1"/>
    <xf numFmtId="0" fontId="15" fillId="0" borderId="0" xfId="623" quotePrefix="1" applyFont="1"/>
    <xf numFmtId="190" fontId="15" fillId="0" borderId="0" xfId="623" applyNumberFormat="1" applyFont="1" applyAlignment="1">
      <alignment horizontal="right"/>
    </xf>
    <xf numFmtId="177" fontId="15" fillId="0" borderId="0" xfId="623" applyNumberFormat="1" applyFont="1" applyAlignment="1">
      <alignment horizontal="right"/>
    </xf>
    <xf numFmtId="0" fontId="11" fillId="0" borderId="45" xfId="623" quotePrefix="1" applyBorder="1"/>
    <xf numFmtId="177" fontId="11" fillId="0" borderId="46" xfId="623" applyNumberFormat="1" applyBorder="1"/>
    <xf numFmtId="10" fontId="15" fillId="0" borderId="0" xfId="623" applyNumberFormat="1" applyFont="1"/>
    <xf numFmtId="3" fontId="15" fillId="0" borderId="0" xfId="623" applyNumberFormat="1" applyFont="1"/>
    <xf numFmtId="0" fontId="11" fillId="0" borderId="0" xfId="623" quotePrefix="1" applyAlignment="1">
      <alignment horizontal="right"/>
    </xf>
    <xf numFmtId="0" fontId="15" fillId="0" borderId="0" xfId="623" quotePrefix="1" applyFont="1" applyAlignment="1">
      <alignment horizontal="right"/>
    </xf>
    <xf numFmtId="0" fontId="15" fillId="0" borderId="0" xfId="0" applyNumberFormat="1" applyFont="1"/>
    <xf numFmtId="0" fontId="15" fillId="0" borderId="0" xfId="0" applyNumberFormat="1" applyFont="1" applyAlignment="1">
      <alignment horizontal="right"/>
    </xf>
    <xf numFmtId="0" fontId="15" fillId="0" borderId="0" xfId="0" quotePrefix="1" applyNumberFormat="1" applyFont="1"/>
    <xf numFmtId="176" fontId="11" fillId="0" borderId="0" xfId="623" applyNumberFormat="1" applyAlignment="1">
      <alignment horizontal="right"/>
    </xf>
    <xf numFmtId="176" fontId="11" fillId="0" borderId="0" xfId="623" applyNumberFormat="1"/>
    <xf numFmtId="0" fontId="13" fillId="0" borderId="0" xfId="0" applyNumberFormat="1" applyFont="1" applyAlignment="1">
      <alignment horizontal="center" vertical="center"/>
    </xf>
    <xf numFmtId="0" fontId="13" fillId="0" borderId="0" xfId="0" applyNumberFormat="1" applyFont="1" applyAlignment="1">
      <alignment vertical="center"/>
    </xf>
    <xf numFmtId="0" fontId="13" fillId="0" borderId="31" xfId="0" applyNumberFormat="1" applyFont="1" applyBorder="1" applyAlignment="1">
      <alignment horizontal="center" vertical="center"/>
    </xf>
    <xf numFmtId="0" fontId="18" fillId="0" borderId="0" xfId="0" applyNumberFormat="1" applyFont="1"/>
    <xf numFmtId="0" fontId="15" fillId="0" borderId="0" xfId="0" applyNumberFormat="1" applyFont="1" applyAlignment="1">
      <alignment horizontal="centerContinuous"/>
    </xf>
    <xf numFmtId="0" fontId="13" fillId="0" borderId="31" xfId="0" applyNumberFormat="1" applyFont="1" applyBorder="1" applyAlignment="1">
      <alignment horizontal="centerContinuous" vertical="center"/>
    </xf>
    <xf numFmtId="0" fontId="15" fillId="0" borderId="0" xfId="624" applyFont="1" applyAlignment="1">
      <alignment horizontal="centerContinuous"/>
    </xf>
    <xf numFmtId="0" fontId="19" fillId="32" borderId="0" xfId="624" applyFont="1" applyFill="1" applyProtection="1">
      <protection locked="0"/>
    </xf>
    <xf numFmtId="0" fontId="20" fillId="32" borderId="0" xfId="624" applyFont="1" applyFill="1"/>
    <xf numFmtId="189" fontId="20" fillId="32" borderId="0" xfId="624" applyNumberFormat="1" applyFont="1" applyFill="1"/>
    <xf numFmtId="0" fontId="20" fillId="32" borderId="0" xfId="624" applyFont="1" applyFill="1" applyAlignment="1" applyProtection="1">
      <alignment horizontal="left"/>
      <protection locked="0"/>
    </xf>
    <xf numFmtId="0" fontId="15" fillId="0" borderId="45" xfId="623" applyFont="1" applyBorder="1" applyAlignment="1">
      <alignment horizontal="centerContinuous"/>
    </xf>
    <xf numFmtId="0" fontId="15" fillId="0" borderId="46" xfId="623" applyFont="1" applyBorder="1" applyAlignment="1">
      <alignment horizontal="centerContinuous"/>
    </xf>
    <xf numFmtId="43" fontId="13" fillId="0" borderId="31" xfId="0" applyNumberFormat="1" applyFont="1" applyBorder="1" applyAlignment="1">
      <alignment horizontal="centerContinuous"/>
    </xf>
    <xf numFmtId="43" fontId="13" fillId="0" borderId="31" xfId="0" applyNumberFormat="1" applyFont="1" applyBorder="1" applyAlignment="1">
      <alignment horizontal="center"/>
    </xf>
    <xf numFmtId="43" fontId="12" fillId="0" borderId="0" xfId="0" applyNumberFormat="1" applyFont="1"/>
    <xf numFmtId="43" fontId="12" fillId="0" borderId="0" xfId="0" applyNumberFormat="1" applyFont="1" applyAlignment="1">
      <alignment horizontal="center"/>
    </xf>
    <xf numFmtId="43" fontId="0" fillId="0" borderId="0" xfId="0" applyNumberFormat="1"/>
    <xf numFmtId="43" fontId="12" fillId="0" borderId="0" xfId="0" applyNumberFormat="1" applyFont="1" applyAlignment="1">
      <alignment horizontal="centerContinuous"/>
    </xf>
    <xf numFmtId="44" fontId="0" fillId="0" borderId="0" xfId="0" applyNumberFormat="1"/>
    <xf numFmtId="44" fontId="12" fillId="0" borderId="0" xfId="0" applyNumberFormat="1" applyFont="1"/>
    <xf numFmtId="194" fontId="15" fillId="0" borderId="0" xfId="0" applyNumberFormat="1" applyFont="1" applyAlignment="1">
      <alignment horizontal="centerContinuous"/>
    </xf>
    <xf numFmtId="194" fontId="13" fillId="0" borderId="0" xfId="180" applyNumberFormat="1" applyFont="1" applyBorder="1" applyAlignment="1">
      <alignment vertical="center"/>
    </xf>
    <xf numFmtId="195" fontId="12" fillId="0" borderId="0" xfId="640" applyNumberFormat="1" applyFont="1" applyBorder="1" applyAlignment="1">
      <alignment vertical="center"/>
    </xf>
    <xf numFmtId="195" fontId="12" fillId="0" borderId="0" xfId="0" applyNumberFormat="1" applyFont="1" applyAlignment="1">
      <alignment vertical="center"/>
    </xf>
    <xf numFmtId="193" fontId="11" fillId="0" borderId="0" xfId="623" applyNumberFormat="1"/>
    <xf numFmtId="0" fontId="15" fillId="0" borderId="31" xfId="623" applyFont="1" applyBorder="1" applyAlignment="1">
      <alignment horizontal="center"/>
    </xf>
    <xf numFmtId="0" fontId="11" fillId="0" borderId="0" xfId="624" applyAlignment="1">
      <alignment horizontal="centerContinuous"/>
    </xf>
    <xf numFmtId="0" fontId="11" fillId="0" borderId="0" xfId="624" applyAlignment="1">
      <alignment horizontal="right"/>
    </xf>
    <xf numFmtId="0" fontId="23" fillId="0" borderId="0" xfId="623" applyFont="1"/>
    <xf numFmtId="0" fontId="24" fillId="0" borderId="0" xfId="623" applyFont="1"/>
    <xf numFmtId="0" fontId="24" fillId="0" borderId="0" xfId="623" quotePrefix="1" applyFont="1"/>
    <xf numFmtId="177" fontId="11" fillId="0" borderId="31" xfId="624" applyNumberFormat="1" applyBorder="1"/>
    <xf numFmtId="192" fontId="11" fillId="0" borderId="0" xfId="623" applyNumberFormat="1" applyAlignment="1">
      <alignment horizontal="right"/>
    </xf>
    <xf numFmtId="165" fontId="15" fillId="0" borderId="0" xfId="0" applyFont="1" applyAlignment="1">
      <alignment horizontal="center"/>
    </xf>
    <xf numFmtId="0" fontId="15" fillId="0" borderId="0" xfId="0" applyNumberFormat="1" applyFont="1" applyAlignment="1">
      <alignment horizontal="center"/>
    </xf>
    <xf numFmtId="0" fontId="18" fillId="0" borderId="0" xfId="0" applyNumberFormat="1" applyFont="1" applyAlignment="1">
      <alignment horizontal="center"/>
    </xf>
    <xf numFmtId="165" fontId="15" fillId="0" borderId="0" xfId="0" applyFont="1" applyAlignment="1">
      <alignment horizontal="left"/>
    </xf>
    <xf numFmtId="194" fontId="13" fillId="0" borderId="31" xfId="0" applyNumberFormat="1" applyFont="1" applyBorder="1" applyAlignment="1">
      <alignment horizontal="center" vertical="center" wrapText="1"/>
    </xf>
    <xf numFmtId="165" fontId="0" fillId="0" borderId="0" xfId="0" applyAlignment="1">
      <alignment horizontal="center" vertical="center"/>
    </xf>
    <xf numFmtId="176" fontId="11" fillId="0" borderId="0" xfId="624" applyNumberFormat="1"/>
    <xf numFmtId="177" fontId="11" fillId="0" borderId="42" xfId="624" applyNumberFormat="1" applyBorder="1" applyAlignment="1">
      <alignment horizontal="right"/>
    </xf>
    <xf numFmtId="191" fontId="11" fillId="0" borderId="31" xfId="624" applyNumberFormat="1" applyBorder="1"/>
    <xf numFmtId="177" fontId="11" fillId="0" borderId="44" xfId="624" applyNumberFormat="1" applyBorder="1"/>
    <xf numFmtId="0" fontId="11" fillId="0" borderId="31" xfId="623" quotePrefix="1" applyBorder="1" applyAlignment="1">
      <alignment horizontal="right"/>
    </xf>
    <xf numFmtId="177" fontId="11" fillId="0" borderId="31" xfId="623" applyNumberFormat="1" applyBorder="1"/>
    <xf numFmtId="191" fontId="11" fillId="0" borderId="31" xfId="623" applyNumberFormat="1" applyBorder="1" applyAlignment="1">
      <alignment horizontal="right"/>
    </xf>
    <xf numFmtId="0" fontId="15" fillId="0" borderId="0" xfId="0" applyNumberFormat="1" applyFont="1" applyAlignment="1">
      <alignment horizontal="left"/>
    </xf>
    <xf numFmtId="15" fontId="15" fillId="0" borderId="0" xfId="0" quotePrefix="1" applyNumberFormat="1" applyFont="1" applyAlignment="1">
      <alignment horizontal="left"/>
    </xf>
    <xf numFmtId="0" fontId="0" fillId="0" borderId="0" xfId="0" applyNumberFormat="1" applyAlignment="1">
      <alignment vertical="center"/>
    </xf>
    <xf numFmtId="0" fontId="0" fillId="0" borderId="0" xfId="328" quotePrefix="1" applyNumberFormat="1" applyFont="1" applyBorder="1" applyAlignment="1"/>
    <xf numFmtId="194" fontId="0" fillId="0" borderId="0" xfId="0" applyNumberFormat="1" applyAlignment="1">
      <alignment horizontal="center" vertical="center"/>
    </xf>
    <xf numFmtId="194" fontId="13" fillId="0" borderId="0" xfId="209" applyNumberFormat="1" applyFont="1" applyFill="1" applyBorder="1" applyAlignment="1">
      <alignment vertical="center"/>
    </xf>
    <xf numFmtId="49" fontId="11" fillId="0" borderId="0" xfId="0" applyNumberFormat="1" applyFont="1"/>
    <xf numFmtId="0" fontId="11" fillId="0" borderId="0" xfId="0" applyNumberFormat="1" applyFont="1"/>
    <xf numFmtId="171" fontId="0" fillId="0" borderId="0" xfId="640" applyNumberFormat="1" applyFont="1"/>
    <xf numFmtId="168" fontId="12" fillId="0" borderId="0" xfId="328" applyNumberFormat="1" applyFont="1" applyBorder="1" applyAlignment="1"/>
    <xf numFmtId="174" fontId="12" fillId="0" borderId="0" xfId="328" applyNumberFormat="1" applyFont="1" applyBorder="1" applyAlignment="1"/>
    <xf numFmtId="165" fontId="0" fillId="0" borderId="0" xfId="0" applyAlignment="1">
      <alignment horizontal="right"/>
    </xf>
    <xf numFmtId="0" fontId="0" fillId="0" borderId="31" xfId="0" applyNumberFormat="1" applyBorder="1" applyAlignment="1">
      <alignment horizontal="center" wrapText="1"/>
    </xf>
    <xf numFmtId="0" fontId="0" fillId="0" borderId="31" xfId="0" applyNumberFormat="1" applyBorder="1" applyAlignment="1">
      <alignment horizontal="centerContinuous"/>
    </xf>
    <xf numFmtId="178" fontId="0" fillId="0" borderId="0" xfId="180" applyFont="1" applyAlignment="1"/>
    <xf numFmtId="174" fontId="0" fillId="0" borderId="0" xfId="328" applyNumberFormat="1" applyFont="1" applyAlignment="1"/>
    <xf numFmtId="243" fontId="157" fillId="0" borderId="48" xfId="1770" applyNumberFormat="1" applyFont="1" applyBorder="1"/>
    <xf numFmtId="176" fontId="0" fillId="0" borderId="0" xfId="0" applyNumberFormat="1"/>
    <xf numFmtId="168" fontId="0" fillId="0" borderId="0" xfId="328" applyNumberFormat="1" applyFont="1" applyAlignment="1"/>
    <xf numFmtId="167" fontId="0" fillId="0" borderId="0" xfId="640" applyFont="1"/>
    <xf numFmtId="170" fontId="0" fillId="0" borderId="0" xfId="328" applyFont="1" applyAlignment="1"/>
    <xf numFmtId="174" fontId="0" fillId="0" borderId="0" xfId="328" applyNumberFormat="1" applyFont="1" applyBorder="1" applyAlignment="1">
      <alignment vertical="center"/>
    </xf>
    <xf numFmtId="168" fontId="0" fillId="0" borderId="0" xfId="0" applyNumberFormat="1" applyAlignment="1">
      <alignment vertical="center"/>
    </xf>
    <xf numFmtId="168" fontId="0" fillId="0" borderId="38" xfId="0" applyNumberFormat="1" applyBorder="1" applyAlignment="1">
      <alignment vertical="center"/>
    </xf>
    <xf numFmtId="171" fontId="0" fillId="0" borderId="0" xfId="640" applyNumberFormat="1" applyFont="1" applyBorder="1" applyAlignment="1">
      <alignment vertical="center"/>
    </xf>
    <xf numFmtId="0" fontId="12" fillId="0" borderId="146" xfId="0" applyNumberFormat="1" applyFont="1" applyBorder="1" applyAlignment="1">
      <alignment horizontal="center" wrapText="1"/>
    </xf>
    <xf numFmtId="43" fontId="13" fillId="0" borderId="0" xfId="0" applyNumberFormat="1" applyFont="1" applyAlignment="1">
      <alignment horizontal="centerContinuous"/>
    </xf>
    <xf numFmtId="43" fontId="13" fillId="0" borderId="0" xfId="0" applyNumberFormat="1" applyFont="1" applyAlignment="1">
      <alignment horizontal="center"/>
    </xf>
    <xf numFmtId="172" fontId="12" fillId="0" borderId="0" xfId="640" applyNumberFormat="1" applyFont="1" applyBorder="1" applyAlignment="1">
      <alignment vertical="top"/>
    </xf>
    <xf numFmtId="170" fontId="0" fillId="0" borderId="0" xfId="328" applyFont="1" applyBorder="1" applyAlignment="1">
      <alignment horizontal="center" vertical="top"/>
    </xf>
    <xf numFmtId="168" fontId="13" fillId="0" borderId="145" xfId="328" applyNumberFormat="1" applyFont="1" applyBorder="1" applyAlignment="1"/>
    <xf numFmtId="0" fontId="15" fillId="38" borderId="45" xfId="624" applyFont="1" applyFill="1" applyBorder="1" applyAlignment="1">
      <alignment horizontal="centerContinuous"/>
    </xf>
    <xf numFmtId="0" fontId="15" fillId="0" borderId="0" xfId="624" applyFont="1" applyAlignment="1">
      <alignment horizontal="center"/>
    </xf>
    <xf numFmtId="170" fontId="0" fillId="0" borderId="0" xfId="328" applyFont="1" applyBorder="1" applyAlignment="1">
      <alignment horizontal="center" vertical="center"/>
    </xf>
    <xf numFmtId="43" fontId="12" fillId="0" borderId="0" xfId="328" applyNumberFormat="1" applyFont="1" applyBorder="1" applyAlignment="1"/>
    <xf numFmtId="44" fontId="12" fillId="0" borderId="0" xfId="328" applyNumberFormat="1" applyFont="1" applyBorder="1" applyAlignment="1">
      <alignment vertical="top"/>
    </xf>
    <xf numFmtId="173" fontId="12" fillId="0" borderId="0" xfId="0" applyNumberFormat="1" applyFont="1" applyAlignment="1">
      <alignment vertical="center"/>
    </xf>
    <xf numFmtId="253" fontId="12" fillId="0" borderId="0" xfId="174" applyNumberFormat="1" applyFont="1" applyAlignment="1">
      <alignment vertical="center"/>
    </xf>
    <xf numFmtId="1" fontId="13" fillId="0" borderId="0" xfId="0" applyNumberFormat="1" applyFont="1" applyAlignment="1">
      <alignment horizontal="center" vertical="center" wrapText="1"/>
    </xf>
    <xf numFmtId="194" fontId="13" fillId="0" borderId="0" xfId="0" applyNumberFormat="1" applyFont="1" applyAlignment="1">
      <alignment horizontal="center" vertical="center" wrapText="1"/>
    </xf>
    <xf numFmtId="170" fontId="0" fillId="0" borderId="0" xfId="328" applyFont="1" applyBorder="1" applyAlignment="1">
      <alignment horizontal="center"/>
    </xf>
    <xf numFmtId="197" fontId="12" fillId="0" borderId="0" xfId="328" applyNumberFormat="1" applyFont="1" applyBorder="1" applyAlignment="1">
      <alignment vertical="top"/>
    </xf>
    <xf numFmtId="254" fontId="0" fillId="0" borderId="0" xfId="0" applyNumberFormat="1"/>
    <xf numFmtId="168" fontId="13" fillId="0" borderId="40" xfId="0" applyNumberFormat="1" applyFont="1" applyBorder="1" applyAlignment="1">
      <alignment vertical="top"/>
    </xf>
    <xf numFmtId="166" fontId="0" fillId="0" borderId="0" xfId="0" applyNumberFormat="1" applyAlignment="1">
      <alignment horizontal="center" vertical="center"/>
    </xf>
    <xf numFmtId="168" fontId="0" fillId="0" borderId="40" xfId="0" applyNumberFormat="1" applyBorder="1" applyAlignment="1">
      <alignment vertical="top"/>
    </xf>
    <xf numFmtId="255" fontId="16" fillId="0" borderId="145" xfId="0" quotePrefix="1" applyNumberFormat="1" applyFont="1" applyBorder="1" applyAlignment="1">
      <alignment vertical="top"/>
    </xf>
    <xf numFmtId="44" fontId="12" fillId="0" borderId="0" xfId="0" applyNumberFormat="1" applyFont="1" applyAlignment="1">
      <alignment vertical="top"/>
    </xf>
    <xf numFmtId="165" fontId="0" fillId="0" borderId="0" xfId="620" applyFont="1" applyAlignment="1">
      <alignment vertical="center"/>
    </xf>
    <xf numFmtId="241" fontId="12" fillId="0" borderId="0" xfId="173" applyNumberFormat="1" applyFont="1" applyFill="1" applyBorder="1" applyAlignment="1">
      <alignment horizontal="left"/>
    </xf>
    <xf numFmtId="41" fontId="12" fillId="0" borderId="0" xfId="173" applyNumberFormat="1" applyFont="1" applyFill="1" applyBorder="1" applyAlignment="1">
      <alignment horizontal="right"/>
    </xf>
    <xf numFmtId="174" fontId="12" fillId="0" borderId="0" xfId="173" applyNumberFormat="1" applyFont="1" applyFill="1" applyBorder="1" applyAlignment="1">
      <alignment horizontal="right"/>
    </xf>
    <xf numFmtId="259" fontId="0" fillId="0" borderId="0" xfId="640" applyNumberFormat="1" applyFont="1"/>
    <xf numFmtId="167" fontId="13" fillId="0" borderId="0" xfId="640" applyFont="1" applyBorder="1" applyAlignment="1"/>
    <xf numFmtId="165" fontId="166" fillId="0" borderId="0" xfId="0" applyFont="1" applyAlignment="1">
      <alignment horizontal="center"/>
    </xf>
    <xf numFmtId="165" fontId="166" fillId="0" borderId="147" xfId="0" applyFont="1" applyBorder="1" applyAlignment="1">
      <alignment horizontal="center"/>
    </xf>
    <xf numFmtId="0" fontId="13" fillId="0" borderId="44" xfId="0" applyNumberFormat="1" applyFont="1" applyBorder="1" applyAlignment="1">
      <alignment horizontal="center"/>
    </xf>
    <xf numFmtId="1" fontId="12" fillId="0" borderId="42" xfId="0" applyNumberFormat="1" applyFont="1" applyBorder="1" applyAlignment="1">
      <alignment horizontal="center" vertical="center"/>
    </xf>
    <xf numFmtId="0" fontId="13" fillId="0" borderId="148" xfId="0" applyNumberFormat="1" applyFont="1" applyBorder="1" applyAlignment="1">
      <alignment horizontal="center"/>
    </xf>
    <xf numFmtId="165" fontId="164" fillId="0" borderId="0" xfId="0" applyFont="1" applyAlignment="1">
      <alignment vertical="top"/>
    </xf>
    <xf numFmtId="165" fontId="164" fillId="0" borderId="0" xfId="0" applyFont="1"/>
    <xf numFmtId="165" fontId="0" fillId="0" borderId="0" xfId="0" applyAlignment="1">
      <alignment horizontal="right" vertical="center"/>
    </xf>
    <xf numFmtId="175" fontId="0" fillId="0" borderId="0" xfId="328" applyNumberFormat="1" applyFont="1" applyAlignment="1">
      <alignment horizontal="right" vertical="center"/>
    </xf>
    <xf numFmtId="262" fontId="0" fillId="0" borderId="0" xfId="0" applyNumberFormat="1" applyAlignment="1">
      <alignment horizontal="right" vertical="center"/>
    </xf>
    <xf numFmtId="0" fontId="0" fillId="0" borderId="146" xfId="0" applyNumberFormat="1" applyBorder="1" applyAlignment="1">
      <alignment horizontal="center"/>
    </xf>
    <xf numFmtId="0" fontId="0" fillId="0" borderId="145" xfId="0" applyNumberFormat="1" applyBorder="1" applyAlignment="1">
      <alignment horizontal="center"/>
    </xf>
    <xf numFmtId="181" fontId="0" fillId="0" borderId="145" xfId="0" applyNumberFormat="1" applyBorder="1" applyAlignment="1">
      <alignment horizontal="right" vertical="center"/>
    </xf>
    <xf numFmtId="170" fontId="13" fillId="0" borderId="145" xfId="328" applyFont="1" applyBorder="1" applyAlignment="1"/>
    <xf numFmtId="49" fontId="0" fillId="0" borderId="0" xfId="0" quotePrefix="1" applyNumberFormat="1" applyAlignment="1">
      <alignment horizontal="left" vertical="center"/>
    </xf>
    <xf numFmtId="194" fontId="0" fillId="0" borderId="0" xfId="0" applyNumberFormat="1" applyAlignment="1">
      <alignment vertical="center"/>
    </xf>
    <xf numFmtId="0" fontId="0" fillId="0" borderId="0" xfId="0" applyNumberFormat="1" applyAlignment="1">
      <alignment horizontal="center" vertical="center"/>
    </xf>
    <xf numFmtId="194" fontId="0" fillId="0" borderId="0" xfId="0" applyNumberFormat="1"/>
    <xf numFmtId="165" fontId="13" fillId="0" borderId="0" xfId="0" applyFont="1" applyAlignment="1">
      <alignment horizontal="left"/>
    </xf>
    <xf numFmtId="194" fontId="13" fillId="0" borderId="0" xfId="0" applyNumberFormat="1" applyFont="1" applyAlignment="1">
      <alignment horizontal="centerContinuous"/>
    </xf>
    <xf numFmtId="0" fontId="13" fillId="0" borderId="0" xfId="0" applyNumberFormat="1" applyFont="1"/>
    <xf numFmtId="175" fontId="0" fillId="0" borderId="0" xfId="245" applyNumberFormat="1" applyFont="1" applyFill="1" applyBorder="1" applyAlignment="1">
      <alignment horizontal="right" vertical="center"/>
    </xf>
    <xf numFmtId="194" fontId="13" fillId="0" borderId="0" xfId="173" applyNumberFormat="1" applyFont="1" applyFill="1" applyBorder="1" applyAlignment="1">
      <alignment horizontal="right" vertical="center"/>
    </xf>
    <xf numFmtId="194" fontId="0" fillId="0" borderId="0" xfId="510" applyNumberFormat="1" applyFont="1" applyAlignment="1">
      <alignment horizontal="right" vertical="center"/>
    </xf>
    <xf numFmtId="241" fontId="12" fillId="0" borderId="0" xfId="173" applyNumberFormat="1" applyFont="1" applyAlignment="1">
      <alignment horizontal="center"/>
    </xf>
    <xf numFmtId="165" fontId="12" fillId="0" borderId="0" xfId="0" applyFont="1" applyAlignment="1">
      <alignment horizontal="left"/>
    </xf>
    <xf numFmtId="0" fontId="0" fillId="0" borderId="0" xfId="510" applyNumberFormat="1" applyFont="1" applyAlignment="1">
      <alignment horizontal="right" vertical="center"/>
    </xf>
    <xf numFmtId="175" fontId="0" fillId="0" borderId="0" xfId="1998" applyNumberFormat="1" applyFont="1" applyFill="1" applyBorder="1" applyAlignment="1">
      <alignment horizontal="right" vertical="center"/>
    </xf>
    <xf numFmtId="241" fontId="129" fillId="0" borderId="31" xfId="2018" applyNumberFormat="1" applyFont="1" applyFill="1" applyBorder="1" applyAlignment="1">
      <alignment horizontal="right"/>
    </xf>
    <xf numFmtId="175" fontId="0" fillId="0" borderId="0" xfId="2002" applyNumberFormat="1" applyFont="1" applyFill="1" applyBorder="1" applyAlignment="1">
      <alignment horizontal="right" vertical="center"/>
    </xf>
    <xf numFmtId="165" fontId="0" fillId="0" borderId="164" xfId="0" applyBorder="1" applyAlignment="1">
      <alignment horizontal="center" vertical="center"/>
    </xf>
    <xf numFmtId="165" fontId="0" fillId="0" borderId="163" xfId="0" applyBorder="1" applyAlignment="1">
      <alignment horizontal="center" vertical="center"/>
    </xf>
    <xf numFmtId="165" fontId="166" fillId="0" borderId="4" xfId="0" applyFont="1" applyBorder="1" applyAlignment="1">
      <alignment horizontal="center"/>
    </xf>
    <xf numFmtId="194" fontId="0" fillId="0" borderId="31" xfId="510" applyNumberFormat="1" applyFont="1" applyBorder="1" applyAlignment="1">
      <alignment horizontal="right" vertical="center"/>
    </xf>
    <xf numFmtId="194" fontId="13" fillId="0" borderId="0" xfId="209" applyNumberFormat="1" applyFont="1" applyFill="1" applyBorder="1" applyAlignment="1">
      <alignment horizontal="right" vertical="center"/>
    </xf>
    <xf numFmtId="194" fontId="13" fillId="0" borderId="145" xfId="209" applyNumberFormat="1" applyFont="1" applyFill="1" applyBorder="1" applyAlignment="1">
      <alignment horizontal="right" vertical="center"/>
    </xf>
    <xf numFmtId="194" fontId="13" fillId="0" borderId="146" xfId="209" applyNumberFormat="1" applyFont="1" applyFill="1" applyBorder="1" applyAlignment="1">
      <alignment horizontal="right" vertical="center"/>
    </xf>
    <xf numFmtId="194" fontId="13" fillId="0" borderId="142" xfId="209" applyNumberFormat="1" applyFont="1" applyFill="1" applyBorder="1" applyAlignment="1">
      <alignment horizontal="right" vertical="center"/>
    </xf>
    <xf numFmtId="194" fontId="0" fillId="0" borderId="0" xfId="209" applyNumberFormat="1" applyFont="1" applyFill="1" applyBorder="1" applyAlignment="1">
      <alignment horizontal="right" vertical="center"/>
    </xf>
    <xf numFmtId="194" fontId="13" fillId="0" borderId="8" xfId="209" applyNumberFormat="1" applyFont="1" applyFill="1" applyBorder="1" applyAlignment="1">
      <alignment horizontal="right" vertical="center"/>
    </xf>
    <xf numFmtId="243" fontId="191" fillId="0" borderId="0" xfId="6661" applyNumberFormat="1" applyFont="1"/>
    <xf numFmtId="0" fontId="0" fillId="0" borderId="0" xfId="0" applyNumberFormat="1" applyAlignment="1">
      <alignment horizontal="center" vertical="center" wrapText="1"/>
    </xf>
    <xf numFmtId="181" fontId="13" fillId="0" borderId="142" xfId="1998" applyNumberFormat="1" applyFont="1" applyFill="1" applyBorder="1" applyAlignment="1">
      <alignment horizontal="right" vertical="center"/>
    </xf>
    <xf numFmtId="0" fontId="0" fillId="0" borderId="0" xfId="0" applyNumberFormat="1" applyAlignment="1">
      <alignment horizontal="left" vertical="center"/>
    </xf>
    <xf numFmtId="175" fontId="13" fillId="0" borderId="0" xfId="328" applyNumberFormat="1" applyFont="1" applyBorder="1" applyAlignment="1">
      <alignment vertical="top"/>
    </xf>
    <xf numFmtId="44" fontId="12" fillId="0" borderId="0" xfId="640" applyNumberFormat="1" applyFont="1" applyAlignment="1">
      <alignment vertical="top"/>
    </xf>
    <xf numFmtId="10" fontId="11" fillId="0" borderId="0" xfId="623" applyNumberFormat="1"/>
    <xf numFmtId="3" fontId="11" fillId="0" borderId="0" xfId="623" applyNumberFormat="1"/>
    <xf numFmtId="0" fontId="11" fillId="0" borderId="146" xfId="623" applyBorder="1"/>
    <xf numFmtId="3" fontId="11" fillId="0" borderId="146" xfId="623" applyNumberFormat="1" applyBorder="1"/>
    <xf numFmtId="252" fontId="13" fillId="0" borderId="0" xfId="327" applyNumberFormat="1" applyFont="1" applyBorder="1" applyAlignment="1">
      <alignment vertical="center"/>
    </xf>
    <xf numFmtId="252" fontId="13" fillId="0" borderId="48" xfId="327" applyNumberFormat="1" applyFont="1" applyFill="1" applyBorder="1" applyAlignment="1">
      <alignment horizontal="left" vertical="center"/>
    </xf>
    <xf numFmtId="259" fontId="0" fillId="0" borderId="0" xfId="640" applyNumberFormat="1" applyFont="1" applyAlignment="1"/>
    <xf numFmtId="165" fontId="0" fillId="0" borderId="0" xfId="622" applyFont="1"/>
    <xf numFmtId="165" fontId="0" fillId="0" borderId="0" xfId="622" quotePrefix="1" applyFont="1"/>
    <xf numFmtId="171" fontId="0" fillId="0" borderId="0" xfId="640" applyNumberFormat="1" applyFont="1" applyFill="1" applyAlignment="1">
      <alignment horizontal="right" vertical="center"/>
    </xf>
    <xf numFmtId="171" fontId="11" fillId="0" borderId="0" xfId="640" applyNumberFormat="1" applyFont="1"/>
    <xf numFmtId="171" fontId="0" fillId="0" borderId="0" xfId="640" applyNumberFormat="1" applyFont="1" applyAlignment="1">
      <alignment vertical="center"/>
    </xf>
    <xf numFmtId="261" fontId="0" fillId="113" borderId="0" xfId="0" applyNumberFormat="1" applyFill="1" applyAlignment="1">
      <alignment horizontal="right" vertical="center"/>
    </xf>
    <xf numFmtId="0" fontId="0" fillId="0" borderId="0" xfId="0" applyNumberFormat="1" applyAlignment="1">
      <alignment horizontal="center" wrapText="1"/>
    </xf>
    <xf numFmtId="165" fontId="13" fillId="0" borderId="31" xfId="0" applyFont="1" applyBorder="1" applyAlignment="1">
      <alignment horizontal="center"/>
    </xf>
    <xf numFmtId="0" fontId="0" fillId="0" borderId="146" xfId="0" applyNumberFormat="1" applyBorder="1" applyAlignment="1">
      <alignment horizontal="center" wrapText="1"/>
    </xf>
    <xf numFmtId="165" fontId="0" fillId="0" borderId="145" xfId="0" applyBorder="1" applyAlignment="1">
      <alignment horizontal="right" vertical="center"/>
    </xf>
    <xf numFmtId="241" fontId="0" fillId="0" borderId="0" xfId="0" applyNumberFormat="1" applyAlignment="1">
      <alignment horizontal="right" vertical="center"/>
    </xf>
    <xf numFmtId="44" fontId="0" fillId="0" borderId="48" xfId="0" applyNumberFormat="1" applyBorder="1"/>
    <xf numFmtId="175" fontId="0" fillId="0" borderId="0" xfId="0" applyNumberFormat="1" applyAlignment="1">
      <alignment horizontal="right" vertical="center"/>
    </xf>
    <xf numFmtId="175" fontId="13" fillId="0" borderId="0" xfId="0" applyNumberFormat="1" applyFont="1" applyAlignment="1">
      <alignment horizontal="right" vertical="center"/>
    </xf>
    <xf numFmtId="278" fontId="12" fillId="0" borderId="0" xfId="328" applyNumberFormat="1" applyFont="1" applyBorder="1" applyAlignment="1">
      <alignment vertical="top"/>
    </xf>
    <xf numFmtId="0" fontId="13" fillId="0" borderId="170" xfId="0" applyNumberFormat="1" applyFont="1" applyBorder="1" applyAlignment="1">
      <alignment horizontal="center" wrapText="1"/>
    </xf>
    <xf numFmtId="0" fontId="13" fillId="0" borderId="149" xfId="0" applyNumberFormat="1" applyFont="1" applyBorder="1" applyAlignment="1">
      <alignment horizontal="center" vertical="center" wrapText="1"/>
    </xf>
    <xf numFmtId="165" fontId="0" fillId="0" borderId="0" xfId="0" quotePrefix="1" applyAlignment="1">
      <alignment horizontal="left"/>
    </xf>
    <xf numFmtId="252" fontId="0" fillId="0" borderId="0" xfId="328" applyNumberFormat="1" applyFont="1" applyAlignment="1"/>
    <xf numFmtId="252" fontId="13" fillId="0" borderId="0" xfId="328" applyNumberFormat="1" applyFont="1" applyAlignment="1">
      <alignment vertical="center"/>
    </xf>
    <xf numFmtId="175" fontId="0" fillId="0" borderId="31" xfId="2002" quotePrefix="1" applyNumberFormat="1" applyFont="1" applyFill="1" applyBorder="1" applyAlignment="1">
      <alignment horizontal="right" vertical="center"/>
    </xf>
    <xf numFmtId="194" fontId="13" fillId="0" borderId="8" xfId="173" applyNumberFormat="1" applyFont="1" applyFill="1" applyBorder="1" applyAlignment="1">
      <alignment horizontal="right" vertical="center"/>
    </xf>
    <xf numFmtId="175" fontId="0" fillId="0" borderId="0" xfId="328" applyNumberFormat="1" applyFont="1" applyBorder="1" applyAlignment="1">
      <alignment horizontal="right" vertical="center"/>
    </xf>
    <xf numFmtId="165" fontId="0" fillId="0" borderId="48" xfId="0" applyBorder="1" applyAlignment="1">
      <alignment horizontal="right" vertical="center"/>
    </xf>
    <xf numFmtId="175" fontId="0" fillId="0" borderId="48" xfId="0" applyNumberFormat="1" applyBorder="1" applyAlignment="1">
      <alignment horizontal="right" vertical="center"/>
    </xf>
    <xf numFmtId="175" fontId="12" fillId="0" borderId="0" xfId="174" applyNumberFormat="1" applyFont="1" applyFill="1"/>
    <xf numFmtId="175" fontId="157" fillId="0" borderId="0" xfId="2767" applyNumberFormat="1" applyFont="1"/>
    <xf numFmtId="175" fontId="0" fillId="0" borderId="0" xfId="328" applyNumberFormat="1" applyFont="1" applyAlignment="1"/>
    <xf numFmtId="242" fontId="12" fillId="0" borderId="0" xfId="180" applyNumberFormat="1" applyFont="1" applyFill="1" applyAlignment="1">
      <alignment vertical="top"/>
    </xf>
    <xf numFmtId="168" fontId="13" fillId="0" borderId="0" xfId="328" applyNumberFormat="1" applyFont="1" applyBorder="1" applyAlignment="1">
      <alignment vertical="center"/>
    </xf>
    <xf numFmtId="252" fontId="13" fillId="0" borderId="0" xfId="327" applyNumberFormat="1" applyFont="1" applyFill="1" applyBorder="1" applyAlignment="1">
      <alignment horizontal="left" vertical="center"/>
    </xf>
    <xf numFmtId="252" fontId="12" fillId="0" borderId="0" xfId="328" applyNumberFormat="1" applyFont="1" applyAlignment="1"/>
    <xf numFmtId="261" fontId="0" fillId="0" borderId="0" xfId="0" applyNumberFormat="1" applyAlignment="1">
      <alignment horizontal="right" vertical="center"/>
    </xf>
    <xf numFmtId="260" fontId="0" fillId="0" borderId="0" xfId="328" applyNumberFormat="1" applyFont="1" applyBorder="1" applyAlignment="1">
      <alignment horizontal="right" vertical="center"/>
    </xf>
    <xf numFmtId="171" fontId="0" fillId="0" borderId="0" xfId="640" applyNumberFormat="1" applyFont="1" applyFill="1"/>
    <xf numFmtId="170" fontId="0" fillId="0" borderId="0" xfId="180" applyNumberFormat="1" applyFont="1" applyFill="1" applyAlignment="1"/>
    <xf numFmtId="178" fontId="0" fillId="0" borderId="0" xfId="180" applyFont="1" applyFill="1" applyAlignment="1"/>
    <xf numFmtId="255" fontId="12" fillId="0" borderId="0" xfId="0" applyNumberFormat="1" applyFont="1" applyAlignment="1">
      <alignment vertical="center"/>
    </xf>
    <xf numFmtId="240" fontId="157" fillId="0" borderId="0" xfId="173" applyNumberFormat="1" applyFont="1" applyFill="1"/>
    <xf numFmtId="175" fontId="0" fillId="0" borderId="0" xfId="174" applyNumberFormat="1" applyFont="1" applyFill="1" applyBorder="1" applyAlignment="1">
      <alignment horizontal="right" vertical="center"/>
    </xf>
    <xf numFmtId="260" fontId="0" fillId="0" borderId="0" xfId="174" applyNumberFormat="1" applyFont="1" applyFill="1" applyBorder="1" applyAlignment="1">
      <alignment horizontal="right" vertical="center"/>
    </xf>
    <xf numFmtId="175" fontId="0" fillId="0" borderId="0" xfId="174" applyNumberFormat="1" applyFont="1" applyFill="1" applyAlignment="1">
      <alignment horizontal="right" vertical="center"/>
    </xf>
    <xf numFmtId="240" fontId="12" fillId="0" borderId="0" xfId="173" applyNumberFormat="1" applyFont="1" applyFill="1" applyAlignment="1">
      <alignment horizontal="right" vertical="center"/>
    </xf>
    <xf numFmtId="260" fontId="12" fillId="0" borderId="48" xfId="328" applyNumberFormat="1" applyFont="1" applyBorder="1" applyAlignment="1">
      <alignment horizontal="right" vertical="center"/>
    </xf>
    <xf numFmtId="176" fontId="12" fillId="0" borderId="0" xfId="25780" applyNumberFormat="1" applyFont="1" applyAlignment="1">
      <alignment horizontal="right" vertical="center"/>
    </xf>
    <xf numFmtId="176" fontId="12" fillId="0" borderId="0" xfId="25776" applyNumberFormat="1" applyFont="1" applyAlignment="1">
      <alignment horizontal="right" vertical="center"/>
    </xf>
    <xf numFmtId="176" fontId="12" fillId="0" borderId="0" xfId="25781" applyNumberFormat="1" applyFont="1" applyAlignment="1">
      <alignment horizontal="right" vertical="center"/>
    </xf>
    <xf numFmtId="176" fontId="12" fillId="0" borderId="0" xfId="25771" applyNumberFormat="1" applyFont="1" applyAlignment="1">
      <alignment horizontal="right" vertical="center"/>
    </xf>
    <xf numFmtId="176" fontId="12" fillId="0" borderId="0" xfId="25779" applyNumberFormat="1" applyFont="1" applyAlignment="1">
      <alignment horizontal="right" vertical="center"/>
    </xf>
    <xf numFmtId="176" fontId="0" fillId="0" borderId="0" xfId="174" applyNumberFormat="1" applyFont="1" applyFill="1" applyAlignment="1">
      <alignment vertical="center"/>
    </xf>
    <xf numFmtId="0" fontId="219" fillId="0" borderId="0" xfId="0" applyNumberFormat="1" applyFont="1" applyAlignment="1">
      <alignment vertical="center"/>
    </xf>
    <xf numFmtId="175" fontId="0" fillId="0" borderId="0" xfId="0" applyNumberFormat="1" applyAlignment="1">
      <alignment vertical="center"/>
    </xf>
    <xf numFmtId="0" fontId="13" fillId="0" borderId="44" xfId="0" applyNumberFormat="1" applyFont="1" applyBorder="1" applyAlignment="1">
      <alignment horizontal="center" wrapText="1"/>
    </xf>
    <xf numFmtId="173" fontId="12" fillId="114" borderId="0" xfId="328" applyNumberFormat="1" applyFont="1" applyFill="1" applyBorder="1" applyAlignment="1">
      <alignment vertical="top"/>
    </xf>
    <xf numFmtId="172" fontId="12" fillId="114" borderId="0" xfId="640" applyNumberFormat="1" applyFont="1" applyFill="1" applyBorder="1" applyAlignment="1">
      <alignment vertical="top"/>
    </xf>
    <xf numFmtId="278" fontId="12" fillId="114" borderId="0" xfId="640" applyNumberFormat="1" applyFont="1" applyFill="1" applyAlignment="1">
      <alignment vertical="center"/>
    </xf>
    <xf numFmtId="173" fontId="12" fillId="114" borderId="0" xfId="328" applyNumberFormat="1" applyFont="1" applyFill="1" applyAlignment="1">
      <alignment vertical="center"/>
    </xf>
    <xf numFmtId="1" fontId="12" fillId="0" borderId="42" xfId="0" quotePrefix="1" applyNumberFormat="1" applyFont="1" applyBorder="1" applyAlignment="1">
      <alignment horizontal="center" vertical="center"/>
    </xf>
    <xf numFmtId="194" fontId="13" fillId="114" borderId="0" xfId="173" applyNumberFormat="1" applyFont="1" applyFill="1" applyBorder="1" applyAlignment="1">
      <alignment horizontal="right" vertical="center"/>
    </xf>
    <xf numFmtId="194" fontId="0" fillId="114" borderId="0" xfId="510" applyNumberFormat="1" applyFont="1" applyFill="1" applyAlignment="1">
      <alignment horizontal="right" vertical="center"/>
    </xf>
    <xf numFmtId="194" fontId="0" fillId="114" borderId="31" xfId="510" applyNumberFormat="1" applyFont="1" applyFill="1" applyBorder="1" applyAlignment="1">
      <alignment horizontal="right" vertical="center"/>
    </xf>
    <xf numFmtId="171" fontId="0" fillId="114" borderId="0" xfId="640" applyNumberFormat="1" applyFont="1" applyFill="1" applyAlignment="1">
      <alignment horizontal="right" vertical="center"/>
    </xf>
    <xf numFmtId="194" fontId="13" fillId="114" borderId="0" xfId="209" applyNumberFormat="1" applyFont="1" applyFill="1" applyBorder="1" applyAlignment="1">
      <alignment horizontal="right" vertical="center"/>
    </xf>
    <xf numFmtId="194" fontId="13" fillId="114" borderId="146" xfId="209" applyNumberFormat="1" applyFont="1" applyFill="1" applyBorder="1" applyAlignment="1">
      <alignment horizontal="right" vertical="center"/>
    </xf>
    <xf numFmtId="194" fontId="13" fillId="114" borderId="142" xfId="209" applyNumberFormat="1" applyFont="1" applyFill="1" applyBorder="1" applyAlignment="1">
      <alignment horizontal="right" vertical="center"/>
    </xf>
    <xf numFmtId="194" fontId="0" fillId="114" borderId="0" xfId="209" applyNumberFormat="1" applyFont="1" applyFill="1" applyBorder="1" applyAlignment="1">
      <alignment horizontal="right" vertical="center"/>
    </xf>
    <xf numFmtId="181" fontId="13" fillId="114" borderId="142" xfId="1998" applyNumberFormat="1" applyFont="1" applyFill="1" applyBorder="1" applyAlignment="1">
      <alignment horizontal="right" vertical="center"/>
    </xf>
    <xf numFmtId="194" fontId="13" fillId="114" borderId="8" xfId="209" applyNumberFormat="1" applyFont="1" applyFill="1" applyBorder="1" applyAlignment="1">
      <alignment horizontal="right" vertical="center"/>
    </xf>
    <xf numFmtId="194" fontId="13" fillId="114" borderId="8" xfId="173" applyNumberFormat="1" applyFont="1" applyFill="1" applyBorder="1" applyAlignment="1">
      <alignment horizontal="right" vertical="center"/>
    </xf>
    <xf numFmtId="178" fontId="12" fillId="0" borderId="0" xfId="180" applyFont="1" applyFill="1" applyBorder="1" applyAlignment="1">
      <alignment vertical="top"/>
    </xf>
    <xf numFmtId="240" fontId="157" fillId="0" borderId="0" xfId="173" applyNumberFormat="1" applyFont="1" applyFill="1" applyAlignment="1">
      <alignment horizontal="right"/>
    </xf>
    <xf numFmtId="171" fontId="0" fillId="0" borderId="0" xfId="640" applyNumberFormat="1" applyFont="1" applyFill="1" applyAlignment="1">
      <alignment vertical="center"/>
    </xf>
    <xf numFmtId="280" fontId="13" fillId="0" borderId="0" xfId="0" applyNumberFormat="1" applyFont="1" applyAlignment="1">
      <alignment vertical="center"/>
    </xf>
    <xf numFmtId="171" fontId="13" fillId="0" borderId="0" xfId="640" applyNumberFormat="1" applyFont="1" applyFill="1" applyAlignment="1">
      <alignment vertical="center"/>
    </xf>
    <xf numFmtId="171" fontId="11" fillId="0" borderId="0" xfId="640" applyNumberFormat="1" applyFont="1" applyFill="1"/>
    <xf numFmtId="175" fontId="12" fillId="0" borderId="0" xfId="174" applyNumberFormat="1" applyFont="1" applyFill="1" applyAlignment="1">
      <alignment vertical="center"/>
    </xf>
    <xf numFmtId="165" fontId="0" fillId="0" borderId="173" xfId="0" applyBorder="1" applyAlignment="1">
      <alignment horizontal="center" vertical="center"/>
    </xf>
    <xf numFmtId="165" fontId="0" fillId="0" borderId="176" xfId="0" applyBorder="1" applyAlignment="1">
      <alignment horizontal="center" vertical="center"/>
    </xf>
    <xf numFmtId="165" fontId="0" fillId="0" borderId="177" xfId="0" applyBorder="1" applyAlignment="1">
      <alignment horizontal="center" vertical="center"/>
    </xf>
    <xf numFmtId="0" fontId="0" fillId="0" borderId="178" xfId="0" applyNumberFormat="1" applyBorder="1" applyAlignment="1">
      <alignment horizontal="center" vertical="center"/>
    </xf>
    <xf numFmtId="171" fontId="12" fillId="0" borderId="0" xfId="640" applyNumberFormat="1" applyFont="1" applyFill="1" applyAlignment="1">
      <alignment horizontal="center" vertical="center"/>
    </xf>
    <xf numFmtId="0" fontId="222" fillId="0" borderId="0" xfId="0" applyNumberFormat="1" applyFont="1" applyAlignment="1">
      <alignment horizontal="center"/>
    </xf>
    <xf numFmtId="171" fontId="0" fillId="0" borderId="146" xfId="640" applyNumberFormat="1" applyFont="1" applyBorder="1" applyAlignment="1">
      <alignment horizontal="right" vertical="center"/>
    </xf>
    <xf numFmtId="0" fontId="13" fillId="0" borderId="146" xfId="0" applyNumberFormat="1" applyFont="1" applyBorder="1" applyAlignment="1">
      <alignment horizontal="left" vertical="center"/>
    </xf>
    <xf numFmtId="0" fontId="0" fillId="0" borderId="146" xfId="0" applyNumberFormat="1" applyBorder="1" applyAlignment="1">
      <alignment horizontal="center" vertical="center"/>
    </xf>
    <xf numFmtId="281" fontId="0" fillId="0" borderId="0" xfId="0" applyNumberFormat="1" applyAlignment="1">
      <alignment vertical="center"/>
    </xf>
    <xf numFmtId="0" fontId="13" fillId="0" borderId="171" xfId="0" applyNumberFormat="1" applyFont="1" applyBorder="1" applyAlignment="1">
      <alignment horizontal="center"/>
    </xf>
    <xf numFmtId="194" fontId="13" fillId="0" borderId="148" xfId="0" applyNumberFormat="1" applyFont="1" applyBorder="1" applyAlignment="1">
      <alignment horizontal="center" wrapText="1"/>
    </xf>
    <xf numFmtId="194" fontId="13" fillId="0" borderId="162" xfId="0" applyNumberFormat="1" applyFont="1" applyBorder="1" applyAlignment="1">
      <alignment horizontal="center" wrapText="1"/>
    </xf>
    <xf numFmtId="0" fontId="0" fillId="0" borderId="175" xfId="0" applyNumberFormat="1" applyBorder="1" applyAlignment="1">
      <alignment horizontal="center" vertical="center"/>
    </xf>
    <xf numFmtId="165" fontId="0" fillId="0" borderId="0" xfId="0" applyAlignment="1">
      <alignment horizontal="center" vertical="center" wrapText="1"/>
    </xf>
    <xf numFmtId="181" fontId="0" fillId="0" borderId="164" xfId="0" applyNumberFormat="1" applyBorder="1" applyAlignment="1">
      <alignment horizontal="center" vertical="center"/>
    </xf>
    <xf numFmtId="39" fontId="12" fillId="0" borderId="0" xfId="640" applyNumberFormat="1" applyFont="1" applyAlignment="1">
      <alignment vertical="center"/>
    </xf>
    <xf numFmtId="1" fontId="12" fillId="0" borderId="0" xfId="0" applyNumberFormat="1" applyFont="1" applyAlignment="1">
      <alignment horizontal="left" vertical="center"/>
    </xf>
    <xf numFmtId="181" fontId="0" fillId="0" borderId="0" xfId="0" applyNumberFormat="1" applyAlignment="1">
      <alignment vertical="center"/>
    </xf>
    <xf numFmtId="165" fontId="0" fillId="0" borderId="0" xfId="0" applyAlignment="1">
      <alignment horizontal="left" vertical="center"/>
    </xf>
    <xf numFmtId="171" fontId="12" fillId="0" borderId="0" xfId="640" applyNumberFormat="1" applyFont="1" applyFill="1" applyAlignment="1"/>
    <xf numFmtId="0" fontId="0" fillId="0" borderId="0" xfId="0" applyNumberFormat="1" applyAlignment="1">
      <alignment horizontal="centerContinuous"/>
    </xf>
    <xf numFmtId="171" fontId="13" fillId="0" borderId="0" xfId="640" applyNumberFormat="1" applyFont="1" applyFill="1" applyAlignment="1"/>
    <xf numFmtId="171" fontId="13" fillId="0" borderId="145" xfId="640" applyNumberFormat="1" applyFont="1" applyFill="1" applyBorder="1" applyAlignment="1"/>
    <xf numFmtId="243" fontId="157" fillId="0" borderId="0" xfId="1622" applyNumberFormat="1" applyFont="1"/>
    <xf numFmtId="243" fontId="157" fillId="0" borderId="0" xfId="1803" applyNumberFormat="1" applyFont="1"/>
    <xf numFmtId="241" fontId="129" fillId="0" borderId="0" xfId="2018" applyNumberFormat="1" applyFont="1" applyFill="1" applyBorder="1" applyAlignment="1">
      <alignment horizontal="right"/>
    </xf>
    <xf numFmtId="175" fontId="0" fillId="0" borderId="0" xfId="2002" quotePrefix="1" applyNumberFormat="1" applyFont="1" applyFill="1" applyBorder="1" applyAlignment="1">
      <alignment horizontal="right" vertical="center"/>
    </xf>
    <xf numFmtId="181" fontId="13" fillId="0" borderId="0" xfId="1998" applyNumberFormat="1" applyFont="1" applyFill="1" applyBorder="1" applyAlignment="1">
      <alignment horizontal="right" vertical="center"/>
    </xf>
    <xf numFmtId="165" fontId="0" fillId="0" borderId="174" xfId="0" applyBorder="1" applyAlignment="1">
      <alignment horizontal="center" vertical="center"/>
    </xf>
    <xf numFmtId="0" fontId="12" fillId="0" borderId="0" xfId="640" applyNumberFormat="1" applyFont="1" applyAlignment="1">
      <alignment vertical="center"/>
    </xf>
    <xf numFmtId="282" fontId="0" fillId="0" borderId="0" xfId="0" applyNumberFormat="1" applyAlignment="1">
      <alignment vertical="center"/>
    </xf>
    <xf numFmtId="175" fontId="0" fillId="0" borderId="31" xfId="245" applyNumberFormat="1" applyFont="1" applyFill="1" applyBorder="1" applyAlignment="1">
      <alignment horizontal="right" vertical="center"/>
    </xf>
    <xf numFmtId="175" fontId="0" fillId="114" borderId="0" xfId="245" applyNumberFormat="1" applyFont="1" applyFill="1" applyBorder="1" applyAlignment="1">
      <alignment horizontal="right" vertical="center"/>
    </xf>
    <xf numFmtId="175" fontId="12" fillId="114" borderId="0" xfId="245" applyNumberFormat="1" applyFont="1" applyFill="1" applyBorder="1" applyAlignment="1">
      <alignment horizontal="right" vertical="center"/>
    </xf>
    <xf numFmtId="175" fontId="12" fillId="114" borderId="31" xfId="245" applyNumberFormat="1" applyFont="1" applyFill="1" applyBorder="1" applyAlignment="1">
      <alignment horizontal="right" vertical="center"/>
    </xf>
    <xf numFmtId="0" fontId="12" fillId="114" borderId="0" xfId="510" applyNumberFormat="1" applyFill="1" applyAlignment="1">
      <alignment horizontal="right" vertical="center"/>
    </xf>
    <xf numFmtId="194" fontId="12" fillId="114" borderId="0" xfId="510" applyNumberFormat="1" applyFill="1" applyAlignment="1">
      <alignment horizontal="right" vertical="center"/>
    </xf>
    <xf numFmtId="194" fontId="12" fillId="114" borderId="31" xfId="510" applyNumberFormat="1" applyFill="1" applyBorder="1" applyAlignment="1">
      <alignment horizontal="right" vertical="center"/>
    </xf>
    <xf numFmtId="10" fontId="157" fillId="0" borderId="0" xfId="2856" applyNumberFormat="1" applyFont="1" applyFill="1"/>
    <xf numFmtId="172" fontId="0" fillId="0" borderId="0" xfId="640" applyNumberFormat="1" applyFont="1" applyFill="1" applyAlignment="1">
      <alignment horizontal="right" vertical="center"/>
    </xf>
    <xf numFmtId="1" fontId="0" fillId="0" borderId="0" xfId="640" applyNumberFormat="1" applyFont="1" applyFill="1" applyAlignment="1">
      <alignment horizontal="right" vertical="center"/>
    </xf>
    <xf numFmtId="283" fontId="0" fillId="0" borderId="0" xfId="0" applyNumberFormat="1" applyAlignment="1">
      <alignment vertical="center"/>
    </xf>
    <xf numFmtId="284" fontId="12" fillId="0" borderId="0" xfId="0" applyNumberFormat="1" applyFont="1" applyAlignment="1">
      <alignment vertical="center"/>
    </xf>
    <xf numFmtId="181" fontId="13" fillId="0" borderId="0" xfId="0" applyNumberFormat="1" applyFont="1" applyAlignment="1">
      <alignment vertical="center"/>
    </xf>
    <xf numFmtId="280" fontId="0" fillId="0" borderId="0" xfId="0" applyNumberFormat="1" applyAlignment="1">
      <alignment vertical="center"/>
    </xf>
    <xf numFmtId="285" fontId="0" fillId="0" borderId="0" xfId="0" applyNumberFormat="1" applyAlignment="1">
      <alignment vertical="center"/>
    </xf>
    <xf numFmtId="172" fontId="157" fillId="0" borderId="0" xfId="640" applyNumberFormat="1" applyFont="1"/>
    <xf numFmtId="174" fontId="0" fillId="0" borderId="0" xfId="174" applyNumberFormat="1" applyFont="1" applyFill="1" applyBorder="1" applyAlignment="1">
      <alignment horizontal="center"/>
    </xf>
    <xf numFmtId="0" fontId="0" fillId="115" borderId="0" xfId="0" applyNumberFormat="1" applyFill="1" applyAlignment="1">
      <alignment horizontal="center" vertical="center"/>
    </xf>
    <xf numFmtId="0" fontId="0" fillId="115" borderId="0" xfId="0" applyNumberFormat="1" applyFill="1" applyAlignment="1">
      <alignment vertical="center"/>
    </xf>
    <xf numFmtId="194" fontId="0" fillId="115" borderId="0" xfId="510" applyNumberFormat="1" applyFont="1" applyFill="1" applyAlignment="1">
      <alignment horizontal="right" vertical="center"/>
    </xf>
    <xf numFmtId="166" fontId="0" fillId="115" borderId="0" xfId="0" applyNumberFormat="1" applyFill="1" applyAlignment="1">
      <alignment horizontal="center"/>
    </xf>
    <xf numFmtId="165" fontId="0" fillId="115" borderId="0" xfId="0" applyFill="1"/>
    <xf numFmtId="165" fontId="0" fillId="115" borderId="38" xfId="0" applyFill="1" applyBorder="1"/>
    <xf numFmtId="167" fontId="12" fillId="115" borderId="0" xfId="640" applyFont="1" applyFill="1"/>
    <xf numFmtId="174" fontId="12" fillId="115" borderId="0" xfId="328" applyNumberFormat="1" applyFont="1" applyFill="1" applyAlignment="1"/>
    <xf numFmtId="178" fontId="12" fillId="115" borderId="0" xfId="180" applyFill="1" applyAlignment="1"/>
    <xf numFmtId="241" fontId="12" fillId="115" borderId="0" xfId="173" applyNumberFormat="1" applyFont="1" applyFill="1" applyBorder="1" applyAlignment="1">
      <alignment horizontal="left"/>
    </xf>
    <xf numFmtId="174" fontId="0" fillId="115" borderId="0" xfId="328" applyNumberFormat="1" applyFont="1" applyFill="1" applyAlignment="1"/>
    <xf numFmtId="168" fontId="0" fillId="115" borderId="0" xfId="0" applyNumberFormat="1" applyFill="1"/>
    <xf numFmtId="168" fontId="0" fillId="115" borderId="38" xfId="0" applyNumberFormat="1" applyFill="1" applyBorder="1"/>
    <xf numFmtId="171" fontId="0" fillId="115" borderId="0" xfId="640" applyNumberFormat="1" applyFont="1" applyFill="1"/>
    <xf numFmtId="174" fontId="0" fillId="115" borderId="0" xfId="174" applyNumberFormat="1" applyFont="1" applyFill="1" applyBorder="1" applyAlignment="1">
      <alignment horizontal="center"/>
    </xf>
    <xf numFmtId="178" fontId="12" fillId="115" borderId="38" xfId="180" applyFill="1" applyBorder="1" applyAlignment="1"/>
    <xf numFmtId="170" fontId="0" fillId="115" borderId="0" xfId="328" applyFont="1" applyFill="1" applyBorder="1" applyAlignment="1">
      <alignment horizontal="center" vertical="top"/>
    </xf>
    <xf numFmtId="174" fontId="0" fillId="115" borderId="0" xfId="174" applyNumberFormat="1" applyFont="1" applyFill="1" applyBorder="1" applyAlignment="1">
      <alignment horizontal="center" vertical="center"/>
    </xf>
    <xf numFmtId="167" fontId="12" fillId="0" borderId="0" xfId="640" applyFont="1" applyFill="1"/>
    <xf numFmtId="178" fontId="12" fillId="0" borderId="0" xfId="180" applyFill="1" applyAlignment="1"/>
    <xf numFmtId="170" fontId="12" fillId="115" borderId="0" xfId="328" applyFont="1" applyFill="1" applyAlignment="1"/>
    <xf numFmtId="178" fontId="12" fillId="0" borderId="0" xfId="180" applyFont="1" applyFill="1" applyAlignment="1">
      <alignment vertical="top"/>
    </xf>
    <xf numFmtId="0" fontId="12" fillId="0" borderId="0" xfId="180" applyNumberFormat="1" applyFont="1" applyFill="1" applyAlignment="1">
      <alignment vertical="top"/>
    </xf>
    <xf numFmtId="178" fontId="12" fillId="0" borderId="0" xfId="180" applyFill="1" applyAlignment="1">
      <alignment vertical="top"/>
    </xf>
    <xf numFmtId="172" fontId="12" fillId="0" borderId="0" xfId="640" applyNumberFormat="1" applyFont="1" applyFill="1" applyBorder="1" applyAlignment="1">
      <alignment vertical="top"/>
    </xf>
    <xf numFmtId="0" fontId="11" fillId="0" borderId="0" xfId="0" quotePrefix="1" applyNumberFormat="1" applyFont="1"/>
    <xf numFmtId="194" fontId="13" fillId="114" borderId="142" xfId="173" applyNumberFormat="1" applyFont="1" applyFill="1" applyBorder="1" applyAlignment="1">
      <alignment horizontal="right" vertical="center"/>
    </xf>
    <xf numFmtId="194" fontId="13" fillId="0" borderId="142" xfId="173" applyNumberFormat="1" applyFont="1" applyFill="1" applyBorder="1" applyAlignment="1">
      <alignment horizontal="right" vertical="center"/>
    </xf>
    <xf numFmtId="0" fontId="11" fillId="0" borderId="0" xfId="0" applyNumberFormat="1" applyFont="1" applyAlignment="1">
      <alignment horizontal="centerContinuous"/>
    </xf>
    <xf numFmtId="0" fontId="11" fillId="0" borderId="0" xfId="0" applyNumberFormat="1" applyFont="1" applyAlignment="1">
      <alignment horizontal="center"/>
    </xf>
    <xf numFmtId="171" fontId="13" fillId="0" borderId="179" xfId="640" applyNumberFormat="1" applyFont="1" applyFill="1" applyBorder="1" applyAlignment="1">
      <alignment vertical="top"/>
    </xf>
    <xf numFmtId="168" fontId="13" fillId="0" borderId="179" xfId="328" applyNumberFormat="1" applyFont="1" applyBorder="1" applyAlignment="1">
      <alignment vertical="top"/>
    </xf>
    <xf numFmtId="167" fontId="13" fillId="0" borderId="179" xfId="640" applyFont="1" applyBorder="1" applyAlignment="1">
      <alignment vertical="top"/>
    </xf>
    <xf numFmtId="170" fontId="13" fillId="0" borderId="179" xfId="328" applyFont="1" applyBorder="1" applyAlignment="1">
      <alignment vertical="top"/>
    </xf>
    <xf numFmtId="167" fontId="13" fillId="0" borderId="145" xfId="640" applyFont="1" applyBorder="1" applyAlignment="1"/>
    <xf numFmtId="168" fontId="13" fillId="0" borderId="145" xfId="328" applyNumberFormat="1" applyFont="1" applyBorder="1" applyAlignment="1">
      <alignment vertical="top"/>
    </xf>
    <xf numFmtId="175" fontId="13" fillId="0" borderId="179" xfId="328" applyNumberFormat="1" applyFont="1" applyBorder="1" applyAlignment="1">
      <alignment horizontal="right" vertical="center"/>
    </xf>
    <xf numFmtId="175" fontId="13" fillId="0" borderId="179" xfId="0" applyNumberFormat="1" applyFont="1" applyBorder="1" applyAlignment="1">
      <alignment horizontal="right" vertical="center"/>
    </xf>
    <xf numFmtId="43" fontId="13" fillId="0" borderId="179" xfId="640" applyNumberFormat="1" applyFont="1" applyBorder="1" applyAlignment="1">
      <alignment vertical="top"/>
    </xf>
    <xf numFmtId="44" fontId="13" fillId="0" borderId="179" xfId="328" applyNumberFormat="1" applyFont="1" applyBorder="1" applyAlignment="1">
      <alignment vertical="top"/>
    </xf>
    <xf numFmtId="252" fontId="13" fillId="0" borderId="179" xfId="328" applyNumberFormat="1" applyFont="1" applyBorder="1" applyAlignment="1">
      <alignment vertical="top"/>
    </xf>
    <xf numFmtId="175" fontId="0" fillId="0" borderId="179" xfId="0" applyNumberFormat="1" applyBorder="1" applyAlignment="1">
      <alignment horizontal="right" vertical="center"/>
    </xf>
    <xf numFmtId="165" fontId="0" fillId="0" borderId="179" xfId="0" applyBorder="1" applyAlignment="1">
      <alignment horizontal="right" vertical="center"/>
    </xf>
    <xf numFmtId="171" fontId="13" fillId="0" borderId="179" xfId="640" applyNumberFormat="1" applyFont="1" applyBorder="1" applyAlignment="1">
      <alignment vertical="top"/>
    </xf>
    <xf numFmtId="171" fontId="13" fillId="0" borderId="145" xfId="640" applyNumberFormat="1" applyFont="1" applyBorder="1" applyAlignment="1"/>
    <xf numFmtId="171" fontId="13" fillId="0" borderId="145" xfId="640" applyNumberFormat="1" applyFont="1" applyBorder="1" applyAlignment="1">
      <alignment vertical="top"/>
    </xf>
    <xf numFmtId="170" fontId="13" fillId="0" borderId="145" xfId="328" applyFont="1" applyBorder="1" applyAlignment="1">
      <alignment vertical="top"/>
    </xf>
    <xf numFmtId="170" fontId="12" fillId="0" borderId="145" xfId="328" applyFont="1" applyBorder="1" applyAlignment="1">
      <alignment horizontal="center"/>
    </xf>
    <xf numFmtId="175" fontId="13" fillId="0" borderId="179" xfId="328" applyNumberFormat="1" applyFont="1" applyBorder="1" applyAlignment="1">
      <alignment vertical="top"/>
    </xf>
    <xf numFmtId="170" fontId="13" fillId="115" borderId="179" xfId="328" applyFont="1" applyFill="1" applyBorder="1" applyAlignment="1">
      <alignment vertical="top"/>
    </xf>
    <xf numFmtId="178" fontId="13" fillId="0" borderId="179" xfId="180" applyFont="1" applyBorder="1" applyAlignment="1">
      <alignment vertical="top"/>
    </xf>
    <xf numFmtId="178" fontId="13" fillId="0" borderId="145" xfId="180" applyFont="1" applyBorder="1" applyAlignment="1"/>
    <xf numFmtId="41" fontId="13" fillId="0" borderId="145" xfId="174" applyFont="1" applyBorder="1" applyAlignment="1"/>
    <xf numFmtId="175" fontId="13" fillId="0" borderId="145" xfId="328" applyNumberFormat="1" applyFont="1" applyBorder="1" applyAlignment="1">
      <alignment vertical="top"/>
    </xf>
    <xf numFmtId="178" fontId="13" fillId="0" borderId="145" xfId="180" applyFont="1" applyBorder="1" applyAlignment="1">
      <alignment vertical="top"/>
    </xf>
    <xf numFmtId="41" fontId="13" fillId="0" borderId="145" xfId="174" applyFont="1" applyBorder="1" applyAlignment="1">
      <alignment vertical="top"/>
    </xf>
    <xf numFmtId="165" fontId="12" fillId="0" borderId="146" xfId="0" applyFont="1" applyBorder="1"/>
    <xf numFmtId="173" fontId="0" fillId="0" borderId="145" xfId="0" applyNumberFormat="1" applyBorder="1"/>
    <xf numFmtId="44" fontId="0" fillId="0" borderId="145" xfId="0" applyNumberFormat="1" applyBorder="1"/>
    <xf numFmtId="240" fontId="11" fillId="0" borderId="0" xfId="173" applyNumberFormat="1" applyFont="1" applyFill="1" applyAlignment="1">
      <alignment horizontal="right"/>
    </xf>
    <xf numFmtId="174" fontId="12" fillId="0" borderId="179" xfId="174" applyNumberFormat="1" applyFont="1" applyBorder="1" applyAlignment="1">
      <alignment vertical="center"/>
    </xf>
    <xf numFmtId="241" fontId="12" fillId="0" borderId="179" xfId="328" applyNumberFormat="1" applyFont="1" applyBorder="1" applyAlignment="1">
      <alignment vertical="center"/>
    </xf>
    <xf numFmtId="171" fontId="12" fillId="0" borderId="179" xfId="640" applyNumberFormat="1" applyFont="1" applyBorder="1" applyAlignment="1">
      <alignment vertical="center"/>
    </xf>
    <xf numFmtId="180" fontId="12" fillId="0" borderId="145" xfId="327" applyNumberFormat="1" applyFont="1" applyBorder="1"/>
    <xf numFmtId="191" fontId="11" fillId="0" borderId="0" xfId="621" applyNumberFormat="1" applyAlignment="1">
      <alignment horizontal="right"/>
    </xf>
    <xf numFmtId="0" fontId="15" fillId="38" borderId="146" xfId="624" applyFont="1" applyFill="1" applyBorder="1" applyAlignment="1">
      <alignment horizontal="centerContinuous"/>
    </xf>
    <xf numFmtId="0" fontId="15" fillId="38" borderId="46" xfId="624" applyFont="1" applyFill="1" applyBorder="1" applyAlignment="1">
      <alignment horizontal="centerContinuous"/>
    </xf>
    <xf numFmtId="0" fontId="15" fillId="0" borderId="0" xfId="623" applyFont="1" applyAlignment="1">
      <alignment horizontal="centerContinuous"/>
    </xf>
    <xf numFmtId="7" fontId="11" fillId="0" borderId="145" xfId="623" applyNumberFormat="1" applyBorder="1"/>
    <xf numFmtId="0" fontId="15" fillId="0" borderId="0" xfId="623" applyFont="1" applyAlignment="1">
      <alignment horizontal="center"/>
    </xf>
    <xf numFmtId="191" fontId="20" fillId="32" borderId="0" xfId="623" applyNumberFormat="1" applyFont="1" applyFill="1" applyAlignment="1" applyProtection="1">
      <alignment horizontal="right"/>
      <protection locked="0"/>
    </xf>
    <xf numFmtId="9" fontId="20" fillId="32" borderId="0" xfId="717" applyFont="1" applyFill="1" applyAlignment="1" applyProtection="1">
      <alignment horizontal="right"/>
      <protection locked="0"/>
    </xf>
    <xf numFmtId="9" fontId="20" fillId="32" borderId="0" xfId="623" applyNumberFormat="1" applyFont="1" applyFill="1" applyAlignment="1" applyProtection="1">
      <alignment horizontal="right"/>
      <protection locked="0"/>
    </xf>
    <xf numFmtId="3" fontId="20" fillId="32" borderId="0" xfId="623" applyNumberFormat="1" applyFont="1" applyFill="1" applyAlignment="1" applyProtection="1">
      <alignment horizontal="right"/>
      <protection locked="0"/>
    </xf>
    <xf numFmtId="192" fontId="20" fillId="32" borderId="0" xfId="623" applyNumberFormat="1" applyFont="1" applyFill="1" applyAlignment="1">
      <alignment horizontal="right"/>
    </xf>
    <xf numFmtId="177" fontId="20" fillId="32" borderId="0" xfId="623" applyNumberFormat="1" applyFont="1" applyFill="1" applyAlignment="1" applyProtection="1">
      <alignment horizontal="right"/>
      <protection locked="0"/>
    </xf>
    <xf numFmtId="0" fontId="15" fillId="0" borderId="146" xfId="623" applyFont="1" applyBorder="1" applyAlignment="1">
      <alignment horizontal="centerContinuous"/>
    </xf>
    <xf numFmtId="0" fontId="15" fillId="0" borderId="140" xfId="623" applyFont="1" applyBorder="1" applyAlignment="1">
      <alignment horizontal="center"/>
    </xf>
    <xf numFmtId="0" fontId="11" fillId="0" borderId="139" xfId="623" quotePrefix="1" applyBorder="1"/>
    <xf numFmtId="0" fontId="22" fillId="0" borderId="145" xfId="623" applyFont="1" applyBorder="1"/>
    <xf numFmtId="177" fontId="11" fillId="0" borderId="145" xfId="623" applyNumberFormat="1" applyBorder="1"/>
    <xf numFmtId="0" fontId="11" fillId="0" borderId="145" xfId="623" quotePrefix="1" applyBorder="1"/>
    <xf numFmtId="0" fontId="11" fillId="0" borderId="145" xfId="623" applyBorder="1"/>
    <xf numFmtId="0" fontId="11" fillId="0" borderId="139" xfId="624" quotePrefix="1" applyBorder="1"/>
    <xf numFmtId="10" fontId="11" fillId="0" borderId="146" xfId="623" applyNumberFormat="1" applyBorder="1"/>
    <xf numFmtId="0" fontId="11" fillId="0" borderId="146" xfId="623" quotePrefix="1" applyBorder="1"/>
    <xf numFmtId="279" fontId="11" fillId="0" borderId="146" xfId="623" applyNumberFormat="1" applyBorder="1"/>
    <xf numFmtId="177" fontId="11" fillId="0" borderId="146" xfId="623" applyNumberFormat="1" applyBorder="1"/>
    <xf numFmtId="191" fontId="11" fillId="0" borderId="146" xfId="623" applyNumberFormat="1" applyBorder="1"/>
    <xf numFmtId="0" fontId="22" fillId="0" borderId="145" xfId="624" applyFont="1" applyBorder="1"/>
    <xf numFmtId="177" fontId="11" fillId="0" borderId="145" xfId="624" applyNumberFormat="1" applyBorder="1"/>
    <xf numFmtId="0" fontId="11" fillId="0" borderId="145" xfId="624" applyBorder="1"/>
    <xf numFmtId="0" fontId="15" fillId="0" borderId="0" xfId="0" applyNumberFormat="1" applyFont="1" applyAlignment="1">
      <alignment horizontal="center"/>
    </xf>
    <xf numFmtId="165" fontId="167" fillId="0" borderId="48" xfId="0" applyFont="1" applyBorder="1" applyAlignment="1">
      <alignment horizontal="center"/>
    </xf>
    <xf numFmtId="0" fontId="167" fillId="0" borderId="48" xfId="0" applyNumberFormat="1" applyFont="1" applyBorder="1" applyAlignment="1">
      <alignment horizontal="center"/>
    </xf>
    <xf numFmtId="0" fontId="167" fillId="0" borderId="147" xfId="0" applyNumberFormat="1" applyFont="1" applyBorder="1" applyAlignment="1">
      <alignment horizontal="center"/>
    </xf>
    <xf numFmtId="0" fontId="167" fillId="0" borderId="169" xfId="0" applyNumberFormat="1" applyFont="1" applyBorder="1" applyAlignment="1">
      <alignment horizontal="center"/>
    </xf>
    <xf numFmtId="0" fontId="13" fillId="0" borderId="31" xfId="0" applyNumberFormat="1" applyFont="1" applyBorder="1" applyAlignment="1">
      <alignment horizontal="center"/>
    </xf>
    <xf numFmtId="165" fontId="0" fillId="0" borderId="0" xfId="0" applyAlignment="1">
      <alignment horizontal="center" vertical="center" wrapText="1"/>
    </xf>
    <xf numFmtId="165" fontId="0" fillId="0" borderId="0" xfId="0" quotePrefix="1" applyAlignment="1">
      <alignment horizontal="center" vertical="center"/>
    </xf>
    <xf numFmtId="0" fontId="0" fillId="0" borderId="145" xfId="0" applyNumberFormat="1" applyBorder="1" applyAlignment="1">
      <alignment horizontal="left" vertical="center" wrapText="1"/>
    </xf>
    <xf numFmtId="0" fontId="0" fillId="0" borderId="0" xfId="0" applyNumberFormat="1" applyAlignment="1">
      <alignment horizontal="center" wrapText="1"/>
    </xf>
    <xf numFmtId="0" fontId="0" fillId="0" borderId="40" xfId="0" applyNumberFormat="1" applyBorder="1" applyAlignment="1">
      <alignment horizontal="center" wrapText="1"/>
    </xf>
    <xf numFmtId="182" fontId="13" fillId="0" borderId="146" xfId="0" applyNumberFormat="1" applyFont="1" applyBorder="1" applyAlignment="1">
      <alignment horizontal="center"/>
    </xf>
    <xf numFmtId="182" fontId="13" fillId="0" borderId="0" xfId="0" applyNumberFormat="1" applyFont="1" applyAlignment="1">
      <alignment horizontal="center"/>
    </xf>
  </cellXfs>
  <cellStyles count="35359">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zoomScaleNormal="100" workbookViewId="0">
      <selection activeCell="A2" sqref="A2"/>
    </sheetView>
  </sheetViews>
  <sheetFormatPr defaultColWidth="9.33203125" defaultRowHeight="12.75"/>
  <cols>
    <col min="1" max="1" width="8.83203125" style="253" customWidth="1"/>
    <col min="2" max="2" width="88.83203125" style="253" customWidth="1"/>
    <col min="3" max="16384" width="9.33203125" style="253"/>
  </cols>
  <sheetData>
    <row r="1" spans="1:9" s="245" customFormat="1" ht="5.0999999999999996" customHeight="1">
      <c r="B1" s="246"/>
    </row>
    <row r="2" spans="1:9" s="245" customFormat="1" ht="11.25" customHeight="1">
      <c r="A2" s="297" t="str">
        <f>Applicant</f>
        <v>Alberta Electric System Operator</v>
      </c>
    </row>
    <row r="3" spans="1:9" s="245" customFormat="1" ht="11.25" customHeight="1">
      <c r="A3" s="297" t="str">
        <f>Application</f>
        <v>2024 ISO Tariff Update Application</v>
      </c>
    </row>
    <row r="4" spans="1:9" s="245" customFormat="1" ht="11.25" customHeight="1">
      <c r="A4" s="298" t="str">
        <f>TableDate</f>
        <v>November 16, 2023</v>
      </c>
    </row>
    <row r="5" spans="1:9" s="245" customFormat="1" ht="11.25" customHeight="1">
      <c r="A5" s="297"/>
    </row>
    <row r="6" spans="1:9" s="245" customFormat="1" ht="11.25" customHeight="1">
      <c r="A6" s="297" t="str">
        <f>ApplicationSection</f>
        <v>Appendix B — 2024 Rate Calculations</v>
      </c>
      <c r="I6" s="247"/>
    </row>
    <row r="7" spans="1:9" s="245" customFormat="1" ht="11.25" customHeight="1">
      <c r="A7" s="297" t="s">
        <v>0</v>
      </c>
    </row>
    <row r="8" spans="1:9">
      <c r="A8" s="554"/>
      <c r="B8" s="304"/>
      <c r="C8" s="304"/>
      <c r="D8" s="304"/>
      <c r="E8" s="304"/>
      <c r="F8" s="304"/>
      <c r="G8" s="304"/>
      <c r="H8" s="304"/>
      <c r="I8" s="304"/>
    </row>
    <row r="9" spans="1:9" s="285" customFormat="1">
      <c r="A9" s="621" t="s">
        <v>1</v>
      </c>
      <c r="B9" s="621"/>
    </row>
    <row r="10" spans="1:9" s="285" customFormat="1">
      <c r="A10" s="621" t="s">
        <v>2</v>
      </c>
      <c r="B10" s="621"/>
    </row>
    <row r="11" spans="1:9">
      <c r="A11" s="554"/>
      <c r="B11" s="304"/>
      <c r="C11" s="304"/>
      <c r="D11" s="304"/>
      <c r="E11" s="304"/>
      <c r="F11" s="304"/>
      <c r="G11" s="304"/>
      <c r="H11" s="304"/>
      <c r="I11" s="304"/>
    </row>
    <row r="12" spans="1:9" s="245" customFormat="1">
      <c r="A12" s="303" t="s">
        <v>3</v>
      </c>
      <c r="B12" s="304" t="s">
        <v>4</v>
      </c>
    </row>
    <row r="13" spans="1:9">
      <c r="A13" s="303" t="s">
        <v>5</v>
      </c>
      <c r="B13" s="304" t="str">
        <f>'B-2 TFO Rev Req'!A5</f>
        <v>2024 Forecast Transmission Facility Owner Wires Costs</v>
      </c>
      <c r="C13" s="304"/>
      <c r="D13" s="304"/>
      <c r="E13" s="304"/>
      <c r="F13" s="304"/>
      <c r="G13" s="304"/>
      <c r="H13" s="304"/>
      <c r="I13" s="304"/>
    </row>
    <row r="14" spans="1:9">
      <c r="A14" s="303" t="s">
        <v>6</v>
      </c>
      <c r="B14" s="304" t="s">
        <v>7</v>
      </c>
      <c r="C14" s="304"/>
      <c r="D14" s="304"/>
      <c r="E14" s="304"/>
      <c r="F14" s="304"/>
      <c r="G14" s="304"/>
      <c r="H14" s="304"/>
      <c r="I14" s="304"/>
    </row>
    <row r="15" spans="1:9">
      <c r="A15" s="303" t="s">
        <v>8</v>
      </c>
      <c r="B15" s="304" t="s">
        <v>9</v>
      </c>
      <c r="C15" s="304"/>
      <c r="D15" s="304"/>
      <c r="E15" s="304"/>
      <c r="F15" s="304"/>
      <c r="G15" s="304"/>
      <c r="H15" s="304"/>
      <c r="I15" s="304"/>
    </row>
    <row r="16" spans="1:9">
      <c r="A16" s="303" t="s">
        <v>10</v>
      </c>
      <c r="B16" s="304" t="s">
        <v>11</v>
      </c>
      <c r="C16" s="304"/>
      <c r="D16" s="304"/>
      <c r="E16" s="304"/>
      <c r="F16" s="304"/>
      <c r="G16" s="304"/>
      <c r="H16" s="304"/>
      <c r="I16" s="304"/>
    </row>
    <row r="17" spans="1:2">
      <c r="A17" s="303" t="s">
        <v>12</v>
      </c>
      <c r="B17" s="304" t="s">
        <v>13</v>
      </c>
    </row>
    <row r="18" spans="1:2">
      <c r="A18" s="303" t="s">
        <v>14</v>
      </c>
      <c r="B18" s="304" t="s">
        <v>15</v>
      </c>
    </row>
    <row r="19" spans="1:2">
      <c r="A19" s="303" t="s">
        <v>16</v>
      </c>
      <c r="B19" s="304" t="s">
        <v>17</v>
      </c>
    </row>
    <row r="20" spans="1:2">
      <c r="A20" s="303" t="s">
        <v>18</v>
      </c>
      <c r="B20" s="304" t="s">
        <v>19</v>
      </c>
    </row>
    <row r="21" spans="1:2">
      <c r="A21" s="303" t="s">
        <v>20</v>
      </c>
      <c r="B21" s="304" t="s">
        <v>21</v>
      </c>
    </row>
    <row r="22" spans="1:2">
      <c r="A22" s="303" t="s">
        <v>22</v>
      </c>
      <c r="B22" s="304" t="s">
        <v>23</v>
      </c>
    </row>
    <row r="23" spans="1:2">
      <c r="A23" s="303" t="s">
        <v>24</v>
      </c>
      <c r="B23" s="304" t="s">
        <v>25</v>
      </c>
    </row>
    <row r="24" spans="1:2">
      <c r="A24" s="303" t="s">
        <v>26</v>
      </c>
      <c r="B24" s="304" t="s">
        <v>27</v>
      </c>
    </row>
    <row r="25" spans="1:2">
      <c r="A25" s="303" t="s">
        <v>28</v>
      </c>
      <c r="B25" s="304" t="s">
        <v>29</v>
      </c>
    </row>
    <row r="26" spans="1:2">
      <c r="A26" s="303" t="s">
        <v>30</v>
      </c>
      <c r="B26" s="304" t="s">
        <v>31</v>
      </c>
    </row>
    <row r="27" spans="1:2">
      <c r="A27" s="303" t="s">
        <v>32</v>
      </c>
      <c r="B27" s="304" t="s">
        <v>33</v>
      </c>
    </row>
  </sheetData>
  <mergeCells count="2">
    <mergeCell ref="A9:B9"/>
    <mergeCell ref="A10:B10"/>
  </mergeCells>
  <phoneticPr fontId="14"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3"/>
  <sheetViews>
    <sheetView showGridLines="0" zoomScaleNormal="100" workbookViewId="0">
      <selection activeCell="AE26" sqref="AE26"/>
    </sheetView>
  </sheetViews>
  <sheetFormatPr defaultRowHeight="12.75"/>
  <cols>
    <col min="1" max="1" width="4.83203125" customWidth="1"/>
    <col min="2" max="2" width="1" customWidth="1"/>
    <col min="3" max="3" width="2.83203125" customWidth="1"/>
    <col min="4" max="4" width="28.83203125" customWidth="1"/>
    <col min="5" max="5" width="1" customWidth="1"/>
    <col min="6" max="6" width="9.8320312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B-9</v>
      </c>
    </row>
    <row r="2" spans="1:26" s="3" customFormat="1">
      <c r="A2" s="5" t="str">
        <f>Application</f>
        <v>2024 ISO Tariff Update Application</v>
      </c>
      <c r="B2" s="5"/>
      <c r="C2" s="5"/>
      <c r="D2" s="5"/>
      <c r="E2" s="5"/>
      <c r="F2" s="5"/>
      <c r="G2" s="5"/>
      <c r="H2" s="5"/>
      <c r="I2" s="5"/>
      <c r="J2" s="5"/>
      <c r="K2" s="5"/>
      <c r="L2" s="5"/>
      <c r="M2" s="5"/>
      <c r="N2" s="5"/>
      <c r="O2" s="5"/>
      <c r="P2" s="5"/>
      <c r="Q2" s="5"/>
      <c r="R2" s="5"/>
      <c r="S2" s="5"/>
      <c r="T2" s="5"/>
      <c r="U2" s="5"/>
      <c r="V2" s="5"/>
      <c r="W2" s="5"/>
      <c r="Z2" s="4" t="str">
        <f>TableDate</f>
        <v>November 16, 2023</v>
      </c>
    </row>
    <row r="3" spans="1:26">
      <c r="Y3" s="2"/>
      <c r="Z3" s="2"/>
    </row>
    <row r="4" spans="1:26">
      <c r="A4" s="254" t="str">
        <f>TableGroup1</f>
        <v>Appendix B — 2024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19</v>
      </c>
      <c r="B5" s="6"/>
      <c r="C5" s="6"/>
      <c r="D5" s="6"/>
      <c r="E5" s="6"/>
      <c r="F5" s="6"/>
      <c r="G5" s="6"/>
      <c r="H5" s="6"/>
      <c r="I5" s="6"/>
      <c r="J5" s="6"/>
      <c r="K5" s="6"/>
      <c r="L5" s="6"/>
      <c r="M5" s="6"/>
      <c r="N5" s="6"/>
      <c r="O5" s="6"/>
      <c r="P5" s="6"/>
      <c r="Q5" s="6"/>
      <c r="R5" s="6"/>
      <c r="S5" s="6"/>
      <c r="T5" s="6"/>
      <c r="U5" s="6"/>
      <c r="V5" s="6"/>
      <c r="W5" s="6"/>
      <c r="X5" s="6"/>
      <c r="Y5" s="6"/>
      <c r="Z5" s="6"/>
    </row>
    <row r="6" spans="1:26">
      <c r="I6" s="71"/>
    </row>
    <row r="7" spans="1:26" s="195" customFormat="1">
      <c r="F7" s="195" t="s">
        <v>35</v>
      </c>
      <c r="I7" s="195" t="s">
        <v>36</v>
      </c>
      <c r="J7" s="195" t="s">
        <v>37</v>
      </c>
      <c r="M7" s="195" t="s">
        <v>38</v>
      </c>
      <c r="N7" s="195" t="s">
        <v>119</v>
      </c>
      <c r="Q7" s="195" t="s">
        <v>120</v>
      </c>
      <c r="R7" s="195" t="s">
        <v>121</v>
      </c>
      <c r="U7" s="195" t="s">
        <v>122</v>
      </c>
      <c r="V7" s="195" t="s">
        <v>123</v>
      </c>
      <c r="Y7" s="195" t="s">
        <v>124</v>
      </c>
      <c r="Z7" s="195" t="s">
        <v>125</v>
      </c>
    </row>
    <row r="9" spans="1:26" s="33" customFormat="1">
      <c r="F9" s="47" t="s">
        <v>357</v>
      </c>
      <c r="H9" s="163"/>
      <c r="I9" s="34" t="s">
        <v>358</v>
      </c>
      <c r="J9" s="34"/>
      <c r="K9" s="34"/>
      <c r="L9" s="34"/>
      <c r="M9" s="34"/>
      <c r="N9" s="34"/>
      <c r="O9" s="34"/>
      <c r="P9" s="34"/>
      <c r="Q9" s="34"/>
      <c r="R9" s="34"/>
      <c r="S9" s="34"/>
      <c r="T9" s="34"/>
      <c r="U9" s="34"/>
      <c r="V9" s="34"/>
      <c r="W9" s="34"/>
      <c r="X9" s="34"/>
      <c r="Y9" s="34"/>
      <c r="Z9" s="34"/>
    </row>
    <row r="10" spans="1:26" s="33" customFormat="1">
      <c r="F10" s="38" t="s">
        <v>237</v>
      </c>
      <c r="H10" s="77"/>
      <c r="I10" s="34" t="s">
        <v>238</v>
      </c>
      <c r="J10" s="34"/>
      <c r="L10" s="77"/>
      <c r="M10" s="34" t="s">
        <v>239</v>
      </c>
      <c r="N10" s="34"/>
      <c r="P10" s="85"/>
      <c r="Q10" s="34" t="s">
        <v>240</v>
      </c>
      <c r="R10" s="34"/>
      <c r="T10" s="85"/>
      <c r="U10" s="34" t="s">
        <v>241</v>
      </c>
      <c r="V10" s="34"/>
      <c r="X10" s="85"/>
      <c r="Y10" s="34" t="s">
        <v>242</v>
      </c>
      <c r="Z10" s="34"/>
    </row>
    <row r="11" spans="1:26" s="36" customFormat="1" ht="25.5">
      <c r="A11" s="35" t="s">
        <v>243</v>
      </c>
      <c r="C11" s="37" t="s">
        <v>42</v>
      </c>
      <c r="D11" s="37"/>
      <c r="E11" s="630" t="s">
        <v>359</v>
      </c>
      <c r="F11" s="630"/>
      <c r="G11" s="631"/>
      <c r="H11" s="78"/>
      <c r="I11" s="35" t="s">
        <v>180</v>
      </c>
      <c r="J11" s="322" t="s">
        <v>181</v>
      </c>
      <c r="L11" s="78"/>
      <c r="M11" s="35" t="s">
        <v>180</v>
      </c>
      <c r="N11" s="322" t="s">
        <v>181</v>
      </c>
      <c r="P11" s="78"/>
      <c r="Q11" s="35" t="s">
        <v>180</v>
      </c>
      <c r="R11" s="322" t="s">
        <v>181</v>
      </c>
      <c r="T11" s="78"/>
      <c r="U11" s="35" t="s">
        <v>180</v>
      </c>
      <c r="V11" s="322" t="s">
        <v>181</v>
      </c>
      <c r="X11" s="78"/>
      <c r="Y11" s="35" t="s">
        <v>180</v>
      </c>
      <c r="Z11" s="322" t="s">
        <v>181</v>
      </c>
    </row>
    <row r="12" spans="1:26" ht="18.95" customHeight="1">
      <c r="A12" s="7">
        <v>1</v>
      </c>
      <c r="C12" s="2" t="s">
        <v>182</v>
      </c>
      <c r="D12" s="2"/>
      <c r="E12" s="2"/>
      <c r="F12" s="327"/>
      <c r="G12" s="21"/>
      <c r="H12" s="89"/>
      <c r="I12" s="102"/>
      <c r="J12" s="103"/>
      <c r="K12" s="21"/>
      <c r="L12" s="89"/>
      <c r="M12" s="102"/>
      <c r="N12" s="103"/>
      <c r="O12" s="21"/>
      <c r="P12" s="89"/>
      <c r="Q12" s="102"/>
      <c r="R12" s="103"/>
      <c r="S12" s="21"/>
      <c r="T12" s="89"/>
      <c r="U12" s="102"/>
      <c r="V12" s="103"/>
      <c r="W12" s="21"/>
      <c r="X12" s="89"/>
      <c r="Y12" s="102"/>
      <c r="Z12" s="103"/>
    </row>
    <row r="13" spans="1:26">
      <c r="A13" s="7">
        <f t="shared" ref="A13:A33" si="0">A12+1</f>
        <v>2</v>
      </c>
      <c r="C13" t="s">
        <v>183</v>
      </c>
      <c r="F13" s="63">
        <f>'B-3 Allocation'!P13</f>
        <v>0</v>
      </c>
      <c r="G13" s="16"/>
      <c r="H13" s="87"/>
      <c r="I13" s="70">
        <v>0</v>
      </c>
      <c r="J13" s="63">
        <f>$F13*I13</f>
        <v>0</v>
      </c>
      <c r="K13" s="16"/>
      <c r="L13" s="87"/>
      <c r="M13" s="70">
        <v>0</v>
      </c>
      <c r="N13" s="63">
        <f>$F13*M13</f>
        <v>0</v>
      </c>
      <c r="O13" s="16"/>
      <c r="P13" s="87"/>
      <c r="Q13" s="70">
        <v>0</v>
      </c>
      <c r="R13" s="63">
        <f>$F13*Q13</f>
        <v>0</v>
      </c>
      <c r="S13" s="16"/>
      <c r="T13" s="87"/>
      <c r="U13" s="27">
        <v>0</v>
      </c>
      <c r="V13" s="63">
        <f>$F13*U13</f>
        <v>0</v>
      </c>
      <c r="W13" s="16"/>
      <c r="X13" s="87"/>
      <c r="Y13" s="70">
        <f>IF(IF(F13=0,0,1-#REF!-M13-Q13-U13)&lt;0.0001,0,IF(F13=0,0,1-#REF!-M13-Q13-U13))</f>
        <v>0</v>
      </c>
      <c r="Z13" s="63">
        <f>$F13*Y13</f>
        <v>0</v>
      </c>
    </row>
    <row r="14" spans="1:26">
      <c r="A14" s="7">
        <f t="shared" si="0"/>
        <v>3</v>
      </c>
      <c r="C14" t="s">
        <v>184</v>
      </c>
      <c r="F14" s="63">
        <f>'B-3 Allocation'!P14</f>
        <v>0</v>
      </c>
      <c r="G14" s="16"/>
      <c r="H14" s="87"/>
      <c r="I14" s="70">
        <v>0</v>
      </c>
      <c r="J14" s="63">
        <f>$F14*I14</f>
        <v>0</v>
      </c>
      <c r="K14" s="16"/>
      <c r="L14" s="87"/>
      <c r="M14" s="70">
        <v>0</v>
      </c>
      <c r="N14" s="63">
        <f>$F14*M14</f>
        <v>0</v>
      </c>
      <c r="O14" s="16"/>
      <c r="P14" s="87"/>
      <c r="Q14" s="70">
        <v>0</v>
      </c>
      <c r="R14" s="63">
        <f>$F14*Q14</f>
        <v>0</v>
      </c>
      <c r="S14" s="16"/>
      <c r="T14" s="87"/>
      <c r="U14" s="27">
        <v>0</v>
      </c>
      <c r="V14" s="63">
        <f>$F14*U14</f>
        <v>0</v>
      </c>
      <c r="W14" s="16"/>
      <c r="X14" s="87"/>
      <c r="Y14" s="70">
        <f>IF(IF(F14=0,0,1-#REF!-M14-Q14-U14)&lt;0.0001,0,IF(F14=0,0,1-#REF!-M14-Q14-U14))</f>
        <v>0</v>
      </c>
      <c r="Z14" s="63">
        <f>$F14*Y14</f>
        <v>0</v>
      </c>
    </row>
    <row r="15" spans="1:26">
      <c r="A15" s="7">
        <f t="shared" si="0"/>
        <v>4</v>
      </c>
      <c r="C15" t="s">
        <v>185</v>
      </c>
      <c r="F15" s="63">
        <f>'B-3 Allocation'!P14</f>
        <v>0</v>
      </c>
      <c r="G15" s="16"/>
      <c r="H15" s="87"/>
      <c r="I15" s="70">
        <v>0</v>
      </c>
      <c r="J15" s="63">
        <f>$F15*I15</f>
        <v>0</v>
      </c>
      <c r="K15" s="16"/>
      <c r="L15" s="87"/>
      <c r="M15" s="70">
        <v>0</v>
      </c>
      <c r="N15" s="63">
        <f>$F15*M15</f>
        <v>0</v>
      </c>
      <c r="O15" s="16"/>
      <c r="P15" s="87"/>
      <c r="Q15" s="70">
        <v>0</v>
      </c>
      <c r="R15" s="63">
        <f>$F15*Q15</f>
        <v>0</v>
      </c>
      <c r="S15" s="16"/>
      <c r="T15" s="87"/>
      <c r="U15" s="70">
        <v>0</v>
      </c>
      <c r="V15" s="63">
        <f>$F15*U15</f>
        <v>0</v>
      </c>
      <c r="W15" s="16"/>
      <c r="X15" s="87"/>
      <c r="Y15" s="70">
        <f>IF(IF(F15=0,0,1-#REF!-M15-Q15-U15)&lt;0.0001,0,IF(F15=0,0,1-#REF!-M15-Q15-U15))</f>
        <v>0</v>
      </c>
      <c r="Z15" s="63">
        <f>$F15*Y15</f>
        <v>0</v>
      </c>
    </row>
    <row r="16" spans="1:26" s="9" customFormat="1" ht="18.95" customHeight="1">
      <c r="A16" s="8">
        <f t="shared" si="0"/>
        <v>5</v>
      </c>
      <c r="C16" s="12" t="s">
        <v>186</v>
      </c>
      <c r="D16" s="12"/>
      <c r="E16" s="12"/>
      <c r="F16" s="579">
        <f>SUM(F13:F15)</f>
        <v>0</v>
      </c>
      <c r="G16" s="17"/>
      <c r="H16" s="88"/>
      <c r="I16" s="572">
        <f>IF($F16=0,0,J16/$F16)</f>
        <v>0</v>
      </c>
      <c r="J16" s="579">
        <f>SUM(J13:J15)</f>
        <v>0</v>
      </c>
      <c r="K16" s="17"/>
      <c r="L16" s="88"/>
      <c r="M16" s="572">
        <f>IF($F16=0,0,N16/$F16)</f>
        <v>0</v>
      </c>
      <c r="N16" s="579">
        <f>SUM(N13:N15)</f>
        <v>0</v>
      </c>
      <c r="O16" s="17"/>
      <c r="P16" s="88"/>
      <c r="Q16" s="572">
        <f>IF($F16=0,0,R16/$F16)</f>
        <v>0</v>
      </c>
      <c r="R16" s="579">
        <f>SUM(R13:R15)</f>
        <v>0</v>
      </c>
      <c r="S16" s="17"/>
      <c r="T16" s="88"/>
      <c r="U16" s="572">
        <f>IF($F16=0,0,V16/$F16)</f>
        <v>0</v>
      </c>
      <c r="V16" s="579">
        <f>SUM(V13:V15)</f>
        <v>0</v>
      </c>
      <c r="W16" s="17"/>
      <c r="X16" s="88"/>
      <c r="Y16" s="572">
        <f>IF($F16=0,0,Z16/$F16)</f>
        <v>0</v>
      </c>
      <c r="Z16" s="579">
        <f>SUM(Z13:Z15)</f>
        <v>0</v>
      </c>
    </row>
    <row r="17" spans="1:26" ht="18.95" customHeight="1">
      <c r="A17" s="7">
        <f t="shared" si="0"/>
        <v>6</v>
      </c>
      <c r="C17" s="2" t="s">
        <v>187</v>
      </c>
      <c r="D17" s="2"/>
      <c r="F17" s="26"/>
      <c r="G17" s="16"/>
      <c r="H17" s="87"/>
      <c r="I17" s="27"/>
      <c r="J17" s="28"/>
      <c r="K17" s="16"/>
      <c r="L17" s="87"/>
      <c r="M17" s="27"/>
      <c r="N17" s="28"/>
      <c r="O17" s="16"/>
      <c r="P17" s="87"/>
      <c r="Q17" s="27"/>
      <c r="R17" s="28"/>
      <c r="S17" s="16"/>
      <c r="T17" s="87"/>
      <c r="U17" s="27"/>
      <c r="V17" s="28"/>
      <c r="W17" s="16"/>
      <c r="X17" s="87"/>
      <c r="Y17" s="27"/>
      <c r="Z17" s="28"/>
    </row>
    <row r="18" spans="1:26">
      <c r="A18" s="7">
        <f t="shared" si="0"/>
        <v>7</v>
      </c>
      <c r="C18" t="s">
        <v>68</v>
      </c>
      <c r="F18" s="63">
        <f>'B-3 Allocation'!P17</f>
        <v>0</v>
      </c>
      <c r="G18" s="16"/>
      <c r="H18" s="87"/>
      <c r="I18" s="70">
        <v>0</v>
      </c>
      <c r="J18" s="63">
        <f>$F18*I18</f>
        <v>0</v>
      </c>
      <c r="K18" s="16"/>
      <c r="L18" s="87"/>
      <c r="M18" s="70">
        <v>0</v>
      </c>
      <c r="N18" s="63">
        <f>$F18*M18</f>
        <v>0</v>
      </c>
      <c r="O18" s="16"/>
      <c r="P18" s="87"/>
      <c r="Q18" s="70">
        <v>0</v>
      </c>
      <c r="R18" s="63">
        <f>$F18*Q18</f>
        <v>0</v>
      </c>
      <c r="S18" s="16"/>
      <c r="T18" s="87"/>
      <c r="U18" s="70">
        <v>0</v>
      </c>
      <c r="V18" s="63">
        <f>$F18*U18</f>
        <v>0</v>
      </c>
      <c r="W18" s="16"/>
      <c r="X18" s="87"/>
      <c r="Y18" s="70">
        <f>IF(IF(F18=0,0,1-#REF!-M18-Q18-U18)&lt;0.0001,0,IF(F18=0,0,1-#REF!-M18-Q18-U18))</f>
        <v>0</v>
      </c>
      <c r="Z18" s="63">
        <f>$F18*Y18</f>
        <v>0</v>
      </c>
    </row>
    <row r="19" spans="1:26">
      <c r="A19" s="7">
        <f t="shared" si="0"/>
        <v>8</v>
      </c>
      <c r="C19" t="s">
        <v>78</v>
      </c>
      <c r="F19" s="30"/>
      <c r="G19" s="16"/>
      <c r="H19" s="87"/>
      <c r="I19" s="27"/>
      <c r="J19" s="30"/>
      <c r="K19" s="16"/>
      <c r="L19" s="87"/>
      <c r="M19" s="27"/>
      <c r="N19" s="30"/>
      <c r="O19" s="16"/>
      <c r="P19" s="87"/>
      <c r="Q19" s="27"/>
      <c r="R19" s="30"/>
      <c r="S19" s="16"/>
      <c r="T19" s="87"/>
      <c r="U19" s="27"/>
      <c r="V19" s="30"/>
      <c r="W19" s="16"/>
      <c r="X19" s="87"/>
      <c r="Y19" s="27"/>
      <c r="Z19" s="30"/>
    </row>
    <row r="20" spans="1:26">
      <c r="A20" s="7">
        <f t="shared" si="0"/>
        <v>9</v>
      </c>
      <c r="D20" t="s">
        <v>79</v>
      </c>
      <c r="F20" s="63">
        <f>'B-3 Allocation'!P19</f>
        <v>0</v>
      </c>
      <c r="G20" s="16"/>
      <c r="H20" s="87"/>
      <c r="I20" s="70">
        <v>0</v>
      </c>
      <c r="J20" s="63">
        <f>$F20*I20</f>
        <v>0</v>
      </c>
      <c r="K20" s="16"/>
      <c r="L20" s="87"/>
      <c r="M20" s="70">
        <v>0</v>
      </c>
      <c r="N20" s="63">
        <f>$F20*M20</f>
        <v>0</v>
      </c>
      <c r="O20" s="16"/>
      <c r="P20" s="87"/>
      <c r="Q20" s="70">
        <v>0</v>
      </c>
      <c r="R20" s="63">
        <f>$F20*Q20</f>
        <v>0</v>
      </c>
      <c r="S20" s="16"/>
      <c r="T20" s="87"/>
      <c r="U20" s="70">
        <v>0</v>
      </c>
      <c r="V20" s="63">
        <f>$F20*U20</f>
        <v>0</v>
      </c>
      <c r="W20" s="16"/>
      <c r="X20" s="87"/>
      <c r="Y20" s="70">
        <f>IF(IF(F20=0,0,1-#REF!-M20-Q20-U20)&lt;0.0001,0,IF(F20=0,0,1-#REF!-M20-Q20-U20))</f>
        <v>0</v>
      </c>
      <c r="Z20" s="63">
        <f>$F20*Y20</f>
        <v>0</v>
      </c>
    </row>
    <row r="21" spans="1:26">
      <c r="A21" s="7">
        <f t="shared" si="0"/>
        <v>10</v>
      </c>
      <c r="D21" t="s">
        <v>80</v>
      </c>
      <c r="F21" s="63">
        <f>'B-3 Allocation'!P20</f>
        <v>0</v>
      </c>
      <c r="G21" s="16"/>
      <c r="H21" s="87"/>
      <c r="I21" s="70">
        <v>0</v>
      </c>
      <c r="J21" s="63">
        <f>$F21*I21</f>
        <v>0</v>
      </c>
      <c r="K21" s="16"/>
      <c r="L21" s="87"/>
      <c r="M21" s="70">
        <v>0</v>
      </c>
      <c r="N21" s="63">
        <f>$F21*M21</f>
        <v>0</v>
      </c>
      <c r="O21" s="16"/>
      <c r="P21" s="87"/>
      <c r="Q21" s="70">
        <v>0</v>
      </c>
      <c r="R21" s="63">
        <f>$F21*Q21</f>
        <v>0</v>
      </c>
      <c r="S21" s="16"/>
      <c r="T21" s="87"/>
      <c r="U21" s="70">
        <v>0</v>
      </c>
      <c r="V21" s="63">
        <f>$F21*U21</f>
        <v>0</v>
      </c>
      <c r="W21" s="16"/>
      <c r="X21" s="87"/>
      <c r="Y21" s="70">
        <f>IF(IF(F21=0,0,1-#REF!-M21-Q21-U21)&lt;0.0001,0,IF(F21=0,0,1-#REF!-M21-Q21-U21))</f>
        <v>0</v>
      </c>
      <c r="Z21" s="63">
        <f>$F21*Y21</f>
        <v>0</v>
      </c>
    </row>
    <row r="22" spans="1:26">
      <c r="A22" s="7">
        <f t="shared" si="0"/>
        <v>11</v>
      </c>
      <c r="D22" t="s">
        <v>360</v>
      </c>
      <c r="F22" s="63">
        <f>'B-3 Allocation'!P21</f>
        <v>0</v>
      </c>
      <c r="G22" s="16"/>
      <c r="H22" s="87"/>
      <c r="I22" s="70">
        <v>0</v>
      </c>
      <c r="J22" s="63">
        <f>$F22*I22</f>
        <v>0</v>
      </c>
      <c r="K22" s="16"/>
      <c r="L22" s="87"/>
      <c r="M22" s="70">
        <v>0</v>
      </c>
      <c r="N22" s="63">
        <f>$F22*M22</f>
        <v>0</v>
      </c>
      <c r="O22" s="16"/>
      <c r="P22" s="87"/>
      <c r="Q22" s="70">
        <v>0</v>
      </c>
      <c r="R22" s="63">
        <f>$F22*Q22</f>
        <v>0</v>
      </c>
      <c r="S22" s="16"/>
      <c r="T22" s="87"/>
      <c r="U22" s="70">
        <v>0</v>
      </c>
      <c r="V22" s="63">
        <f>$F22*U22</f>
        <v>0</v>
      </c>
      <c r="W22" s="16"/>
      <c r="X22" s="87"/>
      <c r="Y22" s="70">
        <f>IF(IF(F22=0,0,1-#REF!-M22-Q22-U22)&lt;0.0001,0,IF(F22=0,0,1-#REF!-M22-Q22-U22))</f>
        <v>0</v>
      </c>
      <c r="Z22" s="63">
        <f>$F22*Y22</f>
        <v>0</v>
      </c>
    </row>
    <row r="23" spans="1:26">
      <c r="A23" s="7">
        <f t="shared" si="0"/>
        <v>12</v>
      </c>
      <c r="D23" t="s">
        <v>361</v>
      </c>
      <c r="F23" s="63">
        <f>'B-3 Allocation'!P22</f>
        <v>0</v>
      </c>
      <c r="G23" s="16"/>
      <c r="H23" s="87"/>
      <c r="I23" s="70">
        <v>0</v>
      </c>
      <c r="J23" s="63">
        <f>$F23*I23</f>
        <v>0</v>
      </c>
      <c r="K23" s="16"/>
      <c r="L23" s="87"/>
      <c r="M23" s="70">
        <v>0</v>
      </c>
      <c r="N23" s="63">
        <f>$F23*M23</f>
        <v>0</v>
      </c>
      <c r="O23" s="16"/>
      <c r="P23" s="87"/>
      <c r="Q23" s="70">
        <v>0</v>
      </c>
      <c r="R23" s="63">
        <f>$F23*Q23</f>
        <v>0</v>
      </c>
      <c r="S23" s="16"/>
      <c r="T23" s="87"/>
      <c r="U23" s="70">
        <v>0</v>
      </c>
      <c r="V23" s="63">
        <f>$F23*U23</f>
        <v>0</v>
      </c>
      <c r="W23" s="16"/>
      <c r="X23" s="87"/>
      <c r="Y23" s="70">
        <f>IF(IF(F23=0,0,1-#REF!-M23-Q23-U23)&lt;0.0001,0,IF(F23=0,0,1-#REF!-M23-Q23-U23))</f>
        <v>0</v>
      </c>
      <c r="Z23" s="63">
        <f>$F23*Y23</f>
        <v>0</v>
      </c>
    </row>
    <row r="24" spans="1:26">
      <c r="A24" s="7">
        <f t="shared" si="0"/>
        <v>13</v>
      </c>
      <c r="D24" t="s">
        <v>303</v>
      </c>
      <c r="F24" s="63">
        <f>'B-3 Allocation'!P24</f>
        <v>0</v>
      </c>
      <c r="G24" s="16"/>
      <c r="H24" s="87"/>
      <c r="I24" s="70">
        <v>0</v>
      </c>
      <c r="J24" s="63">
        <f>$F24*I24</f>
        <v>0</v>
      </c>
      <c r="K24" s="16"/>
      <c r="L24" s="87"/>
      <c r="M24" s="70">
        <v>0</v>
      </c>
      <c r="N24" s="63">
        <f>$F24*M24</f>
        <v>0</v>
      </c>
      <c r="O24" s="16"/>
      <c r="P24" s="87"/>
      <c r="Q24" s="70">
        <f>Q12</f>
        <v>0</v>
      </c>
      <c r="R24" s="63">
        <f>$F24*Q24</f>
        <v>0</v>
      </c>
      <c r="S24" s="16"/>
      <c r="T24" s="87"/>
      <c r="U24" s="70">
        <f>U12</f>
        <v>0</v>
      </c>
      <c r="V24" s="63">
        <f>$F24*U24</f>
        <v>0</v>
      </c>
      <c r="W24" s="16"/>
      <c r="X24" s="87"/>
      <c r="Y24" s="70">
        <f>IF(IF(F24=0,0,1-#REF!-M24-Q24-U24)&lt;0.0001,0,IF(F24=0,0,1-#REF!-M24-Q24-U24))</f>
        <v>0</v>
      </c>
      <c r="Z24" s="63">
        <f>$F24*Y24</f>
        <v>0</v>
      </c>
    </row>
    <row r="25" spans="1:26">
      <c r="A25" s="7">
        <f t="shared" si="0"/>
        <v>14</v>
      </c>
      <c r="D25" t="s">
        <v>311</v>
      </c>
      <c r="F25" s="63">
        <v>0</v>
      </c>
      <c r="G25" s="16"/>
      <c r="H25" s="87"/>
      <c r="I25" s="70">
        <v>0</v>
      </c>
      <c r="J25" s="63">
        <v>0</v>
      </c>
      <c r="K25" s="16"/>
      <c r="L25" s="87"/>
      <c r="M25" s="70">
        <v>0</v>
      </c>
      <c r="N25" s="63">
        <v>0</v>
      </c>
      <c r="O25" s="16"/>
      <c r="P25" s="87"/>
      <c r="Q25" s="70">
        <v>0</v>
      </c>
      <c r="R25" s="63">
        <v>0</v>
      </c>
      <c r="S25" s="16"/>
      <c r="T25" s="87">
        <v>0</v>
      </c>
      <c r="U25" s="70">
        <v>0</v>
      </c>
      <c r="V25" s="63">
        <v>0</v>
      </c>
      <c r="W25" s="16"/>
      <c r="X25" s="87"/>
      <c r="Y25" s="70">
        <v>0</v>
      </c>
      <c r="Z25" s="63">
        <v>0</v>
      </c>
    </row>
    <row r="26" spans="1:26" s="9" customFormat="1" ht="18.95" customHeight="1">
      <c r="A26" s="7">
        <f t="shared" si="0"/>
        <v>15</v>
      </c>
      <c r="C26" s="12" t="s">
        <v>245</v>
      </c>
      <c r="D26" s="12"/>
      <c r="E26" s="12"/>
      <c r="F26" s="579">
        <f>SUM(F18:F24)</f>
        <v>0</v>
      </c>
      <c r="G26" s="17"/>
      <c r="H26" s="88"/>
      <c r="I26" s="572">
        <f>IF($F26=0,0,J26/$F26)</f>
        <v>0</v>
      </c>
      <c r="J26" s="579">
        <f>SUM(J18:J24)</f>
        <v>0</v>
      </c>
      <c r="K26" s="17"/>
      <c r="L26" s="88"/>
      <c r="M26" s="572">
        <f>IF($F26=0,0,N26/$F26)</f>
        <v>0</v>
      </c>
      <c r="N26" s="579">
        <f>SUM(N18:N24)</f>
        <v>0</v>
      </c>
      <c r="O26" s="17"/>
      <c r="P26" s="88"/>
      <c r="Q26" s="572">
        <f>IF($F26=0,0,R26/$F26)</f>
        <v>0</v>
      </c>
      <c r="R26" s="579">
        <f>SUM(R18:R24)</f>
        <v>0</v>
      </c>
      <c r="S26" s="17"/>
      <c r="T26" s="88"/>
      <c r="U26" s="572">
        <f>IF($F26=0,0,V26/$F26)</f>
        <v>0</v>
      </c>
      <c r="V26" s="579">
        <f>SUM(V18:V24)</f>
        <v>0</v>
      </c>
      <c r="W26" s="17"/>
      <c r="X26" s="88"/>
      <c r="Y26" s="572">
        <f>IF($F26=0,0,Z26/$F26)</f>
        <v>0</v>
      </c>
      <c r="Z26" s="579">
        <f>SUM(Z18:Z24)</f>
        <v>0</v>
      </c>
    </row>
    <row r="27" spans="1:26" s="10" customFormat="1" ht="25.5" customHeight="1">
      <c r="A27" s="7">
        <f t="shared" si="0"/>
        <v>16</v>
      </c>
      <c r="C27" s="11" t="s">
        <v>191</v>
      </c>
      <c r="D27" s="11"/>
      <c r="E27" s="11"/>
      <c r="F27" s="64">
        <f>'B-3 Allocation'!P28</f>
        <v>178.3</v>
      </c>
      <c r="G27" s="15"/>
      <c r="H27" s="86"/>
      <c r="I27" s="69">
        <v>0</v>
      </c>
      <c r="J27" s="65">
        <f>$F27*I27</f>
        <v>0</v>
      </c>
      <c r="K27" s="15"/>
      <c r="L27" s="86"/>
      <c r="M27" s="69">
        <v>0</v>
      </c>
      <c r="N27" s="65">
        <f>$F27*M27</f>
        <v>0</v>
      </c>
      <c r="O27" s="15"/>
      <c r="P27" s="86"/>
      <c r="Q27" s="69">
        <v>0</v>
      </c>
      <c r="R27" s="65">
        <f>$F27*Q27</f>
        <v>0</v>
      </c>
      <c r="S27" s="15"/>
      <c r="T27" s="86"/>
      <c r="U27" s="69">
        <v>1</v>
      </c>
      <c r="V27" s="65">
        <f>$F27*U27</f>
        <v>178.3</v>
      </c>
      <c r="W27" s="15"/>
      <c r="X27" s="86"/>
      <c r="Y27" s="69">
        <f>IF(IF(F27=0,0,1-M27-Q27-U27)&lt;0.0001,0,IF(F27=0,0,1-M27-Q27-U27))</f>
        <v>0</v>
      </c>
      <c r="Z27" s="65">
        <f>$F27*Y27</f>
        <v>0</v>
      </c>
    </row>
    <row r="28" spans="1:26" s="10" customFormat="1" ht="25.5" customHeight="1">
      <c r="A28" s="7">
        <f t="shared" si="0"/>
        <v>17</v>
      </c>
      <c r="C28" s="11" t="s">
        <v>192</v>
      </c>
      <c r="D28" s="11"/>
      <c r="E28" s="11"/>
      <c r="F28" s="129">
        <f>'B-3 Allocation'!P29</f>
        <v>0</v>
      </c>
      <c r="G28" s="15"/>
      <c r="H28" s="86"/>
      <c r="I28" s="69">
        <f>I16</f>
        <v>0</v>
      </c>
      <c r="J28" s="129">
        <f>$F28*I28</f>
        <v>0</v>
      </c>
      <c r="K28" s="15"/>
      <c r="L28" s="86"/>
      <c r="M28" s="69">
        <f>M16</f>
        <v>0</v>
      </c>
      <c r="N28" s="129">
        <f>$F28*M28</f>
        <v>0</v>
      </c>
      <c r="O28" s="15"/>
      <c r="P28" s="86"/>
      <c r="Q28" s="69">
        <f>Q16</f>
        <v>0</v>
      </c>
      <c r="R28" s="129">
        <f>$F28*Q28</f>
        <v>0</v>
      </c>
      <c r="S28" s="15"/>
      <c r="T28" s="86"/>
      <c r="U28" s="69">
        <f>U16</f>
        <v>0</v>
      </c>
      <c r="V28" s="129">
        <f>$F28*U28</f>
        <v>0</v>
      </c>
      <c r="W28" s="15"/>
      <c r="X28" s="86"/>
      <c r="Y28" s="69">
        <f>IF(IF(F28=0,0,1-#REF!-M28-Q28-U28)&lt;0.0001,0,IF(F28=0,0,1-#REF!-M28-Q28-U28))</f>
        <v>0</v>
      </c>
      <c r="Z28" s="129">
        <f>$F28*Y28</f>
        <v>0</v>
      </c>
    </row>
    <row r="29" spans="1:26" s="10" customFormat="1" ht="25.5" customHeight="1">
      <c r="A29" s="7">
        <f t="shared" si="0"/>
        <v>18</v>
      </c>
      <c r="C29" s="11" t="s">
        <v>193</v>
      </c>
      <c r="D29" s="11"/>
      <c r="E29" s="11"/>
      <c r="F29" s="129">
        <f>'B-3 Allocation'!P30</f>
        <v>0</v>
      </c>
      <c r="G29" s="15"/>
      <c r="H29" s="86"/>
      <c r="I29" s="69">
        <f>I16</f>
        <v>0</v>
      </c>
      <c r="J29" s="129">
        <f>$F29*I29</f>
        <v>0</v>
      </c>
      <c r="K29" s="15"/>
      <c r="L29" s="86"/>
      <c r="M29" s="69">
        <f>M16</f>
        <v>0</v>
      </c>
      <c r="N29" s="129">
        <f>$F29*M29</f>
        <v>0</v>
      </c>
      <c r="O29" s="15"/>
      <c r="P29" s="86"/>
      <c r="Q29" s="69">
        <f>Q16</f>
        <v>0</v>
      </c>
      <c r="R29" s="129">
        <f>$F29*Q29</f>
        <v>0</v>
      </c>
      <c r="S29" s="15"/>
      <c r="T29" s="86"/>
      <c r="U29" s="69">
        <f>U16</f>
        <v>0</v>
      </c>
      <c r="V29" s="129">
        <f>$F29*U29</f>
        <v>0</v>
      </c>
      <c r="W29" s="15"/>
      <c r="X29" s="86"/>
      <c r="Y29" s="69">
        <f>IF(IF(F29=0,0,1-#REF!-M29-Q29-U29)&lt;0.0001,0,IF(F29=0,0,1-#REF!-M29-Q29-U29))</f>
        <v>0</v>
      </c>
      <c r="Z29" s="129">
        <f>$F29*Y29</f>
        <v>0</v>
      </c>
    </row>
    <row r="30" spans="1:26" ht="18.95" customHeight="1">
      <c r="A30" s="7">
        <f t="shared" si="0"/>
        <v>19</v>
      </c>
      <c r="C30" s="2" t="s">
        <v>194</v>
      </c>
      <c r="D30" s="2"/>
      <c r="E30" s="2"/>
      <c r="F30" s="327">
        <f>SUM(F16,F26:F29)</f>
        <v>178.3</v>
      </c>
      <c r="G30" s="21"/>
      <c r="H30" s="89"/>
      <c r="I30" s="573">
        <f>J30/$F30</f>
        <v>0</v>
      </c>
      <c r="J30" s="580">
        <f>SUM(J16,J26:J29)</f>
        <v>0</v>
      </c>
      <c r="K30" s="21"/>
      <c r="L30" s="89"/>
      <c r="M30" s="573">
        <f>N30/$F30</f>
        <v>0</v>
      </c>
      <c r="N30" s="580">
        <f>SUM(N16,N26:N29)</f>
        <v>0</v>
      </c>
      <c r="O30" s="21"/>
      <c r="P30" s="89"/>
      <c r="Q30" s="573">
        <f>R30/$F30</f>
        <v>0</v>
      </c>
      <c r="R30" s="580">
        <f>SUM(R16,R26:R29)</f>
        <v>0</v>
      </c>
      <c r="S30" s="21"/>
      <c r="T30" s="89"/>
      <c r="U30" s="573">
        <f>V30/$F30</f>
        <v>1</v>
      </c>
      <c r="V30" s="364">
        <f>SUM(V16,V26:V29)</f>
        <v>178.3</v>
      </c>
      <c r="W30" s="21"/>
      <c r="X30" s="89"/>
      <c r="Y30" s="573">
        <f>Z30/$F30</f>
        <v>0</v>
      </c>
      <c r="Z30" s="581">
        <f>SUM(Z16,Z26:Z29)</f>
        <v>0</v>
      </c>
    </row>
    <row r="31" spans="1:26" s="19" customFormat="1">
      <c r="A31" s="7">
        <f t="shared" si="0"/>
        <v>20</v>
      </c>
      <c r="C31" s="19" t="s">
        <v>224</v>
      </c>
      <c r="F31" s="29">
        <f>'B-3 Allocation'!P32</f>
        <v>-10.716041826913619</v>
      </c>
      <c r="G31" s="20"/>
      <c r="H31" s="90"/>
      <c r="I31" s="61">
        <f>I15</f>
        <v>0</v>
      </c>
      <c r="J31" s="63">
        <f>$F31*I31</f>
        <v>0</v>
      </c>
      <c r="K31" s="20"/>
      <c r="L31" s="90"/>
      <c r="M31" s="61">
        <f>M15</f>
        <v>0</v>
      </c>
      <c r="N31" s="63">
        <f>$F31*M31</f>
        <v>0</v>
      </c>
      <c r="O31" s="20"/>
      <c r="P31" s="87"/>
      <c r="Q31" s="70">
        <f>Q15</f>
        <v>0</v>
      </c>
      <c r="R31" s="63">
        <f>$F31*Q31</f>
        <v>0</v>
      </c>
      <c r="S31" s="16"/>
      <c r="T31" s="87"/>
      <c r="U31" s="70">
        <v>1</v>
      </c>
      <c r="V31" s="63">
        <f>$F31*U31</f>
        <v>-10.716041826913619</v>
      </c>
      <c r="W31" s="16"/>
      <c r="X31" s="87"/>
      <c r="Y31" s="70">
        <f>IF(IF(F31=0,0,1-M31-Q31-U31)&lt;0.0001,0,IF(F31=0,0,1-M31-Q31-U31))</f>
        <v>0</v>
      </c>
      <c r="Z31" s="101">
        <f>$F31*Y31</f>
        <v>0</v>
      </c>
    </row>
    <row r="32" spans="1:26" s="19" customFormat="1">
      <c r="A32" s="7">
        <f t="shared" si="0"/>
        <v>21</v>
      </c>
      <c r="C32" s="19" t="s">
        <v>219</v>
      </c>
      <c r="F32" s="375">
        <f>'B-3 Allocation'!P33</f>
        <v>0</v>
      </c>
      <c r="G32" s="20"/>
      <c r="H32" s="90"/>
      <c r="I32" s="61">
        <v>0</v>
      </c>
      <c r="J32" s="63">
        <f>$F32*I32</f>
        <v>0</v>
      </c>
      <c r="K32" s="20"/>
      <c r="L32" s="90"/>
      <c r="M32" s="61">
        <v>1</v>
      </c>
      <c r="N32" s="63">
        <f>$F32*M32</f>
        <v>0</v>
      </c>
      <c r="O32" s="20"/>
      <c r="P32" s="87"/>
      <c r="Q32" s="70">
        <f>Q16</f>
        <v>0</v>
      </c>
      <c r="R32" s="63">
        <f>$F32*Q32</f>
        <v>0</v>
      </c>
      <c r="S32" s="16"/>
      <c r="T32" s="87"/>
      <c r="U32" s="70">
        <f>U16</f>
        <v>0</v>
      </c>
      <c r="V32" s="63">
        <f>$F32*U32</f>
        <v>0</v>
      </c>
      <c r="W32" s="16"/>
      <c r="X32" s="87"/>
      <c r="Y32" s="70">
        <f>IF(IF(F32=0,0,1-M32-Q32-U32)&lt;0.0001,0,IF(F32=0,0,1-M32-Q32-U32))</f>
        <v>0</v>
      </c>
      <c r="Z32" s="101">
        <f>$F32*Y32</f>
        <v>0</v>
      </c>
    </row>
    <row r="33" spans="1:26" s="9" customFormat="1" ht="12.75" customHeight="1">
      <c r="A33" s="7">
        <f t="shared" si="0"/>
        <v>22</v>
      </c>
      <c r="C33" s="12" t="s">
        <v>246</v>
      </c>
      <c r="D33" s="12"/>
      <c r="E33" s="12"/>
      <c r="F33" s="564">
        <f>SUM(F30:F32)</f>
        <v>167.58395817308639</v>
      </c>
      <c r="G33" s="17"/>
      <c r="H33" s="88"/>
      <c r="I33" s="574">
        <f>J33/$F33</f>
        <v>0</v>
      </c>
      <c r="J33" s="582">
        <f>SUM(J30:J32)</f>
        <v>0</v>
      </c>
      <c r="K33" s="17"/>
      <c r="L33" s="88"/>
      <c r="M33" s="574">
        <f>N33/$F33</f>
        <v>0</v>
      </c>
      <c r="N33" s="575">
        <f>SUM(N30:N32)</f>
        <v>0</v>
      </c>
      <c r="O33" s="17"/>
      <c r="P33" s="88"/>
      <c r="Q33" s="574">
        <f>R33/$F33</f>
        <v>0</v>
      </c>
      <c r="R33" s="583">
        <f>SUM(R30:R32)</f>
        <v>0</v>
      </c>
      <c r="S33" s="17"/>
      <c r="T33" s="88"/>
      <c r="U33" s="574">
        <f>V33/$F33</f>
        <v>1</v>
      </c>
      <c r="V33" s="575">
        <f>SUM(V30:V32)</f>
        <v>167.58395817308639</v>
      </c>
      <c r="W33" s="17"/>
      <c r="X33" s="88"/>
      <c r="Y33" s="574">
        <f>Z33/$F33</f>
        <v>0</v>
      </c>
      <c r="Z33" s="584">
        <f>SUM(Z30:Z32)</f>
        <v>0</v>
      </c>
    </row>
  </sheetData>
  <mergeCells count="1">
    <mergeCell ref="E11:G11"/>
  </mergeCells>
  <phoneticPr fontId="14" type="noConversion"/>
  <printOptions horizontalCentered="1"/>
  <pageMargins left="0.75" right="0.5" top="0.75" bottom="0.5" header="0.5" footer="0.5"/>
  <pageSetup scale="75"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19"/>
  <sheetViews>
    <sheetView showGridLines="0" zoomScaleNormal="100" workbookViewId="0">
      <selection activeCell="D17" sqref="D17"/>
    </sheetView>
  </sheetViews>
  <sheetFormatPr defaultRowHeight="12.75"/>
  <cols>
    <col min="1" max="1" width="4.83203125" customWidth="1"/>
    <col min="2" max="2" width="1.83203125" customWidth="1"/>
    <col min="3" max="3" width="2.83203125" customWidth="1"/>
    <col min="4" max="4" width="24.83203125" customWidth="1"/>
    <col min="5" max="5" width="1.83203125" customWidth="1"/>
    <col min="6" max="6" width="9.33203125" customWidth="1"/>
    <col min="7" max="8" width="1.83203125" customWidth="1"/>
    <col min="9" max="11" width="9.33203125" customWidth="1"/>
    <col min="12" max="13" width="1.83203125" customWidth="1"/>
    <col min="14" max="14" width="11.1640625" customWidth="1"/>
    <col min="15" max="15" width="12.83203125" customWidth="1"/>
    <col min="16" max="17" width="1.83203125" customWidth="1"/>
    <col min="18" max="20" width="9.33203125" customWidth="1"/>
    <col min="21" max="21" width="11.33203125"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B-10</v>
      </c>
    </row>
    <row r="2" spans="1:23" s="3" customFormat="1">
      <c r="A2" s="5" t="str">
        <f>Application</f>
        <v>2024 ISO Tariff Update Application</v>
      </c>
      <c r="B2" s="5"/>
      <c r="C2" s="5"/>
      <c r="D2" s="5"/>
      <c r="E2" s="5"/>
      <c r="F2" s="5"/>
      <c r="G2" s="5"/>
      <c r="H2" s="5"/>
      <c r="I2" s="5"/>
      <c r="J2" s="5"/>
      <c r="K2" s="5"/>
      <c r="L2" s="5"/>
      <c r="M2" s="5"/>
      <c r="N2" s="5"/>
      <c r="O2" s="5"/>
      <c r="P2" s="5"/>
      <c r="Q2" s="5"/>
      <c r="R2" s="5"/>
      <c r="U2" s="4" t="str">
        <f>TableDate</f>
        <v>November 16, 2023</v>
      </c>
    </row>
    <row r="4" spans="1:23">
      <c r="A4" s="254" t="str">
        <f>TableGroup1</f>
        <v>Appendix B — 2024 Rate Calculations</v>
      </c>
      <c r="B4" s="6"/>
      <c r="C4" s="6"/>
      <c r="D4" s="6"/>
      <c r="E4" s="6"/>
      <c r="F4" s="6"/>
      <c r="G4" s="6"/>
      <c r="H4" s="6"/>
      <c r="I4" s="6"/>
      <c r="J4" s="6"/>
      <c r="K4" s="6"/>
      <c r="L4" s="6"/>
      <c r="M4" s="6"/>
      <c r="N4" s="6"/>
      <c r="O4" s="6"/>
      <c r="P4" s="6"/>
      <c r="Q4" s="6"/>
      <c r="R4" s="6"/>
      <c r="S4" s="6"/>
      <c r="T4" s="6"/>
      <c r="U4" s="6"/>
    </row>
    <row r="5" spans="1:23">
      <c r="A5" s="6" t="s">
        <v>21</v>
      </c>
      <c r="B5" s="6"/>
      <c r="C5" s="6"/>
      <c r="D5" s="6"/>
      <c r="E5" s="6"/>
      <c r="F5" s="6"/>
      <c r="G5" s="6"/>
      <c r="H5" s="6"/>
      <c r="I5" s="6"/>
      <c r="J5" s="6"/>
      <c r="K5" s="6"/>
      <c r="L5" s="6"/>
      <c r="M5" s="6"/>
      <c r="N5" s="6"/>
      <c r="O5" s="6"/>
      <c r="P5" s="6"/>
      <c r="Q5" s="6"/>
      <c r="R5" s="6"/>
      <c r="S5" s="6"/>
      <c r="T5" s="6"/>
      <c r="U5" s="6"/>
    </row>
    <row r="6" spans="1:23">
      <c r="I6" s="71"/>
    </row>
    <row r="7" spans="1:23" s="195" customFormat="1">
      <c r="I7" s="195" t="s">
        <v>35</v>
      </c>
      <c r="J7" s="195" t="s">
        <v>36</v>
      </c>
      <c r="K7" s="195" t="s">
        <v>37</v>
      </c>
      <c r="N7" s="195" t="s">
        <v>38</v>
      </c>
      <c r="O7" s="195" t="s">
        <v>119</v>
      </c>
      <c r="R7" s="195" t="s">
        <v>120</v>
      </c>
      <c r="S7" s="195" t="s">
        <v>121</v>
      </c>
      <c r="T7" s="195" t="s">
        <v>122</v>
      </c>
      <c r="U7" s="195" t="s">
        <v>123</v>
      </c>
    </row>
    <row r="8" spans="1:23" s="1" customFormat="1"/>
    <row r="9" spans="1:23" s="47" customFormat="1">
      <c r="A9" s="47" t="s">
        <v>248</v>
      </c>
      <c r="F9" s="47" t="s">
        <v>362</v>
      </c>
      <c r="H9" s="125"/>
      <c r="I9" s="34" t="s">
        <v>323</v>
      </c>
      <c r="J9" s="34"/>
      <c r="K9" s="34"/>
      <c r="M9" s="125"/>
      <c r="N9" s="34" t="s">
        <v>324</v>
      </c>
      <c r="O9" s="34"/>
      <c r="Q9" s="125"/>
      <c r="R9" s="34" t="s">
        <v>204</v>
      </c>
      <c r="S9" s="34"/>
      <c r="T9" s="34"/>
      <c r="U9" s="34"/>
    </row>
    <row r="10" spans="1:23" s="36" customFormat="1">
      <c r="A10" s="35"/>
      <c r="C10" s="37" t="s">
        <v>42</v>
      </c>
      <c r="D10" s="37"/>
      <c r="F10" s="35" t="s">
        <v>249</v>
      </c>
      <c r="H10" s="78"/>
      <c r="I10" s="35" t="s">
        <v>363</v>
      </c>
      <c r="J10" s="139" t="s">
        <v>364</v>
      </c>
      <c r="K10" s="124" t="s">
        <v>251</v>
      </c>
      <c r="M10" s="78"/>
      <c r="N10" s="322" t="s">
        <v>325</v>
      </c>
      <c r="O10" s="322" t="s">
        <v>326</v>
      </c>
      <c r="Q10" s="78"/>
      <c r="R10" s="35" t="s">
        <v>363</v>
      </c>
      <c r="S10" s="35" t="s">
        <v>364</v>
      </c>
      <c r="T10" s="35" t="s">
        <v>251</v>
      </c>
      <c r="U10" s="35" t="s">
        <v>326</v>
      </c>
    </row>
    <row r="11" spans="1:23" ht="18.95" customHeight="1">
      <c r="A11" s="7">
        <v>1</v>
      </c>
      <c r="C11" s="2" t="s">
        <v>365</v>
      </c>
      <c r="D11" s="2"/>
      <c r="E11" s="16"/>
      <c r="F11" s="576"/>
      <c r="G11" s="16"/>
      <c r="H11" s="87"/>
      <c r="I11" s="28"/>
      <c r="J11" s="28"/>
      <c r="K11" s="28"/>
      <c r="L11" s="16"/>
      <c r="M11" s="87"/>
      <c r="N11" s="28"/>
      <c r="O11" s="126"/>
      <c r="P11" s="16"/>
      <c r="Q11" s="87"/>
      <c r="R11" s="28"/>
      <c r="S11" s="28"/>
      <c r="T11" s="28"/>
      <c r="U11" s="126"/>
    </row>
    <row r="12" spans="1:23" s="24" customFormat="1" ht="18.95" customHeight="1">
      <c r="A12" s="23">
        <f>A11+1</f>
        <v>2</v>
      </c>
      <c r="C12" s="9" t="s">
        <v>366</v>
      </c>
      <c r="E12" s="114"/>
      <c r="F12" s="326" t="s">
        <v>367</v>
      </c>
      <c r="G12" s="114"/>
      <c r="H12" s="115"/>
      <c r="I12" s="131">
        <f>'B-9 STS Classification'!V30</f>
        <v>178.3</v>
      </c>
      <c r="J12" s="116">
        <f>'B-9 STS Classification'!V31</f>
        <v>-10.716041826913619</v>
      </c>
      <c r="K12" s="131">
        <f>SUM(I12:J12)</f>
        <v>167.58395817308639</v>
      </c>
      <c r="L12" s="114"/>
      <c r="M12" s="115"/>
      <c r="N12" s="432">
        <f>'B-12 Determinants'!J18</f>
        <v>58383.461870000021</v>
      </c>
      <c r="O12" s="118" t="s">
        <v>368</v>
      </c>
      <c r="P12" s="114"/>
      <c r="Q12" s="115"/>
      <c r="R12" s="123">
        <f>ROUND(I12*1000/($N12*'B-12 Determinants'!$J20),4)</f>
        <v>3.6600000000000001E-2</v>
      </c>
      <c r="S12" s="123">
        <f>ROUND(J12*1000/($N12*'B-12 Determinants'!$J20),4)</f>
        <v>-2.2000000000000001E-3</v>
      </c>
      <c r="T12" s="123">
        <f>ROUND(K12*1000/($N12*'B-12 Determinants'!$J20),4)</f>
        <v>3.44E-2</v>
      </c>
      <c r="U12" s="130" t="s">
        <v>346</v>
      </c>
      <c r="V12" s="123"/>
      <c r="W12" s="202"/>
    </row>
    <row r="13" spans="1:23" ht="18.95" customHeight="1">
      <c r="A13" s="7">
        <f>A12+1</f>
        <v>3</v>
      </c>
      <c r="C13" s="2" t="s">
        <v>369</v>
      </c>
      <c r="D13" s="2"/>
      <c r="E13" s="16"/>
      <c r="F13" s="58"/>
      <c r="G13" s="16"/>
      <c r="H13" s="87"/>
      <c r="I13" s="63"/>
      <c r="J13" s="63"/>
      <c r="K13" s="63"/>
      <c r="L13" s="16"/>
      <c r="M13" s="87"/>
      <c r="N13" s="28"/>
      <c r="O13" s="126"/>
      <c r="P13" s="16"/>
      <c r="Q13" s="87"/>
      <c r="R13" s="28"/>
      <c r="S13" s="28"/>
      <c r="T13" s="28"/>
      <c r="U13" s="126"/>
      <c r="W13" s="202"/>
    </row>
    <row r="14" spans="1:23" s="24" customFormat="1" ht="18.95" customHeight="1">
      <c r="A14" s="23">
        <f>A13+1</f>
        <v>4</v>
      </c>
      <c r="C14" s="9" t="s">
        <v>219</v>
      </c>
      <c r="E14" s="114"/>
      <c r="F14" s="326" t="s">
        <v>306</v>
      </c>
      <c r="G14" s="114"/>
      <c r="H14" s="115"/>
      <c r="I14" s="473">
        <v>0</v>
      </c>
      <c r="J14" s="116">
        <f>'B-9 STS Classification'!N32</f>
        <v>0</v>
      </c>
      <c r="K14" s="116">
        <f>SUM(I14:J14)</f>
        <v>0</v>
      </c>
      <c r="L14" s="114"/>
      <c r="M14" s="115"/>
      <c r="N14" s="117">
        <f>'B-12 Determinants'!J21</f>
        <v>0</v>
      </c>
      <c r="O14" s="118" t="str">
        <f>'B-12 Determinants'!G13</f>
        <v>MW-months</v>
      </c>
      <c r="P14" s="114"/>
      <c r="Q14" s="115"/>
      <c r="R14" s="109">
        <f>IFERROR(ROUND(I14*1000000/$N14,0),)</f>
        <v>0</v>
      </c>
      <c r="S14" s="109">
        <v>0</v>
      </c>
      <c r="T14" s="109">
        <f>SUM(R14:S14)</f>
        <v>0</v>
      </c>
      <c r="U14" s="110" t="s">
        <v>330</v>
      </c>
      <c r="W14" s="202"/>
    </row>
    <row r="15" spans="1:23" ht="19.350000000000001" customHeight="1">
      <c r="A15" s="7">
        <f>A14+1</f>
        <v>5</v>
      </c>
      <c r="C15" s="2" t="s">
        <v>370</v>
      </c>
      <c r="D15" s="2"/>
      <c r="E15" s="21"/>
      <c r="F15" s="92"/>
      <c r="G15" s="21"/>
      <c r="H15" s="94"/>
      <c r="I15" s="364">
        <f>SUM(I11:I14)</f>
        <v>178.3</v>
      </c>
      <c r="J15" s="364">
        <f>SUM(J11:J14)</f>
        <v>-10.716041826913619</v>
      </c>
      <c r="K15" s="364">
        <f>SUM(K11:K14)</f>
        <v>167.58395817308639</v>
      </c>
      <c r="L15" s="21"/>
      <c r="M15" s="94"/>
      <c r="N15" s="84"/>
      <c r="O15" s="128"/>
      <c r="P15" s="21"/>
      <c r="Q15" s="94"/>
      <c r="R15" s="84"/>
      <c r="S15" s="84"/>
      <c r="T15" s="84"/>
      <c r="U15" s="128"/>
    </row>
    <row r="16" spans="1:23" ht="12.75" customHeight="1">
      <c r="A16" s="7"/>
      <c r="C16" s="2"/>
      <c r="D16" s="2"/>
      <c r="E16" s="21"/>
      <c r="F16" s="92"/>
      <c r="G16" s="21"/>
      <c r="H16" s="93"/>
      <c r="I16" s="84"/>
      <c r="J16" s="84"/>
      <c r="K16" s="84"/>
      <c r="L16" s="21"/>
      <c r="M16" s="93"/>
      <c r="N16" s="84"/>
      <c r="O16" s="84"/>
      <c r="P16" s="21"/>
      <c r="Q16" s="93"/>
      <c r="R16" s="84"/>
      <c r="S16" s="84"/>
      <c r="T16" s="84"/>
      <c r="U16" s="84"/>
    </row>
    <row r="17" spans="1:21">
      <c r="A17" s="43" t="s">
        <v>174</v>
      </c>
      <c r="C17" s="345" t="str">
        <f>"1.The 2024 ISO Tariff pool price is the 2024 BDP forecast pool price for 2024,  "&amp;DOLLAR('B-12 Determinants'!$J$20,2)&amp;"/MWh"</f>
        <v>1.The 2024 ISO Tariff pool price is the 2024 BDP forecast pool price for 2024,  $83.42/MWh</v>
      </c>
      <c r="F17" s="44"/>
      <c r="I17" s="44"/>
      <c r="J17" s="44"/>
      <c r="K17" s="44"/>
      <c r="N17" s="44"/>
      <c r="O17" s="44"/>
      <c r="U17" s="44"/>
    </row>
    <row r="18" spans="1:21">
      <c r="C18" t="s">
        <v>371</v>
      </c>
    </row>
    <row r="19" spans="1:21">
      <c r="C19" t="s">
        <v>372</v>
      </c>
    </row>
  </sheetData>
  <phoneticPr fontId="14"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1"/>
  <sheetViews>
    <sheetView showGridLines="0" topLeftCell="A15" zoomScale="116" zoomScaleNormal="160" workbookViewId="0">
      <selection activeCell="K23" sqref="K23"/>
    </sheetView>
  </sheetViews>
  <sheetFormatPr defaultRowHeight="12.75"/>
  <cols>
    <col min="1" max="1" width="4.6640625" customWidth="1"/>
    <col min="2" max="2" width="1.6640625" customWidth="1"/>
    <col min="3" max="3" width="2.6640625" customWidth="1"/>
    <col min="4" max="4" width="22.83203125" customWidth="1"/>
    <col min="5" max="5" width="3.1640625" customWidth="1"/>
    <col min="6" max="6" width="11.6640625" customWidth="1"/>
    <col min="7" max="7" width="10.33203125" customWidth="1"/>
    <col min="8" max="8" width="11.1640625" customWidth="1"/>
    <col min="9" max="9" width="3.1640625" customWidth="1"/>
    <col min="10" max="12" width="8.6640625" customWidth="1"/>
    <col min="13" max="13" width="3.1640625" customWidth="1"/>
    <col min="14" max="16" width="8.6640625" customWidth="1"/>
    <col min="17" max="17" width="3.1640625" customWidth="1"/>
    <col min="18" max="20" width="8.6640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B-11</v>
      </c>
    </row>
    <row r="2" spans="1:20" s="3" customFormat="1">
      <c r="A2" s="5" t="str">
        <f>Application</f>
        <v>2024 ISO Tariff Update Application</v>
      </c>
      <c r="B2" s="5"/>
      <c r="C2" s="5"/>
      <c r="D2" s="5"/>
      <c r="E2" s="5"/>
      <c r="F2" s="5"/>
      <c r="G2" s="5"/>
      <c r="H2" s="5"/>
      <c r="I2" s="5"/>
      <c r="J2" s="5"/>
      <c r="K2" s="5"/>
      <c r="L2" s="5"/>
      <c r="M2" s="5"/>
      <c r="N2" s="5"/>
      <c r="O2" s="5"/>
      <c r="P2" s="5"/>
      <c r="Q2" s="5"/>
      <c r="T2" s="4" t="str">
        <f>TableDate</f>
        <v>November 16, 2023</v>
      </c>
    </row>
    <row r="4" spans="1:20">
      <c r="A4" s="254" t="str">
        <f>TableGroup1</f>
        <v>Appendix B — 2024 Rate Calculations</v>
      </c>
      <c r="B4" s="6"/>
      <c r="C4" s="6"/>
      <c r="D4" s="6"/>
      <c r="E4" s="6"/>
      <c r="F4" s="6"/>
      <c r="G4" s="6"/>
      <c r="H4" s="6"/>
      <c r="I4" s="6"/>
      <c r="J4" s="6"/>
      <c r="K4" s="6"/>
      <c r="L4" s="6"/>
      <c r="M4" s="6"/>
      <c r="N4" s="6"/>
      <c r="O4" s="6"/>
      <c r="P4" s="6"/>
      <c r="Q4" s="6"/>
      <c r="R4" s="6"/>
      <c r="S4" s="6"/>
      <c r="T4" s="6"/>
    </row>
    <row r="5" spans="1:20">
      <c r="A5" s="6" t="s">
        <v>23</v>
      </c>
      <c r="B5" s="6"/>
      <c r="C5" s="6"/>
      <c r="D5" s="6"/>
      <c r="E5" s="6"/>
      <c r="F5" s="6"/>
      <c r="G5" s="6"/>
      <c r="H5" s="6"/>
      <c r="I5" s="6"/>
      <c r="J5" s="6"/>
      <c r="K5" s="6"/>
      <c r="L5" s="6"/>
      <c r="M5" s="6"/>
      <c r="N5" s="6"/>
      <c r="O5" s="6"/>
      <c r="P5" s="6"/>
      <c r="Q5" s="6"/>
      <c r="R5" s="6"/>
      <c r="S5" s="6"/>
      <c r="T5" s="6"/>
    </row>
    <row r="6" spans="1:20">
      <c r="I6" s="71"/>
    </row>
    <row r="7" spans="1:20" s="195" customFormat="1">
      <c r="F7" s="195" t="s">
        <v>35</v>
      </c>
      <c r="G7" s="195" t="s">
        <v>36</v>
      </c>
      <c r="H7" s="195" t="s">
        <v>37</v>
      </c>
      <c r="J7" s="195" t="s">
        <v>38</v>
      </c>
      <c r="K7" s="195" t="s">
        <v>119</v>
      </c>
      <c r="L7" s="195" t="s">
        <v>120</v>
      </c>
      <c r="N7" s="195" t="s">
        <v>121</v>
      </c>
      <c r="O7" s="195" t="s">
        <v>122</v>
      </c>
      <c r="P7" s="195" t="s">
        <v>123</v>
      </c>
      <c r="R7" s="195" t="s">
        <v>124</v>
      </c>
      <c r="S7" s="195" t="s">
        <v>125</v>
      </c>
      <c r="T7" s="195" t="s">
        <v>126</v>
      </c>
    </row>
    <row r="9" spans="1:20" s="33" customFormat="1">
      <c r="A9" s="47" t="s">
        <v>248</v>
      </c>
      <c r="F9"/>
      <c r="G9"/>
      <c r="H9"/>
      <c r="I9"/>
      <c r="J9"/>
      <c r="K9"/>
      <c r="L9"/>
      <c r="M9"/>
      <c r="N9"/>
      <c r="O9"/>
      <c r="P9"/>
      <c r="Q9"/>
      <c r="R9"/>
      <c r="S9"/>
      <c r="T9"/>
    </row>
    <row r="10" spans="1:20" s="36" customFormat="1">
      <c r="A10" s="35"/>
      <c r="C10" s="37" t="s">
        <v>373</v>
      </c>
      <c r="D10" s="37"/>
      <c r="F10" s="35" t="s">
        <v>264</v>
      </c>
      <c r="G10" s="35" t="s">
        <v>289</v>
      </c>
      <c r="H10" s="35" t="s">
        <v>251</v>
      </c>
      <c r="J10" s="35" t="s">
        <v>264</v>
      </c>
      <c r="K10" s="35" t="s">
        <v>289</v>
      </c>
      <c r="L10" s="35" t="s">
        <v>251</v>
      </c>
      <c r="N10" s="35" t="s">
        <v>264</v>
      </c>
      <c r="O10" s="35" t="s">
        <v>289</v>
      </c>
      <c r="P10" s="35" t="s">
        <v>251</v>
      </c>
      <c r="Q10" s="139"/>
      <c r="R10" s="35" t="s">
        <v>264</v>
      </c>
      <c r="S10" s="35" t="s">
        <v>289</v>
      </c>
      <c r="T10" s="35" t="s">
        <v>251</v>
      </c>
    </row>
    <row r="11" spans="1:20" s="3" customFormat="1" ht="27.6" customHeight="1">
      <c r="A11" s="145">
        <v>1</v>
      </c>
      <c r="C11" s="2" t="s">
        <v>374</v>
      </c>
      <c r="D11" s="2"/>
      <c r="F11" s="585"/>
      <c r="G11" s="144" t="s">
        <v>375</v>
      </c>
      <c r="H11" s="585"/>
      <c r="J11" s="632" t="s">
        <v>376</v>
      </c>
      <c r="K11" s="632"/>
      <c r="L11" s="632"/>
      <c r="N11" s="633"/>
      <c r="O11" s="633"/>
      <c r="P11" s="633"/>
      <c r="R11" s="633"/>
      <c r="S11" s="633"/>
      <c r="T11" s="633"/>
    </row>
    <row r="12" spans="1:20" s="19" customFormat="1">
      <c r="A12" s="18">
        <f t="shared" ref="A12:A34" si="0">A11+1</f>
        <v>2</v>
      </c>
      <c r="C12" s="19" t="s">
        <v>377</v>
      </c>
      <c r="F12" s="333">
        <f>'B-8 DTS Rate'!K13</f>
        <v>1013.5507067603527</v>
      </c>
      <c r="G12" s="333">
        <f>'B-8 DTS Rate'!K14</f>
        <v>71.08356394460867</v>
      </c>
      <c r="H12" s="333">
        <f t="shared" ref="H12:H17" si="1">SUM(F12:G12)</f>
        <v>1084.6342707049614</v>
      </c>
      <c r="J12" s="148">
        <f>F12*1000/'B-12 Determinants'!F18</f>
        <v>17.360236517272359</v>
      </c>
      <c r="K12" s="149">
        <f>G12*1000/'B-12 Determinants'!F18</f>
        <v>1.2175291027258273</v>
      </c>
      <c r="L12" s="148">
        <f t="shared" ref="L12:L17" si="2">SUM(J12:K12)</f>
        <v>18.577765619998186</v>
      </c>
      <c r="N12" s="148"/>
      <c r="O12" s="149"/>
      <c r="P12" s="148"/>
      <c r="R12" s="273"/>
      <c r="S12" s="274"/>
      <c r="T12" s="274"/>
    </row>
    <row r="13" spans="1:20" s="19" customFormat="1">
      <c r="A13" s="18">
        <f t="shared" si="0"/>
        <v>3</v>
      </c>
      <c r="C13" s="19" t="s">
        <v>378</v>
      </c>
      <c r="F13" s="183">
        <f>'B-8 DTS Rate'!K16</f>
        <v>461.89642518264054</v>
      </c>
      <c r="G13" s="183">
        <f>'B-8 DTS Rate'!K17</f>
        <v>53.937628376386549</v>
      </c>
      <c r="H13" s="184">
        <f t="shared" si="1"/>
        <v>515.8340535590271</v>
      </c>
      <c r="J13" s="183">
        <f>F13*1000/'B-12 Determinants'!F18</f>
        <v>7.9114257768942471</v>
      </c>
      <c r="K13" s="183">
        <f>G13*1000/'B-12 Determinants'!F18</f>
        <v>0.92385114977400928</v>
      </c>
      <c r="L13" s="183">
        <f t="shared" si="2"/>
        <v>8.8352769266682571</v>
      </c>
      <c r="N13" s="183"/>
      <c r="O13" s="183"/>
      <c r="P13" s="183"/>
      <c r="R13" s="274"/>
      <c r="S13" s="274"/>
      <c r="T13" s="274"/>
    </row>
    <row r="14" spans="1:20" s="19" customFormat="1">
      <c r="A14" s="18">
        <f t="shared" si="0"/>
        <v>4</v>
      </c>
      <c r="C14" s="19" t="s">
        <v>379</v>
      </c>
      <c r="F14" s="334">
        <f>SUM('B-8 DTS Rate'!K20:K23)</f>
        <v>418.7167874331152</v>
      </c>
      <c r="G14" s="59">
        <v>0</v>
      </c>
      <c r="H14" s="334">
        <f t="shared" si="1"/>
        <v>418.7167874331152</v>
      </c>
      <c r="J14" s="147">
        <f>F14*1000/'B-12 Determinants'!F18</f>
        <v>7.1718389766857964</v>
      </c>
      <c r="K14" s="147">
        <f>G14*1000/'B-12 Determinants'!F18</f>
        <v>0</v>
      </c>
      <c r="L14" s="147">
        <f t="shared" si="2"/>
        <v>7.1718389766857964</v>
      </c>
      <c r="N14" s="183"/>
      <c r="O14" s="183"/>
      <c r="P14" s="183"/>
      <c r="R14" s="274"/>
      <c r="S14" s="274"/>
      <c r="T14" s="274"/>
    </row>
    <row r="15" spans="1:20" s="19" customFormat="1">
      <c r="A15" s="18">
        <f t="shared" si="0"/>
        <v>5</v>
      </c>
      <c r="C15" s="19" t="s">
        <v>380</v>
      </c>
      <c r="F15" s="479">
        <v>0</v>
      </c>
      <c r="G15" s="334">
        <f>'B-8 DTS Rate'!K25</f>
        <v>349.77946299999996</v>
      </c>
      <c r="H15" s="334">
        <f t="shared" si="1"/>
        <v>349.77946299999996</v>
      </c>
      <c r="J15" s="147">
        <f>F15*1000/'B-12 Determinants'!F18</f>
        <v>0</v>
      </c>
      <c r="K15" s="147">
        <f>G15*1000/'B-12 Determinants'!F18</f>
        <v>5.9910709607943273</v>
      </c>
      <c r="L15" s="147">
        <f t="shared" si="2"/>
        <v>5.9910709607943273</v>
      </c>
      <c r="N15" s="183"/>
      <c r="O15" s="183"/>
      <c r="P15" s="183"/>
      <c r="R15" s="274"/>
      <c r="S15" s="274"/>
      <c r="T15" s="274"/>
    </row>
    <row r="16" spans="1:20" s="19" customFormat="1">
      <c r="A16" s="18">
        <f t="shared" si="0"/>
        <v>6</v>
      </c>
      <c r="C16" s="19" t="s">
        <v>381</v>
      </c>
      <c r="F16" s="479">
        <v>0</v>
      </c>
      <c r="G16" s="334">
        <f>'B-8 DTS Rate'!K29</f>
        <v>3.7</v>
      </c>
      <c r="H16" s="334">
        <f t="shared" si="1"/>
        <v>3.7</v>
      </c>
      <c r="J16" s="147">
        <f>F16*1000/'B-12 Determinants'!F18</f>
        <v>0</v>
      </c>
      <c r="K16" s="147">
        <f>G16*1000/'B-12 Determinants'!F18</f>
        <v>6.3374111117950369E-2</v>
      </c>
      <c r="L16" s="147">
        <f t="shared" si="2"/>
        <v>6.3374111117950369E-2</v>
      </c>
      <c r="N16" s="183"/>
      <c r="O16" s="183"/>
      <c r="P16" s="183"/>
      <c r="R16" s="274"/>
      <c r="S16" s="274"/>
      <c r="T16" s="274"/>
    </row>
    <row r="17" spans="1:20" s="19" customFormat="1">
      <c r="A17" s="18">
        <f t="shared" si="0"/>
        <v>7</v>
      </c>
      <c r="C17" s="19" t="s">
        <v>382</v>
      </c>
      <c r="F17" s="334">
        <f>'B-8 DTS Rate'!K31</f>
        <v>6.3850170000000004</v>
      </c>
      <c r="G17" s="334">
        <f>'B-12 Determinants'!C22</f>
        <v>0</v>
      </c>
      <c r="H17" s="334">
        <f t="shared" si="1"/>
        <v>6.3850170000000004</v>
      </c>
      <c r="J17" s="147">
        <f>F17*1000/'B-12 Determinants'!F18</f>
        <v>0.10936345320216276</v>
      </c>
      <c r="K17" s="147">
        <f>G17*1000/'B-12 Determinants'!F18</f>
        <v>0</v>
      </c>
      <c r="L17" s="147">
        <f t="shared" si="2"/>
        <v>0.10936345320216276</v>
      </c>
      <c r="N17" s="183"/>
      <c r="O17" s="183"/>
      <c r="P17" s="183"/>
      <c r="R17" s="274"/>
      <c r="S17" s="274"/>
      <c r="T17" s="274"/>
    </row>
    <row r="18" spans="1:20">
      <c r="A18" s="18">
        <f t="shared" si="0"/>
        <v>8</v>
      </c>
      <c r="C18" s="19" t="s">
        <v>383</v>
      </c>
      <c r="F18" s="586">
        <f>SUM(F12:F17)</f>
        <v>1900.5489363761085</v>
      </c>
      <c r="G18" s="586">
        <f>SUM(G12:G17)</f>
        <v>478.50065532099518</v>
      </c>
      <c r="H18" s="586">
        <f>SUM(H12:H17)</f>
        <v>2379.0495916971036</v>
      </c>
      <c r="J18" s="587">
        <f>SUM(J12:J17)</f>
        <v>32.552864724054565</v>
      </c>
      <c r="K18" s="587">
        <f>SUM(K12:K17)</f>
        <v>8.1958253244121142</v>
      </c>
      <c r="L18" s="587">
        <f>SUM(L12:L17)</f>
        <v>40.748690048466678</v>
      </c>
      <c r="N18" s="269"/>
      <c r="O18" s="269"/>
      <c r="P18" s="269"/>
      <c r="R18" s="274"/>
      <c r="S18" s="274"/>
      <c r="T18" s="274"/>
    </row>
    <row r="19" spans="1:20" s="3" customFormat="1" ht="27.6" customHeight="1">
      <c r="A19" s="145">
        <f t="shared" si="0"/>
        <v>9</v>
      </c>
      <c r="C19" s="2" t="s">
        <v>384</v>
      </c>
      <c r="G19" s="3">
        <v>0</v>
      </c>
      <c r="J19" s="263"/>
      <c r="K19" s="264" t="s">
        <v>385</v>
      </c>
      <c r="L19" s="263"/>
      <c r="M19" s="265"/>
      <c r="N19" s="263"/>
      <c r="O19" s="264" t="s">
        <v>386</v>
      </c>
      <c r="P19" s="263"/>
      <c r="Q19" s="265"/>
      <c r="R19" s="264"/>
      <c r="S19" s="264" t="s">
        <v>387</v>
      </c>
      <c r="T19" s="264"/>
    </row>
    <row r="20" spans="1:20" s="3" customFormat="1">
      <c r="A20" s="18">
        <f t="shared" si="0"/>
        <v>10</v>
      </c>
      <c r="B20" s="19"/>
      <c r="C20" s="19" t="s">
        <v>377</v>
      </c>
      <c r="D20" s="19"/>
      <c r="J20" s="149">
        <f t="shared" ref="J20:J25" si="3">0*(100%+R12)</f>
        <v>0</v>
      </c>
      <c r="K20" s="149">
        <f>K12</f>
        <v>1.2175291027258273</v>
      </c>
      <c r="L20" s="149">
        <f t="shared" ref="L20:L25" si="4">SUM(J20:K20)</f>
        <v>1.2175291027258273</v>
      </c>
      <c r="M20" s="270"/>
      <c r="N20" s="146">
        <f>0.5*J12</f>
        <v>8.6801182586361794</v>
      </c>
      <c r="O20" s="146">
        <f>K12</f>
        <v>1.2175291027258273</v>
      </c>
      <c r="P20" s="146">
        <f t="shared" ref="P20:P25" si="5">SUM(N20:O20)</f>
        <v>9.8976473613620062</v>
      </c>
      <c r="Q20" s="270"/>
      <c r="R20" s="146">
        <f>J12</f>
        <v>17.360236517272359</v>
      </c>
      <c r="S20" s="146">
        <f>K12</f>
        <v>1.2175291027258273</v>
      </c>
      <c r="T20" s="146">
        <f t="shared" ref="T20:T25" si="6">SUM(R20:S20)</f>
        <v>18.577765619998186</v>
      </c>
    </row>
    <row r="21" spans="1:20" s="19" customFormat="1">
      <c r="A21" s="18">
        <f t="shared" si="0"/>
        <v>11</v>
      </c>
      <c r="C21" s="19" t="s">
        <v>378</v>
      </c>
      <c r="J21" s="266">
        <f t="shared" si="3"/>
        <v>0</v>
      </c>
      <c r="K21" s="266">
        <f>K13</f>
        <v>0.92385114977400928</v>
      </c>
      <c r="L21" s="266">
        <f t="shared" si="4"/>
        <v>0.92385114977400928</v>
      </c>
      <c r="M21" s="184"/>
      <c r="N21" s="147">
        <f>0.5*J13</f>
        <v>3.9557128884471235</v>
      </c>
      <c r="O21" s="147">
        <f>K13</f>
        <v>0.92385114977400928</v>
      </c>
      <c r="P21" s="147">
        <f t="shared" si="5"/>
        <v>4.8795640382211332</v>
      </c>
      <c r="Q21" s="184"/>
      <c r="R21" s="147">
        <f>12*J13</f>
        <v>94.937109322730961</v>
      </c>
      <c r="S21" s="147">
        <f>K13</f>
        <v>0.92385114977400928</v>
      </c>
      <c r="T21" s="147">
        <f t="shared" si="6"/>
        <v>95.860960472504971</v>
      </c>
    </row>
    <row r="22" spans="1:20" s="19" customFormat="1">
      <c r="A22" s="18">
        <f t="shared" si="0"/>
        <v>12</v>
      </c>
      <c r="C22" s="19" t="s">
        <v>379</v>
      </c>
      <c r="J22" s="266">
        <f t="shared" si="3"/>
        <v>0</v>
      </c>
      <c r="K22" s="266">
        <f>0*(100%+S14)</f>
        <v>0</v>
      </c>
      <c r="L22" s="266">
        <f t="shared" si="4"/>
        <v>0</v>
      </c>
      <c r="M22" s="184"/>
      <c r="N22" s="147">
        <f>0*(100%+R14)</f>
        <v>0</v>
      </c>
      <c r="O22" s="147">
        <f>0*(100%+S14)</f>
        <v>0</v>
      </c>
      <c r="P22" s="147">
        <f t="shared" si="5"/>
        <v>0</v>
      </c>
      <c r="Q22" s="184"/>
      <c r="R22" s="147">
        <f>0*(100%+R14)</f>
        <v>0</v>
      </c>
      <c r="S22" s="147">
        <f>0*(100%+S14)</f>
        <v>0</v>
      </c>
      <c r="T22" s="147">
        <f t="shared" si="6"/>
        <v>0</v>
      </c>
    </row>
    <row r="23" spans="1:20" s="19" customFormat="1">
      <c r="A23" s="18">
        <f t="shared" si="0"/>
        <v>13</v>
      </c>
      <c r="C23" s="19" t="s">
        <v>380</v>
      </c>
      <c r="J23" s="266">
        <f t="shared" si="3"/>
        <v>0</v>
      </c>
      <c r="K23" s="266">
        <f>K15</f>
        <v>5.9910709607943273</v>
      </c>
      <c r="L23" s="266">
        <f t="shared" si="4"/>
        <v>5.9910709607943273</v>
      </c>
      <c r="M23" s="184"/>
      <c r="N23" s="147">
        <f>0*(100%+R15)</f>
        <v>0</v>
      </c>
      <c r="O23" s="147">
        <f>K15</f>
        <v>5.9910709607943273</v>
      </c>
      <c r="P23" s="147">
        <f t="shared" si="5"/>
        <v>5.9910709607943273</v>
      </c>
      <c r="Q23" s="184"/>
      <c r="R23" s="147">
        <f>0*(100%+R15)</f>
        <v>0</v>
      </c>
      <c r="S23" s="147">
        <f>K15</f>
        <v>5.9910709607943273</v>
      </c>
      <c r="T23" s="147">
        <f t="shared" si="6"/>
        <v>5.9910709607943273</v>
      </c>
    </row>
    <row r="24" spans="1:20" s="19" customFormat="1">
      <c r="A24" s="18">
        <f t="shared" si="0"/>
        <v>14</v>
      </c>
      <c r="C24" s="19" t="s">
        <v>381</v>
      </c>
      <c r="J24" s="266">
        <f t="shared" si="3"/>
        <v>0</v>
      </c>
      <c r="K24" s="266">
        <f>0*(100%+S16)</f>
        <v>0</v>
      </c>
      <c r="L24" s="266">
        <f t="shared" si="4"/>
        <v>0</v>
      </c>
      <c r="M24" s="184"/>
      <c r="N24" s="147">
        <f>0*(100%+R16)</f>
        <v>0</v>
      </c>
      <c r="O24" s="147">
        <f>0*(100%+S16)</f>
        <v>0</v>
      </c>
      <c r="P24" s="147">
        <f t="shared" si="5"/>
        <v>0</v>
      </c>
      <c r="Q24" s="184"/>
      <c r="R24" s="147">
        <f>0*(100%+R16)</f>
        <v>0</v>
      </c>
      <c r="S24" s="147">
        <f>0*(100%+S16)</f>
        <v>0</v>
      </c>
      <c r="T24" s="147">
        <f t="shared" si="6"/>
        <v>0</v>
      </c>
    </row>
    <row r="25" spans="1:20" s="19" customFormat="1">
      <c r="A25" s="18">
        <f t="shared" si="0"/>
        <v>15</v>
      </c>
      <c r="C25" s="19" t="s">
        <v>382</v>
      </c>
      <c r="J25" s="266">
        <f t="shared" si="3"/>
        <v>0</v>
      </c>
      <c r="K25" s="266">
        <f>0*(100%+S17)</f>
        <v>0</v>
      </c>
      <c r="L25" s="266">
        <f t="shared" si="4"/>
        <v>0</v>
      </c>
      <c r="M25" s="184"/>
      <c r="N25" s="147">
        <f>0*(100%+R17)</f>
        <v>0</v>
      </c>
      <c r="O25" s="147">
        <f>0*(100%+S17)</f>
        <v>0</v>
      </c>
      <c r="P25" s="147">
        <f t="shared" si="5"/>
        <v>0</v>
      </c>
      <c r="Q25" s="184"/>
      <c r="R25" s="147">
        <f>0*(100%+R17)</f>
        <v>0</v>
      </c>
      <c r="S25" s="147">
        <f>0*(100%+S17)</f>
        <v>0</v>
      </c>
      <c r="T25" s="147">
        <f t="shared" si="6"/>
        <v>0</v>
      </c>
    </row>
    <row r="26" spans="1:20">
      <c r="A26" s="18">
        <f t="shared" si="0"/>
        <v>16</v>
      </c>
      <c r="C26" s="19" t="s">
        <v>388</v>
      </c>
      <c r="J26" s="587">
        <f>SUM(J20:J25)</f>
        <v>0</v>
      </c>
      <c r="K26" s="587">
        <f>SUM(K20:K25)</f>
        <v>8.1324512132941642</v>
      </c>
      <c r="L26" s="587">
        <f>SUM(L20:L25)</f>
        <v>8.1324512132941642</v>
      </c>
      <c r="M26" s="269"/>
      <c r="N26" s="587">
        <f>SUM(N20:N25)</f>
        <v>12.635831147083303</v>
      </c>
      <c r="O26" s="587">
        <f>SUM(O20:O25)</f>
        <v>8.1324512132941642</v>
      </c>
      <c r="P26" s="587">
        <f>SUM(P20:P25)</f>
        <v>20.768282360377466</v>
      </c>
      <c r="Q26" s="269"/>
      <c r="R26" s="587">
        <f>SUM(R20:R25)</f>
        <v>112.29734584000332</v>
      </c>
      <c r="S26" s="587">
        <f>SUM(S20:S25)</f>
        <v>8.1324512132941642</v>
      </c>
      <c r="T26" s="587">
        <f>SUM(T20:T25)</f>
        <v>120.42979705329749</v>
      </c>
    </row>
    <row r="27" spans="1:20" s="3" customFormat="1" ht="27.6" customHeight="1">
      <c r="A27" s="145">
        <f t="shared" si="0"/>
        <v>17</v>
      </c>
      <c r="C27" s="2" t="s">
        <v>389</v>
      </c>
      <c r="D27" s="2"/>
      <c r="J27" s="263"/>
      <c r="K27" s="264" t="s">
        <v>390</v>
      </c>
      <c r="L27" s="263"/>
      <c r="M27" s="265"/>
      <c r="N27" s="323"/>
      <c r="O27" s="324"/>
      <c r="P27" s="323"/>
      <c r="Q27" s="265"/>
      <c r="R27" s="265"/>
      <c r="S27" s="265"/>
      <c r="T27" s="265"/>
    </row>
    <row r="28" spans="1:20" s="3" customFormat="1">
      <c r="A28" s="18">
        <f t="shared" si="0"/>
        <v>18</v>
      </c>
      <c r="B28" s="19"/>
      <c r="C28" s="19" t="s">
        <v>377</v>
      </c>
      <c r="D28" s="19"/>
      <c r="J28" s="148">
        <f>0.2*J12</f>
        <v>3.4720473034544721</v>
      </c>
      <c r="K28" s="148">
        <f>K12</f>
        <v>1.2175291027258273</v>
      </c>
      <c r="L28" s="148">
        <f t="shared" ref="L28:L33" si="7">SUM(J28:K28)</f>
        <v>4.6895764061802989</v>
      </c>
      <c r="M28" s="270"/>
      <c r="N28" s="148"/>
      <c r="O28" s="148"/>
      <c r="P28" s="148"/>
      <c r="Q28" s="265"/>
      <c r="R28" s="265"/>
      <c r="S28" s="265"/>
      <c r="T28" s="265"/>
    </row>
    <row r="29" spans="1:20" s="19" customFormat="1">
      <c r="A29" s="18">
        <f t="shared" si="0"/>
        <v>19</v>
      </c>
      <c r="C29" s="19" t="s">
        <v>378</v>
      </c>
      <c r="J29" s="268">
        <f>0.2*J13</f>
        <v>1.5822851553788495</v>
      </c>
      <c r="K29" s="268">
        <f>K13</f>
        <v>0.92385114977400928</v>
      </c>
      <c r="L29" s="268">
        <f t="shared" si="7"/>
        <v>2.5061363051528587</v>
      </c>
      <c r="M29" s="184"/>
      <c r="N29" s="268"/>
      <c r="O29" s="268"/>
      <c r="P29" s="268"/>
      <c r="Q29" s="184"/>
      <c r="R29" s="184"/>
      <c r="S29" s="184"/>
      <c r="T29" s="184"/>
    </row>
    <row r="30" spans="1:20" s="19" customFormat="1">
      <c r="A30" s="18">
        <f t="shared" si="0"/>
        <v>20</v>
      </c>
      <c r="C30" s="19" t="s">
        <v>379</v>
      </c>
      <c r="J30" s="268">
        <f>0*(100%+R14)</f>
        <v>0</v>
      </c>
      <c r="K30" s="268">
        <f>0*(100%+S14)</f>
        <v>0</v>
      </c>
      <c r="L30" s="268">
        <f t="shared" si="7"/>
        <v>0</v>
      </c>
      <c r="M30" s="184"/>
      <c r="N30" s="268"/>
      <c r="O30" s="268"/>
      <c r="P30" s="268"/>
      <c r="Q30" s="184"/>
      <c r="R30" s="184"/>
      <c r="S30" s="184"/>
      <c r="T30" s="184"/>
    </row>
    <row r="31" spans="1:20" s="19" customFormat="1">
      <c r="A31" s="18">
        <f t="shared" si="0"/>
        <v>21</v>
      </c>
      <c r="C31" s="19" t="s">
        <v>380</v>
      </c>
      <c r="J31" s="268">
        <f>0*(100%+R15)</f>
        <v>0</v>
      </c>
      <c r="K31" s="268">
        <f>0.32*K15</f>
        <v>1.9171427074541847</v>
      </c>
      <c r="L31" s="268">
        <f t="shared" si="7"/>
        <v>1.9171427074541847</v>
      </c>
      <c r="M31" s="184"/>
      <c r="N31" s="268"/>
      <c r="O31" s="268"/>
      <c r="P31" s="268"/>
      <c r="Q31" s="184"/>
      <c r="R31" s="184"/>
      <c r="S31" s="184"/>
      <c r="T31" s="184"/>
    </row>
    <row r="32" spans="1:20" s="19" customFormat="1">
      <c r="A32" s="18">
        <f t="shared" si="0"/>
        <v>22</v>
      </c>
      <c r="C32" s="19" t="s">
        <v>381</v>
      </c>
      <c r="J32" s="268">
        <f>0*(100%+R16)</f>
        <v>0</v>
      </c>
      <c r="K32" s="268">
        <f>0*(100%+S16)</f>
        <v>0</v>
      </c>
      <c r="L32" s="268">
        <f t="shared" si="7"/>
        <v>0</v>
      </c>
      <c r="M32" s="184"/>
      <c r="N32" s="268"/>
      <c r="O32" s="268"/>
      <c r="P32" s="268"/>
      <c r="Q32" s="184"/>
      <c r="R32" s="184"/>
      <c r="S32" s="184"/>
      <c r="T32" s="184"/>
    </row>
    <row r="33" spans="1:20" s="19" customFormat="1">
      <c r="A33" s="18">
        <f t="shared" si="0"/>
        <v>23</v>
      </c>
      <c r="C33" s="19" t="s">
        <v>382</v>
      </c>
      <c r="J33" s="268">
        <f>0*(100%+R17)</f>
        <v>0</v>
      </c>
      <c r="K33" s="268">
        <f>0*(100%+S17)</f>
        <v>0</v>
      </c>
      <c r="L33" s="268">
        <f t="shared" si="7"/>
        <v>0</v>
      </c>
      <c r="M33" s="184"/>
      <c r="N33" s="268"/>
      <c r="O33" s="268"/>
      <c r="P33" s="268"/>
      <c r="Q33" s="184"/>
      <c r="R33" s="184"/>
      <c r="S33" s="184"/>
      <c r="T33" s="184"/>
    </row>
    <row r="34" spans="1:20">
      <c r="A34" s="18">
        <f t="shared" si="0"/>
        <v>24</v>
      </c>
      <c r="C34" s="19" t="s">
        <v>391</v>
      </c>
      <c r="J34" s="587">
        <f>SUM(J28:J33)</f>
        <v>5.0543324588333221</v>
      </c>
      <c r="K34" s="587">
        <f>SUM(K28:K33)</f>
        <v>4.0585229599540211</v>
      </c>
      <c r="L34" s="587">
        <f>SUM(L28:L33)</f>
        <v>9.1128554187873423</v>
      </c>
      <c r="M34" s="269"/>
      <c r="N34" s="269"/>
      <c r="O34" s="269"/>
      <c r="P34" s="269"/>
      <c r="Q34" s="267"/>
      <c r="R34" s="267"/>
      <c r="S34" s="267"/>
      <c r="T34" s="267"/>
    </row>
    <row r="35" spans="1:20">
      <c r="F35" s="3"/>
      <c r="G35" s="3"/>
      <c r="H35" s="3"/>
      <c r="J35" s="3"/>
      <c r="K35" s="3"/>
      <c r="L35" s="3"/>
      <c r="N35" s="3"/>
      <c r="O35" s="3"/>
      <c r="P35" s="3"/>
    </row>
    <row r="36" spans="1:20">
      <c r="F36" s="3"/>
      <c r="G36" s="3"/>
      <c r="H36" s="3"/>
      <c r="J36" s="3"/>
      <c r="K36" s="3"/>
      <c r="L36" s="3"/>
      <c r="N36" s="3"/>
      <c r="O36" s="3"/>
      <c r="P36" s="3"/>
    </row>
    <row r="37" spans="1:20">
      <c r="F37" s="19"/>
      <c r="G37" s="19"/>
      <c r="H37" s="19"/>
      <c r="J37" s="19"/>
      <c r="K37" s="19"/>
      <c r="L37" s="19"/>
      <c r="N37" s="19"/>
      <c r="O37" s="19"/>
      <c r="P37" s="19"/>
    </row>
    <row r="38" spans="1:20">
      <c r="F38" s="19"/>
      <c r="G38" s="19"/>
      <c r="H38" s="19"/>
      <c r="J38" s="19"/>
      <c r="K38" s="19"/>
      <c r="L38" s="19"/>
      <c r="N38" s="19"/>
      <c r="O38" s="19"/>
      <c r="P38" s="19"/>
    </row>
    <row r="39" spans="1:20">
      <c r="F39" s="19"/>
      <c r="G39" s="19"/>
      <c r="H39" s="19"/>
      <c r="J39" s="19"/>
      <c r="K39" s="19"/>
      <c r="L39" s="19"/>
      <c r="N39" s="19"/>
      <c r="O39" s="19"/>
      <c r="P39" s="19"/>
    </row>
    <row r="40" spans="1:20">
      <c r="F40" s="19"/>
      <c r="G40" s="19"/>
      <c r="H40" s="19"/>
      <c r="J40" s="19"/>
      <c r="K40" s="19"/>
      <c r="L40" s="19"/>
      <c r="N40" s="19"/>
      <c r="O40" s="19"/>
      <c r="P40" s="19"/>
    </row>
    <row r="41" spans="1:20">
      <c r="F41" s="19"/>
      <c r="G41" s="19"/>
      <c r="H41" s="19"/>
      <c r="J41" s="19"/>
      <c r="K41" s="19"/>
      <c r="L41" s="19"/>
      <c r="N41" s="19"/>
      <c r="O41" s="19"/>
      <c r="P41" s="19"/>
    </row>
  </sheetData>
  <mergeCells count="3">
    <mergeCell ref="J11:L11"/>
    <mergeCell ref="R11:T11"/>
    <mergeCell ref="N11:P11"/>
  </mergeCells>
  <phoneticPr fontId="14"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33"/>
  <sheetViews>
    <sheetView showGridLines="0" topLeftCell="A7" zoomScaleNormal="100" workbookViewId="0">
      <selection activeCell="F19" sqref="F19"/>
    </sheetView>
  </sheetViews>
  <sheetFormatPr defaultRowHeight="12.75"/>
  <cols>
    <col min="1" max="1" width="5.83203125" customWidth="1"/>
    <col min="2" max="2" width="1.83203125" customWidth="1"/>
    <col min="3" max="3" width="2.83203125" customWidth="1"/>
    <col min="4" max="4" width="52.83203125" customWidth="1"/>
    <col min="5" max="5" width="1.83203125" customWidth="1"/>
    <col min="6" max="7" width="12.83203125" customWidth="1"/>
    <col min="8" max="8" width="2.83203125" customWidth="1"/>
    <col min="9" max="9" width="1.83203125" customWidth="1"/>
    <col min="10" max="11" width="12.83203125" customWidth="1"/>
    <col min="13" max="13" width="19" customWidth="1"/>
    <col min="14" max="14" width="16" customWidth="1"/>
    <col min="15" max="15" width="15.6640625" customWidth="1"/>
    <col min="16" max="16" width="13.83203125" customWidth="1"/>
    <col min="20" max="20" width="14" bestFit="1" customWidth="1"/>
  </cols>
  <sheetData>
    <row r="1" spans="1:19" s="3" customFormat="1">
      <c r="A1" s="5" t="str">
        <f>Applicant</f>
        <v>Alberta Electric System Operator</v>
      </c>
      <c r="B1" s="5"/>
      <c r="C1" s="5"/>
      <c r="D1" s="5"/>
      <c r="E1" s="5"/>
      <c r="F1" s="5"/>
      <c r="G1" s="5"/>
      <c r="H1" s="5"/>
      <c r="K1" s="4" t="str">
        <f ca="1">TablePrefix&amp;TRIM(MID(CELL("filename",M2),FIND("]",CELL("filename",M2))+1,5))&amp;TableSuffix</f>
        <v>Table B-12</v>
      </c>
    </row>
    <row r="2" spans="1:19" s="3" customFormat="1">
      <c r="A2" s="5" t="str">
        <f>Application</f>
        <v>2024 ISO Tariff Update Application</v>
      </c>
      <c r="B2" s="5"/>
      <c r="C2" s="5"/>
      <c r="D2" s="5"/>
      <c r="E2" s="5"/>
      <c r="F2" s="5"/>
      <c r="G2" s="5"/>
      <c r="H2" s="5"/>
      <c r="K2" s="4" t="str">
        <f>TableDate</f>
        <v>November 16, 2023</v>
      </c>
    </row>
    <row r="4" spans="1:19">
      <c r="A4" s="6" t="str">
        <f>TableGroup1</f>
        <v>Appendix B — 2024 Rate Calculations</v>
      </c>
      <c r="B4" s="6"/>
      <c r="C4" s="6"/>
      <c r="D4" s="6"/>
      <c r="E4" s="6"/>
      <c r="F4" s="6"/>
      <c r="G4" s="6"/>
      <c r="H4" s="6"/>
      <c r="I4" s="6"/>
      <c r="J4" s="6"/>
      <c r="K4" s="6"/>
    </row>
    <row r="5" spans="1:19">
      <c r="A5" s="6" t="s">
        <v>392</v>
      </c>
      <c r="B5" s="6"/>
      <c r="C5" s="6"/>
      <c r="D5" s="6"/>
      <c r="E5" s="6"/>
      <c r="F5" s="6"/>
      <c r="G5" s="6"/>
      <c r="H5" s="6"/>
      <c r="I5" s="6"/>
      <c r="J5" s="6"/>
      <c r="K5" s="6"/>
    </row>
    <row r="6" spans="1:19">
      <c r="I6" s="71"/>
    </row>
    <row r="7" spans="1:19" s="195" customFormat="1">
      <c r="F7" s="195" t="s">
        <v>35</v>
      </c>
      <c r="G7" s="195" t="s">
        <v>36</v>
      </c>
      <c r="J7" s="195" t="s">
        <v>37</v>
      </c>
      <c r="K7" s="195" t="s">
        <v>38</v>
      </c>
    </row>
    <row r="9" spans="1:19" s="33" customFormat="1">
      <c r="A9" s="47" t="s">
        <v>248</v>
      </c>
      <c r="F9" s="34" t="s">
        <v>393</v>
      </c>
      <c r="G9" s="34"/>
      <c r="I9" s="77"/>
      <c r="J9" s="34" t="s">
        <v>394</v>
      </c>
      <c r="K9" s="34"/>
      <c r="M9" s="34" t="s">
        <v>395</v>
      </c>
      <c r="N9" s="34"/>
      <c r="O9" s="132" t="s">
        <v>396</v>
      </c>
    </row>
    <row r="10" spans="1:19" s="36" customFormat="1">
      <c r="A10" s="35"/>
      <c r="C10" s="37" t="s">
        <v>397</v>
      </c>
      <c r="D10" s="37"/>
      <c r="F10" s="322" t="s">
        <v>325</v>
      </c>
      <c r="G10" s="322" t="s">
        <v>326</v>
      </c>
      <c r="I10" s="78"/>
      <c r="J10" s="35" t="s">
        <v>325</v>
      </c>
      <c r="K10" s="322" t="s">
        <v>326</v>
      </c>
      <c r="M10" s="322" t="s">
        <v>325</v>
      </c>
      <c r="N10" s="322" t="s">
        <v>326</v>
      </c>
      <c r="O10" s="485" t="s">
        <v>398</v>
      </c>
      <c r="P10" s="485" t="s">
        <v>399</v>
      </c>
    </row>
    <row r="11" spans="1:19" s="19" customFormat="1" ht="25.5" customHeight="1">
      <c r="A11" s="18">
        <v>1</v>
      </c>
      <c r="C11" s="19" t="s">
        <v>400</v>
      </c>
      <c r="F11" s="448">
        <v>92997.946893436529</v>
      </c>
      <c r="G11" s="48" t="s">
        <v>401</v>
      </c>
      <c r="I11" s="96"/>
      <c r="J11" s="51" t="s">
        <v>402</v>
      </c>
      <c r="K11" s="49"/>
      <c r="M11" s="448">
        <v>93526.144639199963</v>
      </c>
      <c r="N11" s="48" t="s">
        <v>401</v>
      </c>
      <c r="O11" s="484">
        <f>(F11-M11)/M11</f>
        <v>-5.6475945608694461E-3</v>
      </c>
      <c r="P11" s="170">
        <f>'B-8 DTS Rate'!K13</f>
        <v>1013.5507067603527</v>
      </c>
    </row>
    <row r="12" spans="1:19" s="19" customFormat="1" ht="25.5" customHeight="1">
      <c r="A12" s="18">
        <f t="shared" ref="A12:A21" si="0">A11+1</f>
        <v>2</v>
      </c>
      <c r="C12" s="19" t="s">
        <v>403</v>
      </c>
      <c r="F12" s="448">
        <v>162554.17326330891</v>
      </c>
      <c r="G12" s="48" t="s">
        <v>401</v>
      </c>
      <c r="I12" s="96"/>
      <c r="J12" s="51" t="s">
        <v>402</v>
      </c>
      <c r="K12" s="49"/>
      <c r="M12" s="449">
        <v>162444.66589</v>
      </c>
      <c r="N12" s="48" t="s">
        <v>401</v>
      </c>
      <c r="O12" s="484">
        <f>(F12-M12)/M12</f>
        <v>6.7412107814646095E-4</v>
      </c>
      <c r="P12" s="170">
        <f>'B-8 DTS Rate'!$K$16</f>
        <v>461.89642518264054</v>
      </c>
      <c r="S12" s="523"/>
    </row>
    <row r="13" spans="1:19" s="3" customFormat="1" ht="19.350000000000001" customHeight="1">
      <c r="A13" s="145">
        <f t="shared" si="0"/>
        <v>3</v>
      </c>
      <c r="C13" s="3" t="s">
        <v>404</v>
      </c>
      <c r="F13" s="448">
        <v>37012.580966429217</v>
      </c>
      <c r="G13" s="126" t="s">
        <v>401</v>
      </c>
      <c r="I13" s="175"/>
      <c r="J13" s="176" t="s">
        <v>402</v>
      </c>
      <c r="K13" s="177"/>
      <c r="L13" s="19"/>
      <c r="M13" s="449">
        <v>36600.283896600005</v>
      </c>
      <c r="N13" s="48" t="s">
        <v>401</v>
      </c>
      <c r="O13" s="484">
        <f t="shared" ref="O13:O16" si="1">(F13-M13)/M13</f>
        <v>1.1264859884529814E-2</v>
      </c>
      <c r="P13" s="170">
        <f>'B-8 DTS Rate'!$K20</f>
        <v>178.34989914571059</v>
      </c>
      <c r="R13" s="19"/>
    </row>
    <row r="14" spans="1:19" s="19" customFormat="1">
      <c r="A14" s="18">
        <f t="shared" si="0"/>
        <v>4</v>
      </c>
      <c r="C14" s="19" t="s">
        <v>405</v>
      </c>
      <c r="F14" s="448">
        <v>35260.890947382941</v>
      </c>
      <c r="G14" s="48" t="s">
        <v>401</v>
      </c>
      <c r="I14" s="96"/>
      <c r="J14" s="51" t="s">
        <v>402</v>
      </c>
      <c r="K14" s="49"/>
      <c r="M14" s="449">
        <v>34994.915412999995</v>
      </c>
      <c r="N14" s="48" t="s">
        <v>401</v>
      </c>
      <c r="O14" s="484">
        <f t="shared" si="1"/>
        <v>7.6004051229722472E-3</v>
      </c>
      <c r="P14" s="170">
        <f>'B-8 DTS Rate'!$K21</f>
        <v>100.76498254771403</v>
      </c>
    </row>
    <row r="15" spans="1:19" s="19" customFormat="1">
      <c r="A15" s="18">
        <f t="shared" si="0"/>
        <v>5</v>
      </c>
      <c r="C15" s="19" t="s">
        <v>406</v>
      </c>
      <c r="F15" s="448">
        <v>45248.475050063505</v>
      </c>
      <c r="G15" s="48" t="s">
        <v>401</v>
      </c>
      <c r="I15" s="96"/>
      <c r="J15" s="51" t="s">
        <v>402</v>
      </c>
      <c r="K15" s="49"/>
      <c r="M15" s="449">
        <v>44971.495708000009</v>
      </c>
      <c r="N15" s="48" t="s">
        <v>401</v>
      </c>
      <c r="O15" s="484">
        <f t="shared" si="1"/>
        <v>6.1589977763231024E-3</v>
      </c>
      <c r="P15" s="170">
        <f>'B-8 DTS Rate'!$K22</f>
        <v>86.565009594384307</v>
      </c>
    </row>
    <row r="16" spans="1:19" s="24" customFormat="1" ht="19.350000000000001" customHeight="1">
      <c r="A16" s="23">
        <f t="shared" si="0"/>
        <v>6</v>
      </c>
      <c r="C16" s="24" t="s">
        <v>407</v>
      </c>
      <c r="F16" s="448">
        <v>45032.22629943322</v>
      </c>
      <c r="G16" s="127" t="s">
        <v>401</v>
      </c>
      <c r="I16" s="178"/>
      <c r="J16" s="179" t="s">
        <v>402</v>
      </c>
      <c r="K16" s="180"/>
      <c r="L16" s="19"/>
      <c r="M16" s="449">
        <v>45877.970872400001</v>
      </c>
      <c r="N16" s="48" t="s">
        <v>401</v>
      </c>
      <c r="O16" s="484">
        <f t="shared" si="1"/>
        <v>-1.8434655170758173E-2</v>
      </c>
      <c r="P16" s="170">
        <f>'B-8 DTS Rate'!$K23</f>
        <v>53.036896145306244</v>
      </c>
      <c r="R16" s="19"/>
    </row>
    <row r="17" spans="1:17" s="19" customFormat="1" ht="25.5" customHeight="1">
      <c r="A17" s="18">
        <f>A16+1</f>
        <v>7</v>
      </c>
      <c r="C17" s="19" t="s">
        <v>408</v>
      </c>
      <c r="F17" s="448">
        <v>123610.87765083477</v>
      </c>
      <c r="G17" s="48" t="s">
        <v>401</v>
      </c>
      <c r="I17" s="96"/>
      <c r="J17" s="51" t="s">
        <v>402</v>
      </c>
      <c r="K17" s="49"/>
      <c r="M17" s="450">
        <v>120804.37266880002</v>
      </c>
      <c r="N17" s="48" t="s">
        <v>401</v>
      </c>
      <c r="O17" s="484">
        <f>(F17-M17)/M17</f>
        <v>2.3231816200305313E-2</v>
      </c>
      <c r="P17" s="170">
        <f>'B-8 DTS Rate'!$K$31</f>
        <v>6.3850170000000004</v>
      </c>
    </row>
    <row r="18" spans="1:17" s="19" customFormat="1" ht="25.5" customHeight="1">
      <c r="A18" s="18">
        <f t="shared" si="0"/>
        <v>8</v>
      </c>
      <c r="C18" s="19" t="s">
        <v>409</v>
      </c>
      <c r="F18" s="448">
        <v>58383.461870000021</v>
      </c>
      <c r="G18" s="48" t="s">
        <v>368</v>
      </c>
      <c r="I18" s="96"/>
      <c r="J18" s="160">
        <f>F18</f>
        <v>58383.461870000021</v>
      </c>
      <c r="K18" s="48" t="s">
        <v>368</v>
      </c>
      <c r="M18" s="451">
        <v>60112.942679999993</v>
      </c>
      <c r="N18" s="48" t="s">
        <v>368</v>
      </c>
      <c r="O18" s="484">
        <f>(F18-M18)/M18</f>
        <v>-2.8770523166808511E-2</v>
      </c>
      <c r="P18" s="170">
        <f>'B-8 DTS Rate'!K14+'B-8 DTS Rate'!K17+'B-8 DTS Rate'!K25+'B-8 DTS Rate'!K27+'B-8 DTS Rate'!K29</f>
        <v>482.50065532099518</v>
      </c>
    </row>
    <row r="19" spans="1:17" s="19" customFormat="1" ht="25.5" customHeight="1">
      <c r="A19" s="18">
        <f t="shared" si="0"/>
        <v>9</v>
      </c>
      <c r="C19" s="19" t="s">
        <v>410</v>
      </c>
      <c r="F19" s="448">
        <v>5399.2447429544081</v>
      </c>
      <c r="G19" s="48" t="s">
        <v>411</v>
      </c>
      <c r="I19" s="96"/>
      <c r="J19" s="51" t="s">
        <v>402</v>
      </c>
      <c r="K19" s="49"/>
      <c r="M19" s="452">
        <v>5364.7530299999999</v>
      </c>
      <c r="N19" s="48" t="s">
        <v>411</v>
      </c>
      <c r="O19" s="484">
        <f>(F19-M19)/M19</f>
        <v>6.4293198142633392E-3</v>
      </c>
      <c r="P19" s="170">
        <f>'B-8 DTS Rate'!$K$19</f>
        <v>79.051525483211904</v>
      </c>
    </row>
    <row r="20" spans="1:17" s="19" customFormat="1" ht="25.5" customHeight="1">
      <c r="A20" s="18">
        <f t="shared" si="0"/>
        <v>10</v>
      </c>
      <c r="C20" s="19" t="s">
        <v>412</v>
      </c>
      <c r="F20" s="159">
        <v>83.42</v>
      </c>
      <c r="G20" s="52" t="s">
        <v>332</v>
      </c>
      <c r="I20" s="96"/>
      <c r="J20" s="159">
        <f>F20</f>
        <v>83.42</v>
      </c>
      <c r="K20" s="52" t="s">
        <v>332</v>
      </c>
      <c r="M20" s="487" t="s">
        <v>413</v>
      </c>
      <c r="N20" s="488"/>
      <c r="O20" s="488"/>
      <c r="P20" s="486">
        <f>SUMPRODUCT(P11:P19,O11:O19)/SUM(P11:P19)</f>
        <v>-6.6234421918868122E-3</v>
      </c>
      <c r="Q20" s="10"/>
    </row>
    <row r="21" spans="1:17" s="19" customFormat="1" ht="25.5" customHeight="1">
      <c r="A21" s="18">
        <f t="shared" si="0"/>
        <v>11</v>
      </c>
      <c r="C21" s="19" t="s">
        <v>414</v>
      </c>
      <c r="F21" s="51" t="s">
        <v>402</v>
      </c>
      <c r="G21" s="49"/>
      <c r="I21" s="96"/>
      <c r="J21" s="160">
        <v>0</v>
      </c>
      <c r="K21" s="48" t="s">
        <v>401</v>
      </c>
    </row>
    <row r="22" spans="1:17" s="19" customFormat="1" ht="12.75" customHeight="1">
      <c r="A22" s="18"/>
      <c r="F22" s="51"/>
      <c r="G22" s="49"/>
      <c r="J22" s="50"/>
      <c r="K22" s="48"/>
    </row>
    <row r="23" spans="1:17">
      <c r="A23" t="s">
        <v>197</v>
      </c>
      <c r="C23" s="162" t="s">
        <v>277</v>
      </c>
      <c r="D23" s="405" t="s">
        <v>415</v>
      </c>
    </row>
    <row r="24" spans="1:17">
      <c r="D24" s="404" t="s">
        <v>416</v>
      </c>
    </row>
    <row r="25" spans="1:17">
      <c r="C25" s="161" t="s">
        <v>280</v>
      </c>
      <c r="D25" s="345" t="s">
        <v>417</v>
      </c>
    </row>
    <row r="26" spans="1:17">
      <c r="C26" s="161"/>
      <c r="D26" s="345" t="s">
        <v>418</v>
      </c>
    </row>
    <row r="27" spans="1:17">
      <c r="C27" s="71" t="s">
        <v>282</v>
      </c>
      <c r="D27" s="345" t="str">
        <f>"The 2024 ISO Tariff pool price is the 2024 BDP forecast pool price for 2024,  "&amp;DOLLAR('B-12 Determinants'!$J$20,2)&amp;"/MWh"</f>
        <v>The 2024 ISO Tariff pool price is the 2024 BDP forecast pool price for 2024,  $83.42/MWh</v>
      </c>
    </row>
    <row r="30" spans="1:17">
      <c r="K30" s="588"/>
    </row>
    <row r="33" spans="6:6">
      <c r="F33" s="305"/>
    </row>
  </sheetData>
  <phoneticPr fontId="14" type="noConversion"/>
  <printOptions horizontalCentered="1"/>
  <pageMargins left="0.75" right="0.5" top="0.75" bottom="0.5" header="0.5" footer="0.5"/>
  <pageSetup scale="94"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37"/>
  <sheetViews>
    <sheetView showGridLines="0" zoomScaleNormal="100" workbookViewId="0">
      <selection activeCell="L35" sqref="L35"/>
    </sheetView>
  </sheetViews>
  <sheetFormatPr defaultRowHeight="12.75"/>
  <cols>
    <col min="1" max="1" width="6.1640625" customWidth="1"/>
    <col min="2" max="2" width="1.83203125" customWidth="1"/>
    <col min="3" max="3" width="2.83203125" customWidth="1"/>
    <col min="4" max="4" width="38.5" customWidth="1"/>
    <col min="5" max="6" width="1.83203125" customWidth="1"/>
    <col min="7" max="7" width="11.83203125" customWidth="1"/>
    <col min="8" max="8" width="13.33203125" customWidth="1"/>
    <col min="9" max="9" width="11.5" bestFit="1" customWidth="1"/>
    <col min="10" max="11" width="1.83203125" customWidth="1"/>
    <col min="12" max="12" width="11.83203125" customWidth="1"/>
    <col min="13" max="13" width="13" bestFit="1" customWidth="1"/>
    <col min="14" max="14" width="10.5" bestFit="1" customWidth="1"/>
    <col min="15" max="16" width="1.83203125" customWidth="1"/>
    <col min="17" max="17" width="10.6640625" customWidth="1"/>
    <col min="18" max="18" width="9.8320312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B-13</v>
      </c>
    </row>
    <row r="2" spans="1:20" s="3" customFormat="1">
      <c r="A2" s="5" t="str">
        <f>Application</f>
        <v>2024 ISO Tariff Update Application</v>
      </c>
      <c r="B2" s="5"/>
      <c r="C2" s="5"/>
      <c r="D2" s="5"/>
      <c r="E2" s="5"/>
      <c r="F2" s="5"/>
      <c r="G2" s="5"/>
      <c r="H2" s="5"/>
      <c r="I2" s="5"/>
      <c r="J2" s="5"/>
      <c r="K2" s="5"/>
      <c r="L2" s="5"/>
      <c r="M2" s="5"/>
      <c r="N2" s="5"/>
      <c r="O2" s="5"/>
      <c r="R2" s="4" t="str">
        <f>TableDate</f>
        <v>November 16, 2023</v>
      </c>
    </row>
    <row r="4" spans="1:20">
      <c r="A4" s="254" t="str">
        <f>TableGroup1</f>
        <v>Appendix B — 2024 Rate Calculations</v>
      </c>
      <c r="B4" s="6"/>
      <c r="C4" s="6"/>
      <c r="D4" s="6"/>
      <c r="E4" s="6"/>
      <c r="F4" s="6"/>
      <c r="G4" s="6"/>
      <c r="H4" s="6"/>
      <c r="I4" s="6"/>
      <c r="J4" s="6"/>
      <c r="K4" s="6"/>
      <c r="L4" s="6"/>
      <c r="M4" s="6"/>
      <c r="N4" s="6"/>
      <c r="O4" s="6"/>
      <c r="P4" s="6"/>
      <c r="Q4" s="6"/>
      <c r="R4" s="6"/>
    </row>
    <row r="5" spans="1:20">
      <c r="A5" s="6" t="s">
        <v>27</v>
      </c>
      <c r="B5" s="6"/>
      <c r="C5" s="6"/>
      <c r="D5" s="6"/>
      <c r="E5" s="6"/>
      <c r="F5" s="6"/>
      <c r="G5" s="6"/>
      <c r="H5" s="6"/>
      <c r="I5" s="6"/>
      <c r="J5" s="6"/>
      <c r="K5" s="6"/>
      <c r="L5" s="6"/>
      <c r="M5" s="6"/>
      <c r="N5" s="6"/>
      <c r="O5" s="6"/>
      <c r="P5" s="6"/>
      <c r="Q5" s="6"/>
      <c r="R5" s="6"/>
    </row>
    <row r="6" spans="1:20">
      <c r="I6" s="71"/>
    </row>
    <row r="7" spans="1:20" s="195" customFormat="1">
      <c r="G7" s="195" t="s">
        <v>35</v>
      </c>
      <c r="H7" s="195" t="s">
        <v>36</v>
      </c>
      <c r="I7" s="195" t="s">
        <v>37</v>
      </c>
      <c r="L7" s="195" t="s">
        <v>38</v>
      </c>
      <c r="M7" s="195" t="s">
        <v>119</v>
      </c>
      <c r="N7" s="195" t="s">
        <v>120</v>
      </c>
      <c r="Q7" s="195" t="s">
        <v>121</v>
      </c>
      <c r="R7" s="195" t="s">
        <v>122</v>
      </c>
    </row>
    <row r="9" spans="1:20" s="33" customFormat="1">
      <c r="F9" s="77"/>
      <c r="G9" s="34" t="s">
        <v>419</v>
      </c>
      <c r="H9" s="34"/>
      <c r="I9" s="34"/>
      <c r="K9" s="77"/>
      <c r="L9" s="34" t="s">
        <v>420</v>
      </c>
      <c r="M9" s="34"/>
      <c r="N9" s="34"/>
      <c r="P9" s="77"/>
      <c r="Q9" s="34" t="s">
        <v>421</v>
      </c>
      <c r="R9" s="34"/>
    </row>
    <row r="10" spans="1:20" s="36" customFormat="1" ht="25.5">
      <c r="A10" s="35"/>
      <c r="C10" s="37" t="s">
        <v>42</v>
      </c>
      <c r="D10" s="37"/>
      <c r="F10" s="78"/>
      <c r="G10" s="412" t="s">
        <v>422</v>
      </c>
      <c r="H10" s="412" t="s">
        <v>423</v>
      </c>
      <c r="I10" s="322" t="s">
        <v>181</v>
      </c>
      <c r="K10" s="78"/>
      <c r="L10" s="412" t="s">
        <v>424</v>
      </c>
      <c r="M10" s="412" t="s">
        <v>423</v>
      </c>
      <c r="N10" s="322" t="s">
        <v>181</v>
      </c>
      <c r="P10" s="78"/>
      <c r="Q10" s="322" t="s">
        <v>181</v>
      </c>
      <c r="R10" s="322" t="s">
        <v>425</v>
      </c>
    </row>
    <row r="11" spans="1:20" ht="18.95" customHeight="1">
      <c r="A11" s="7">
        <v>1</v>
      </c>
      <c r="C11" s="2" t="s">
        <v>426</v>
      </c>
      <c r="D11" s="2"/>
      <c r="E11" s="16"/>
      <c r="F11" s="87"/>
      <c r="G11" s="28"/>
      <c r="H11" s="28"/>
      <c r="I11" s="28"/>
      <c r="J11" s="16"/>
      <c r="K11" s="87"/>
      <c r="L11" s="28"/>
      <c r="M11" s="28"/>
      <c r="N11" s="28"/>
      <c r="O11" s="16"/>
      <c r="P11" s="87"/>
      <c r="Q11" s="28"/>
      <c r="R11" s="28"/>
    </row>
    <row r="12" spans="1:20">
      <c r="A12" s="7">
        <f t="shared" ref="A12:A32" si="0">A11+1</f>
        <v>2</v>
      </c>
      <c r="C12" t="s">
        <v>427</v>
      </c>
      <c r="D12" s="2"/>
      <c r="E12" s="16"/>
      <c r="F12" s="87"/>
      <c r="G12" s="28"/>
      <c r="H12" s="28"/>
      <c r="I12" s="28"/>
      <c r="J12" s="16"/>
      <c r="K12" s="87"/>
      <c r="L12" s="28"/>
      <c r="M12" s="28"/>
      <c r="N12" s="28"/>
      <c r="O12" s="16"/>
      <c r="P12" s="87"/>
      <c r="Q12" s="28"/>
      <c r="R12" s="28"/>
    </row>
    <row r="13" spans="1:20" s="19" customFormat="1">
      <c r="A13" s="18">
        <f t="shared" si="0"/>
        <v>3</v>
      </c>
      <c r="D13" s="19" t="s">
        <v>428</v>
      </c>
      <c r="E13" s="20"/>
      <c r="F13" s="90"/>
      <c r="G13" s="457">
        <v>10840</v>
      </c>
      <c r="H13" s="39">
        <f>'B-12 Determinants'!F11</f>
        <v>92997.946893436529</v>
      </c>
      <c r="I13" s="32">
        <f>G13*H13/1000000</f>
        <v>1008.097744324852</v>
      </c>
      <c r="J13" s="97"/>
      <c r="K13" s="90"/>
      <c r="L13" s="182">
        <f>'B-8 DTS Rate'!T13</f>
        <v>10899</v>
      </c>
      <c r="M13" s="39">
        <f>'B-12 Determinants'!F11</f>
        <v>92997.946893436529</v>
      </c>
      <c r="N13" s="140">
        <f>L13*M13/1000000</f>
        <v>1013.5846231915647</v>
      </c>
      <c r="O13" s="20"/>
      <c r="P13" s="90"/>
      <c r="Q13" s="181">
        <f>N13-I13</f>
        <v>5.4868788667126864</v>
      </c>
      <c r="R13" s="53">
        <f>Q13/I13</f>
        <v>5.4428044280442119E-3</v>
      </c>
      <c r="S13" s="60"/>
      <c r="T13" s="53"/>
    </row>
    <row r="14" spans="1:20" s="19" customFormat="1">
      <c r="A14" s="18">
        <f t="shared" si="0"/>
        <v>4</v>
      </c>
      <c r="D14" s="19" t="s">
        <v>429</v>
      </c>
      <c r="E14" s="20"/>
      <c r="F14" s="90"/>
      <c r="G14" s="457">
        <v>1.18</v>
      </c>
      <c r="H14" s="39">
        <f>'B-12 Determinants'!F18</f>
        <v>58383.461870000021</v>
      </c>
      <c r="I14" s="39">
        <f>G14*H14/1000</f>
        <v>68.892485006600026</v>
      </c>
      <c r="J14" s="97"/>
      <c r="K14" s="90"/>
      <c r="L14" s="182">
        <f>'B-8 DTS Rate'!T14</f>
        <v>1.22</v>
      </c>
      <c r="M14" s="39">
        <f>'B-12 Determinants'!$F$18</f>
        <v>58383.461870000021</v>
      </c>
      <c r="N14" s="39">
        <f>L14*M14/1000</f>
        <v>71.227823481400023</v>
      </c>
      <c r="O14" s="20"/>
      <c r="P14" s="90"/>
      <c r="Q14" s="157">
        <f t="shared" ref="Q14:Q21" si="1">N14-I14</f>
        <v>2.3353384747999968</v>
      </c>
      <c r="R14" s="53">
        <f t="shared" ref="R14:R21" si="2">Q14/I14</f>
        <v>3.38983050847457E-2</v>
      </c>
      <c r="S14" s="60"/>
      <c r="T14" s="53"/>
    </row>
    <row r="15" spans="1:20" s="19" customFormat="1">
      <c r="A15" s="18">
        <f t="shared" si="0"/>
        <v>5</v>
      </c>
      <c r="D15" s="19" t="s">
        <v>430</v>
      </c>
      <c r="E15" s="20"/>
      <c r="F15" s="90"/>
      <c r="G15" s="457">
        <v>2844</v>
      </c>
      <c r="H15" s="39">
        <f>'B-12 Determinants'!F12</f>
        <v>162554.17326330891</v>
      </c>
      <c r="I15" s="62">
        <f>G15*H15/1000000</f>
        <v>462.30406876085056</v>
      </c>
      <c r="J15" s="97"/>
      <c r="K15" s="90"/>
      <c r="L15" s="182">
        <f>'B-8 DTS Rate'!T16</f>
        <v>2841</v>
      </c>
      <c r="M15" s="39">
        <f>'B-12 Determinants'!F12</f>
        <v>162554.17326330891</v>
      </c>
      <c r="N15" s="174">
        <f>L15*M15/1000000</f>
        <v>461.81640624106063</v>
      </c>
      <c r="O15" s="20"/>
      <c r="P15" s="90"/>
      <c r="Q15" s="157">
        <f t="shared" si="1"/>
        <v>-0.48766251978992159</v>
      </c>
      <c r="R15" s="53">
        <f t="shared" si="2"/>
        <v>-1.0548523206750943E-3</v>
      </c>
      <c r="S15" s="60"/>
      <c r="T15" s="53"/>
    </row>
    <row r="16" spans="1:20" s="19" customFormat="1">
      <c r="A16" s="18">
        <f t="shared" si="0"/>
        <v>6</v>
      </c>
      <c r="D16" s="19" t="s">
        <v>431</v>
      </c>
      <c r="E16" s="20"/>
      <c r="F16" s="90"/>
      <c r="G16" s="457">
        <v>0.9</v>
      </c>
      <c r="H16" s="39">
        <f>'B-12 Determinants'!F18</f>
        <v>58383.461870000021</v>
      </c>
      <c r="I16" s="39">
        <f>G16*H16/1000</f>
        <v>52.54511568300002</v>
      </c>
      <c r="J16" s="20"/>
      <c r="K16" s="90"/>
      <c r="L16" s="182">
        <f>'B-8 DTS Rate'!T17</f>
        <v>0.92</v>
      </c>
      <c r="M16" s="39">
        <f>'B-12 Determinants'!F18</f>
        <v>58383.461870000021</v>
      </c>
      <c r="N16" s="39">
        <f>L16*M16/1000</f>
        <v>53.712784920400026</v>
      </c>
      <c r="O16" s="20"/>
      <c r="P16" s="90"/>
      <c r="Q16" s="157">
        <f t="shared" si="1"/>
        <v>1.1676692374000055</v>
      </c>
      <c r="R16" s="53">
        <f t="shared" si="2"/>
        <v>2.2222222222222317E-2</v>
      </c>
      <c r="S16" s="60"/>
      <c r="T16" s="53"/>
    </row>
    <row r="17" spans="1:22" s="19" customFormat="1">
      <c r="A17" s="18">
        <f>A16+1</f>
        <v>7</v>
      </c>
      <c r="D17" s="19" t="s">
        <v>432</v>
      </c>
      <c r="E17" s="20"/>
      <c r="F17" s="90"/>
      <c r="G17" s="457">
        <v>14728</v>
      </c>
      <c r="H17" s="39">
        <f>'B-12 Determinants'!F19</f>
        <v>5399.2447429544081</v>
      </c>
      <c r="I17" s="62">
        <f>G17*H17/1000000</f>
        <v>79.520076574232519</v>
      </c>
      <c r="J17" s="20"/>
      <c r="K17" s="90"/>
      <c r="L17" s="41">
        <f>'B-8 DTS Rate'!T19</f>
        <v>14641</v>
      </c>
      <c r="M17" s="39">
        <f>'B-12 Determinants'!F19</f>
        <v>5399.2447429544081</v>
      </c>
      <c r="N17" s="62">
        <f>L17*M17/1000000</f>
        <v>79.050342281595476</v>
      </c>
      <c r="O17" s="20"/>
      <c r="P17" s="90"/>
      <c r="Q17" s="157">
        <f t="shared" si="1"/>
        <v>-0.46973429263704247</v>
      </c>
      <c r="R17" s="53">
        <f t="shared" si="2"/>
        <v>-5.9071156979903358E-3</v>
      </c>
      <c r="S17" s="60"/>
      <c r="T17" s="53"/>
    </row>
    <row r="18" spans="1:22" s="19" customFormat="1">
      <c r="A18" s="18">
        <f>A17+1</f>
        <v>8</v>
      </c>
      <c r="D18" s="19" t="s">
        <v>433</v>
      </c>
      <c r="E18" s="20"/>
      <c r="F18" s="90"/>
      <c r="G18" s="457">
        <v>4847</v>
      </c>
      <c r="H18" s="39">
        <f>'B-12 Determinants'!F13</f>
        <v>37012.580966429217</v>
      </c>
      <c r="I18" s="106">
        <f>G18*H18/1000000</f>
        <v>179.39997994428242</v>
      </c>
      <c r="J18" s="20"/>
      <c r="K18" s="90"/>
      <c r="L18" s="41">
        <f>'B-8 DTS Rate'!T20</f>
        <v>4819</v>
      </c>
      <c r="M18" s="39">
        <f>'B-12 Determinants'!F13</f>
        <v>37012.580966429217</v>
      </c>
      <c r="N18" s="62">
        <f>L18*M18/1000000</f>
        <v>178.36362767722241</v>
      </c>
      <c r="O18" s="20"/>
      <c r="P18" s="90"/>
      <c r="Q18" s="157">
        <f t="shared" si="1"/>
        <v>-1.0363522670600105</v>
      </c>
      <c r="R18" s="53">
        <f t="shared" si="2"/>
        <v>-5.7767691355477191E-3</v>
      </c>
      <c r="S18" s="60"/>
      <c r="T18" s="53"/>
    </row>
    <row r="19" spans="1:22" s="19" customFormat="1">
      <c r="A19" s="18">
        <f t="shared" si="0"/>
        <v>9</v>
      </c>
      <c r="D19" s="19" t="s">
        <v>434</v>
      </c>
      <c r="E19" s="20"/>
      <c r="F19" s="90"/>
      <c r="G19" s="457">
        <v>2875</v>
      </c>
      <c r="H19" s="39">
        <f>'B-12 Determinants'!F14</f>
        <v>35260.890947382941</v>
      </c>
      <c r="I19" s="106">
        <f>G19*H19/1000000</f>
        <v>101.37506147372596</v>
      </c>
      <c r="J19" s="20"/>
      <c r="K19" s="90"/>
      <c r="L19" s="41">
        <f>'B-8 DTS Rate'!T21</f>
        <v>2858</v>
      </c>
      <c r="M19" s="39">
        <f>'B-12 Determinants'!F14</f>
        <v>35260.890947382941</v>
      </c>
      <c r="N19" s="62">
        <f>L19*M19/1000000</f>
        <v>100.77562632762044</v>
      </c>
      <c r="O19" s="20"/>
      <c r="P19" s="90"/>
      <c r="Q19" s="157">
        <f t="shared" si="1"/>
        <v>-0.59943514610552029</v>
      </c>
      <c r="R19" s="53">
        <f t="shared" si="2"/>
        <v>-5.9130434782609705E-3</v>
      </c>
      <c r="S19" s="60"/>
      <c r="T19" s="53"/>
    </row>
    <row r="20" spans="1:22" s="19" customFormat="1">
      <c r="A20" s="18">
        <f t="shared" si="0"/>
        <v>10</v>
      </c>
      <c r="D20" s="19" t="s">
        <v>435</v>
      </c>
      <c r="E20" s="20"/>
      <c r="F20" s="90"/>
      <c r="G20" s="457">
        <v>1924</v>
      </c>
      <c r="H20" s="39">
        <f>'B-12 Determinants'!F15</f>
        <v>45248.475050063505</v>
      </c>
      <c r="I20" s="106">
        <f>G20*H20/1000000</f>
        <v>87.058065996322185</v>
      </c>
      <c r="J20" s="20"/>
      <c r="K20" s="90"/>
      <c r="L20" s="41">
        <f>'B-8 DTS Rate'!T22</f>
        <v>1913</v>
      </c>
      <c r="M20" s="39">
        <f>'B-12 Determinants'!F15</f>
        <v>45248.475050063505</v>
      </c>
      <c r="N20" s="62">
        <f>L20*M20/1000000</f>
        <v>86.560332770771495</v>
      </c>
      <c r="O20" s="20"/>
      <c r="P20" s="90"/>
      <c r="Q20" s="157">
        <f t="shared" si="1"/>
        <v>-0.49773322555068944</v>
      </c>
      <c r="R20" s="53">
        <f t="shared" si="2"/>
        <v>-5.7172557172556126E-3</v>
      </c>
      <c r="S20" s="60"/>
      <c r="T20" s="408"/>
    </row>
    <row r="21" spans="1:22" s="19" customFormat="1">
      <c r="A21" s="18">
        <f t="shared" si="0"/>
        <v>11</v>
      </c>
      <c r="D21" s="19" t="s">
        <v>436</v>
      </c>
      <c r="E21" s="20"/>
      <c r="F21" s="90"/>
      <c r="G21" s="457">
        <v>1185</v>
      </c>
      <c r="H21" s="39">
        <f>'B-12 Determinants'!F16</f>
        <v>45032.22629943322</v>
      </c>
      <c r="I21" s="106">
        <f>G21*H21/1000000</f>
        <v>53.363188164828365</v>
      </c>
      <c r="J21" s="20"/>
      <c r="K21" s="90"/>
      <c r="L21" s="41">
        <f>'B-8 DTS Rate'!T23</f>
        <v>1178</v>
      </c>
      <c r="M21" s="39">
        <f>'B-12 Determinants'!F16</f>
        <v>45032.22629943322</v>
      </c>
      <c r="N21" s="62">
        <f>L21*M21/1000000</f>
        <v>53.047962580732332</v>
      </c>
      <c r="O21" s="20"/>
      <c r="P21" s="90"/>
      <c r="Q21" s="157">
        <f t="shared" si="1"/>
        <v>-0.31522558409603363</v>
      </c>
      <c r="R21" s="53">
        <f t="shared" si="2"/>
        <v>-5.9071729957806112E-3</v>
      </c>
      <c r="S21" s="60"/>
      <c r="T21" s="53"/>
      <c r="U21" s="10"/>
    </row>
    <row r="22" spans="1:22" s="19" customFormat="1">
      <c r="A22" s="18">
        <f>A21+1</f>
        <v>12</v>
      </c>
      <c r="D22" s="10" t="s">
        <v>437</v>
      </c>
      <c r="E22" s="20"/>
      <c r="F22" s="90"/>
      <c r="G22" s="158" t="s">
        <v>402</v>
      </c>
      <c r="H22" s="158" t="s">
        <v>402</v>
      </c>
      <c r="I22" s="589">
        <f>SUM(I13:I21)</f>
        <v>2092.5557859286941</v>
      </c>
      <c r="J22" s="20"/>
      <c r="K22" s="90"/>
      <c r="L22" s="158" t="s">
        <v>402</v>
      </c>
      <c r="M22" s="158" t="s">
        <v>402</v>
      </c>
      <c r="N22" s="589">
        <f>SUM(N13:N21)</f>
        <v>2098.1395294723675</v>
      </c>
      <c r="O22" s="20"/>
      <c r="P22" s="90"/>
      <c r="Q22" s="590">
        <f>N22-I22</f>
        <v>5.5837435436733358</v>
      </c>
      <c r="R22" s="591">
        <f>Q22/I22</f>
        <v>2.6683845569236389E-3</v>
      </c>
      <c r="S22" s="60"/>
      <c r="T22" s="408"/>
    </row>
    <row r="23" spans="1:22" s="19" customFormat="1">
      <c r="A23" s="18">
        <f t="shared" si="0"/>
        <v>13</v>
      </c>
      <c r="C23" s="10" t="s">
        <v>438</v>
      </c>
      <c r="E23" s="20"/>
      <c r="F23" s="90"/>
      <c r="G23" s="458">
        <v>5.1799999999999999E-2</v>
      </c>
      <c r="H23" s="39">
        <f>'B-12 Determinants'!F18</f>
        <v>58383.461870000021</v>
      </c>
      <c r="I23" s="39">
        <f>G23*'B-12 Determinants'!$F$20*H23/1000</f>
        <v>252.28404656032183</v>
      </c>
      <c r="J23" s="20"/>
      <c r="K23" s="90"/>
      <c r="L23" s="54">
        <f>'B-8 DTS Rate'!T25</f>
        <v>7.1800000000000003E-2</v>
      </c>
      <c r="M23" s="39">
        <f>'B-12 Determinants'!$F$18</f>
        <v>58383.461870000021</v>
      </c>
      <c r="N23" s="39">
        <f>L23*'B-12 Determinants'!$F$20*M23/1000</f>
        <v>349.69101434422987</v>
      </c>
      <c r="O23" s="97"/>
      <c r="P23" s="90"/>
      <c r="Q23" s="39">
        <f>N23-I23</f>
        <v>97.406967783908044</v>
      </c>
      <c r="R23" s="53">
        <f>Q23/I23</f>
        <v>0.38610038610038611</v>
      </c>
      <c r="S23" s="60"/>
      <c r="T23" s="475"/>
    </row>
    <row r="24" spans="1:22" s="19" customFormat="1">
      <c r="A24" s="18">
        <f t="shared" si="0"/>
        <v>14</v>
      </c>
      <c r="C24" s="10" t="s">
        <v>439</v>
      </c>
      <c r="E24" s="20"/>
      <c r="F24" s="90"/>
      <c r="G24" s="459">
        <v>1.7000000000000001E-2</v>
      </c>
      <c r="H24" s="39">
        <f>'B-12 Determinants'!F18</f>
        <v>58383.461870000021</v>
      </c>
      <c r="I24" s="39">
        <f>G24*H24/1000</f>
        <v>0.99251885179000043</v>
      </c>
      <c r="J24" s="20"/>
      <c r="K24" s="90"/>
      <c r="L24" s="496">
        <f>'B-8 DTS Rate'!T27</f>
        <v>6.9000000000000006E-2</v>
      </c>
      <c r="M24" s="39">
        <f>'B-12 Determinants'!F18</f>
        <v>58383.461870000021</v>
      </c>
      <c r="N24" s="39">
        <f>L24*M24/1000</f>
        <v>4.0284588690300023</v>
      </c>
      <c r="O24" s="97"/>
      <c r="P24" s="90"/>
      <c r="Q24" s="39">
        <f>N24-I24</f>
        <v>3.035940017240002</v>
      </c>
      <c r="R24" s="53">
        <f>Q24/I24</f>
        <v>3.0588235294117654</v>
      </c>
      <c r="S24" s="60"/>
      <c r="T24" s="408"/>
    </row>
    <row r="25" spans="1:22" s="19" customFormat="1">
      <c r="A25" s="18">
        <f t="shared" si="0"/>
        <v>15</v>
      </c>
      <c r="C25" s="10" t="s">
        <v>440</v>
      </c>
      <c r="E25" s="20"/>
      <c r="F25" s="90"/>
      <c r="G25" s="457">
        <v>0.09</v>
      </c>
      <c r="H25" s="39">
        <f>'B-12 Determinants'!F18</f>
        <v>58383.461870000021</v>
      </c>
      <c r="I25" s="39">
        <f>G25*H25/1000</f>
        <v>5.2545115683000017</v>
      </c>
      <c r="J25" s="20"/>
      <c r="K25" s="90"/>
      <c r="L25" s="41">
        <f>'B-8 DTS Rate'!T29</f>
        <v>0.06</v>
      </c>
      <c r="M25" s="39">
        <f>'B-12 Determinants'!$F$18</f>
        <v>58383.461870000021</v>
      </c>
      <c r="N25" s="39">
        <f>L25*M25/1000</f>
        <v>3.503007712200001</v>
      </c>
      <c r="O25" s="97"/>
      <c r="P25" s="90"/>
      <c r="Q25" s="39">
        <f>N25-I25</f>
        <v>-1.7515038561000007</v>
      </c>
      <c r="R25" s="53">
        <f>IF(I25=0,0,Q25/I25)</f>
        <v>-0.33333333333333337</v>
      </c>
      <c r="T25" s="53"/>
    </row>
    <row r="26" spans="1:22" s="19" customFormat="1">
      <c r="A26" s="18">
        <f t="shared" si="0"/>
        <v>16</v>
      </c>
      <c r="C26" s="19" t="s">
        <v>441</v>
      </c>
      <c r="E26" s="20"/>
      <c r="F26" s="90"/>
      <c r="G26" s="457">
        <v>24</v>
      </c>
      <c r="H26" s="39">
        <f>'B-12 Determinants'!F17</f>
        <v>123610.87765083477</v>
      </c>
      <c r="I26" s="39">
        <f>G26*H26/1000000</f>
        <v>2.9666610636200348</v>
      </c>
      <c r="J26" s="20"/>
      <c r="K26" s="90"/>
      <c r="L26" s="41">
        <f>'B-8 DTS Rate'!T31</f>
        <v>52</v>
      </c>
      <c r="M26" s="39">
        <f>'B-12 Determinants'!F17</f>
        <v>123610.87765083477</v>
      </c>
      <c r="N26" s="39">
        <f>L26*M26/1000000</f>
        <v>6.4277656378434074</v>
      </c>
      <c r="O26" s="20"/>
      <c r="P26" s="90"/>
      <c r="Q26" s="39">
        <f>N26-I26</f>
        <v>3.4611045742233726</v>
      </c>
      <c r="R26" s="53">
        <f>Q26/I26</f>
        <v>1.1666666666666663</v>
      </c>
      <c r="T26" s="53"/>
    </row>
    <row r="27" spans="1:22" s="24" customFormat="1">
      <c r="A27" s="18">
        <f t="shared" si="0"/>
        <v>17</v>
      </c>
      <c r="C27" s="12" t="s">
        <v>321</v>
      </c>
      <c r="D27" s="12"/>
      <c r="E27" s="17"/>
      <c r="F27" s="88"/>
      <c r="G27" s="40"/>
      <c r="H27" s="42"/>
      <c r="I27" s="562">
        <f>SUM(I22:I26)</f>
        <v>2354.053523972726</v>
      </c>
      <c r="J27" s="17"/>
      <c r="K27" s="88"/>
      <c r="L27" s="40"/>
      <c r="M27" s="42"/>
      <c r="N27" s="562">
        <f>SUM(N22:N26)</f>
        <v>2461.7897760356709</v>
      </c>
      <c r="O27" s="17"/>
      <c r="P27" s="88"/>
      <c r="Q27" s="562">
        <f>SUM(Q22:Q26)</f>
        <v>107.73625206294476</v>
      </c>
      <c r="R27" s="572">
        <f>Q27/I27</f>
        <v>4.5766271227821488E-2</v>
      </c>
      <c r="T27" s="510"/>
      <c r="V27" s="202"/>
    </row>
    <row r="28" spans="1:22" ht="18.95" customHeight="1">
      <c r="A28" s="18">
        <f t="shared" si="0"/>
        <v>18</v>
      </c>
      <c r="C28" s="2" t="s">
        <v>442</v>
      </c>
      <c r="D28" s="2"/>
      <c r="E28" s="16"/>
      <c r="F28" s="87"/>
      <c r="G28" s="28"/>
      <c r="H28" s="28"/>
      <c r="I28" s="28"/>
      <c r="J28" s="16"/>
      <c r="K28" s="87"/>
      <c r="L28" s="28"/>
      <c r="M28" s="28"/>
      <c r="N28" s="28"/>
      <c r="O28" s="16"/>
      <c r="P28" s="87"/>
      <c r="Q28" s="28"/>
      <c r="R28" s="28"/>
      <c r="T28" s="53"/>
    </row>
    <row r="29" spans="1:22" s="19" customFormat="1">
      <c r="A29" s="18">
        <f t="shared" si="0"/>
        <v>19</v>
      </c>
      <c r="C29" s="19" t="s">
        <v>443</v>
      </c>
      <c r="E29" s="20"/>
      <c r="F29" s="90"/>
      <c r="G29" s="458">
        <v>2.9100000000000001E-2</v>
      </c>
      <c r="H29" s="39">
        <f>'B-12 Determinants'!J18</f>
        <v>58383.461870000021</v>
      </c>
      <c r="I29" s="39">
        <f>G29*'B-12 Determinants'!J20*H29/1000</f>
        <v>141.72713812558621</v>
      </c>
      <c r="J29" s="20"/>
      <c r="K29" s="90"/>
      <c r="L29" s="54">
        <f>'B-10 STS Rate'!T12</f>
        <v>3.44E-2</v>
      </c>
      <c r="M29" s="39">
        <f>'B-12 Determinants'!$J$18</f>
        <v>58383.461870000021</v>
      </c>
      <c r="N29" s="143">
        <f>L29*'B-12 Determinants'!$F$20*M29/1000</f>
        <v>167.53998458832183</v>
      </c>
      <c r="O29" s="20"/>
      <c r="P29" s="90"/>
      <c r="Q29" s="143">
        <f>N29-I29</f>
        <v>25.812846462735621</v>
      </c>
      <c r="R29" s="53">
        <f>Q29/I29</f>
        <v>0.18213058419243977</v>
      </c>
      <c r="T29" s="53"/>
    </row>
    <row r="30" spans="1:22" s="19" customFormat="1">
      <c r="A30" s="18">
        <f t="shared" si="0"/>
        <v>20</v>
      </c>
      <c r="C30" s="19" t="s">
        <v>444</v>
      </c>
      <c r="E30" s="20"/>
      <c r="F30" s="90"/>
      <c r="G30" s="460">
        <v>0</v>
      </c>
      <c r="H30" s="39">
        <f>'B-12 Determinants'!J21</f>
        <v>0</v>
      </c>
      <c r="I30" s="39">
        <f>G30*H30/1000000</f>
        <v>0</v>
      </c>
      <c r="J30" s="20"/>
      <c r="K30" s="90"/>
      <c r="L30" s="41">
        <f>'B-10 STS Rate'!T14</f>
        <v>0</v>
      </c>
      <c r="M30" s="39">
        <f>'B-12 Determinants'!J21</f>
        <v>0</v>
      </c>
      <c r="N30" s="39">
        <f>L30*M30/1000000</f>
        <v>0</v>
      </c>
      <c r="O30" s="20"/>
      <c r="P30" s="90"/>
      <c r="Q30" s="39">
        <f>N30-I30</f>
        <v>0</v>
      </c>
      <c r="R30" s="53">
        <f>IFERROR(Q30/I30,0)</f>
        <v>0</v>
      </c>
      <c r="T30" s="53"/>
    </row>
    <row r="31" spans="1:22" s="24" customFormat="1" ht="19.350000000000001" customHeight="1">
      <c r="A31" s="18">
        <f t="shared" si="0"/>
        <v>21</v>
      </c>
      <c r="C31" s="12" t="s">
        <v>445</v>
      </c>
      <c r="D31" s="12"/>
      <c r="E31" s="17"/>
      <c r="F31" s="88"/>
      <c r="G31" s="40"/>
      <c r="H31" s="42"/>
      <c r="I31" s="562">
        <f>SUM(I29:I30)</f>
        <v>141.72713812558621</v>
      </c>
      <c r="J31" s="17"/>
      <c r="K31" s="88"/>
      <c r="L31" s="40"/>
      <c r="M31" s="42"/>
      <c r="N31" s="562">
        <f>SUM(N29:N30)</f>
        <v>167.53998458832183</v>
      </c>
      <c r="O31" s="17"/>
      <c r="P31" s="88"/>
      <c r="Q31" s="562">
        <f>SUM(Q28:Q30)</f>
        <v>25.812846462735621</v>
      </c>
      <c r="R31" s="572">
        <f>Q31/I31</f>
        <v>0.18213058419243977</v>
      </c>
      <c r="T31" s="53"/>
    </row>
    <row r="32" spans="1:22" ht="19.350000000000001" customHeight="1">
      <c r="A32" s="18">
        <f t="shared" si="0"/>
        <v>22</v>
      </c>
      <c r="C32" s="2" t="s">
        <v>446</v>
      </c>
      <c r="D32" s="2"/>
      <c r="E32" s="21"/>
      <c r="F32" s="89"/>
      <c r="G32" s="84"/>
      <c r="H32" s="95"/>
      <c r="I32" s="364">
        <f>SUM(I27,I31)</f>
        <v>2495.7806620983124</v>
      </c>
      <c r="J32" s="21"/>
      <c r="K32" s="89"/>
      <c r="L32" s="84"/>
      <c r="M32" s="95"/>
      <c r="N32" s="364">
        <f>SUM(N27,N31)</f>
        <v>2629.3297606239926</v>
      </c>
      <c r="O32" s="93"/>
      <c r="P32" s="94"/>
      <c r="Q32" s="364">
        <f>SUM(Q27,Q31)</f>
        <v>133.54909852568039</v>
      </c>
      <c r="R32" s="503">
        <f>Q32/I32</f>
        <v>5.3509950034391164E-2</v>
      </c>
      <c r="T32" s="53"/>
    </row>
    <row r="33" spans="1:18" s="10" customFormat="1" ht="12.75" customHeight="1">
      <c r="A33" s="18"/>
      <c r="C33" s="11"/>
      <c r="D33" s="11"/>
      <c r="E33" s="15"/>
      <c r="F33" s="15"/>
      <c r="G33" s="45"/>
      <c r="H33" s="46"/>
      <c r="I33" s="45"/>
      <c r="J33" s="15"/>
      <c r="K33" s="15"/>
      <c r="L33" s="45"/>
      <c r="M33" s="46"/>
      <c r="N33" s="45"/>
      <c r="O33" s="25"/>
      <c r="P33" s="25"/>
      <c r="Q33" s="45"/>
      <c r="R33" s="98"/>
    </row>
    <row r="34" spans="1:18">
      <c r="A34" s="43" t="s">
        <v>174</v>
      </c>
      <c r="B34" s="72"/>
      <c r="C34" s="71" t="s">
        <v>277</v>
      </c>
      <c r="D34" t="s">
        <v>447</v>
      </c>
      <c r="G34" s="44"/>
    </row>
    <row r="35" spans="1:18">
      <c r="A35" s="43"/>
      <c r="B35" s="72"/>
      <c r="C35" s="71"/>
      <c r="D35" t="s">
        <v>448</v>
      </c>
      <c r="G35" s="44"/>
    </row>
    <row r="36" spans="1:18">
      <c r="B36" s="72"/>
      <c r="C36" s="71" t="s">
        <v>280</v>
      </c>
      <c r="D36" s="345" t="str">
        <f>"The 2024 ISO Tariff pool price is the 2024 BDP forecast pool price for 2024,  "&amp;DOLLAR('B-12 Determinants'!$J$20,2)&amp;"/MWh"</f>
        <v>The 2024 ISO Tariff pool price is the 2024 BDP forecast pool price for 2024,  $83.42/MWh</v>
      </c>
    </row>
    <row r="37" spans="1:18">
      <c r="B37" s="72"/>
      <c r="C37" s="71" t="s">
        <v>282</v>
      </c>
      <c r="D37" t="s">
        <v>449</v>
      </c>
    </row>
  </sheetData>
  <phoneticPr fontId="14" type="noConversion"/>
  <printOptions horizontalCentered="1"/>
  <pageMargins left="0.75" right="0.5" top="0.75" bottom="0.5" header="0.5" footer="0.5"/>
  <pageSetup fitToHeight="0" orientation="landscape" r:id="rId1"/>
  <headerFooter alignWithMargins="0">
    <oddFooter>&amp;L&amp;A&amp;CConfidentiality: Public&amp;R&amp;P of &amp;N</oddFooter>
  </headerFooter>
  <ignoredErrors>
    <ignoredError sqref="I14 I16 H15"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8"/>
  <sheetViews>
    <sheetView showGridLines="0" zoomScaleNormal="100" workbookViewId="0">
      <selection activeCell="V22" sqref="V22"/>
    </sheetView>
  </sheetViews>
  <sheetFormatPr defaultRowHeight="12.75"/>
  <cols>
    <col min="1" max="1" width="4.83203125" customWidth="1"/>
    <col min="2" max="2" width="1.83203125" customWidth="1"/>
    <col min="3" max="3" width="2.83203125" customWidth="1"/>
    <col min="4" max="4" width="30.83203125" customWidth="1"/>
    <col min="5" max="5" width="1.83203125" customWidth="1"/>
    <col min="6" max="6" width="9.83203125" customWidth="1"/>
    <col min="7" max="8" width="1.83203125" customWidth="1"/>
    <col min="9" max="9" width="12.83203125" customWidth="1"/>
    <col min="10" max="10" width="16.83203125" customWidth="1"/>
    <col min="11" max="12" width="1.83203125" customWidth="1"/>
    <col min="13" max="13" width="10.83203125" customWidth="1"/>
    <col min="14" max="14" width="12.83203125" customWidth="1"/>
    <col min="15" max="16" width="1.83203125" customWidth="1"/>
    <col min="17" max="17" width="11.8320312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B-14</v>
      </c>
    </row>
    <row r="2" spans="1:17" s="3" customFormat="1">
      <c r="A2" s="5" t="str">
        <f>Application</f>
        <v>2024 ISO Tariff Update Application</v>
      </c>
      <c r="B2" s="5"/>
      <c r="C2" s="5"/>
      <c r="D2" s="5"/>
      <c r="E2" s="5"/>
      <c r="F2" s="5"/>
      <c r="G2" s="5"/>
      <c r="H2" s="5"/>
      <c r="K2" s="5"/>
      <c r="L2" s="5"/>
      <c r="M2" s="5"/>
      <c r="N2" s="5"/>
      <c r="Q2" s="4" t="str">
        <f>TableDate</f>
        <v>November 16, 2023</v>
      </c>
    </row>
    <row r="4" spans="1:17">
      <c r="A4" s="254" t="str">
        <f>TableGroup1</f>
        <v>Appendix B — 2024 Rate Calculations</v>
      </c>
      <c r="B4" s="6"/>
      <c r="C4" s="6"/>
      <c r="D4" s="6"/>
      <c r="E4" s="6"/>
      <c r="F4" s="6"/>
      <c r="G4" s="6"/>
      <c r="H4" s="6"/>
      <c r="I4" s="6"/>
      <c r="J4" s="6"/>
      <c r="K4" s="6"/>
      <c r="L4" s="6"/>
      <c r="M4" s="6"/>
      <c r="N4" s="6"/>
      <c r="O4" s="6"/>
      <c r="P4" s="6"/>
      <c r="Q4" s="6"/>
    </row>
    <row r="5" spans="1:17">
      <c r="A5" s="6" t="s">
        <v>29</v>
      </c>
      <c r="B5" s="6"/>
      <c r="C5" s="6"/>
      <c r="D5" s="6"/>
      <c r="E5" s="6"/>
      <c r="F5" s="6"/>
      <c r="G5" s="6"/>
      <c r="H5" s="6"/>
      <c r="I5" s="6"/>
      <c r="J5" s="6"/>
      <c r="K5" s="6"/>
      <c r="L5" s="6"/>
      <c r="M5" s="6"/>
      <c r="N5" s="6"/>
      <c r="O5" s="6"/>
      <c r="P5" s="6"/>
      <c r="Q5" s="6"/>
    </row>
    <row r="6" spans="1:17">
      <c r="I6" s="71"/>
    </row>
    <row r="7" spans="1:17" s="195" customFormat="1">
      <c r="I7" s="195" t="s">
        <v>35</v>
      </c>
      <c r="J7" s="195" t="s">
        <v>36</v>
      </c>
      <c r="M7" s="195" t="s">
        <v>37</v>
      </c>
      <c r="N7" s="195" t="s">
        <v>38</v>
      </c>
      <c r="Q7" s="195" t="s">
        <v>119</v>
      </c>
    </row>
    <row r="8" spans="1:17" s="1" customFormat="1"/>
    <row r="9" spans="1:17" s="47" customFormat="1">
      <c r="A9" s="47" t="s">
        <v>248</v>
      </c>
      <c r="F9" s="47" t="s">
        <v>450</v>
      </c>
      <c r="H9" s="125"/>
      <c r="I9" s="34" t="s">
        <v>204</v>
      </c>
      <c r="J9" s="34"/>
      <c r="L9" s="125"/>
      <c r="M9" s="34" t="s">
        <v>324</v>
      </c>
      <c r="N9" s="34"/>
      <c r="P9" s="125"/>
      <c r="Q9" s="132" t="s">
        <v>451</v>
      </c>
    </row>
    <row r="10" spans="1:17" s="36" customFormat="1">
      <c r="A10" s="35"/>
      <c r="C10" s="37" t="s">
        <v>42</v>
      </c>
      <c r="D10" s="37"/>
      <c r="F10" s="35" t="s">
        <v>249</v>
      </c>
      <c r="H10" s="78"/>
      <c r="I10" s="322" t="s">
        <v>237</v>
      </c>
      <c r="J10" s="322" t="s">
        <v>326</v>
      </c>
      <c r="L10" s="78"/>
      <c r="M10" s="322" t="s">
        <v>325</v>
      </c>
      <c r="N10" s="322" t="s">
        <v>326</v>
      </c>
      <c r="P10" s="78"/>
      <c r="Q10" s="124" t="s">
        <v>452</v>
      </c>
    </row>
    <row r="11" spans="1:17" ht="18.95" customHeight="1">
      <c r="A11" s="7">
        <v>1</v>
      </c>
      <c r="C11" s="2" t="s">
        <v>453</v>
      </c>
      <c r="D11" s="2"/>
      <c r="E11" s="16"/>
      <c r="F11" s="576"/>
      <c r="G11" s="16"/>
      <c r="H11" s="87"/>
      <c r="I11" s="28"/>
      <c r="J11" s="126"/>
      <c r="K11" s="16"/>
      <c r="L11" s="87"/>
      <c r="M11" s="28"/>
      <c r="N11" s="126"/>
      <c r="O11" s="16"/>
      <c r="P11" s="87"/>
      <c r="Q11" s="28"/>
    </row>
    <row r="12" spans="1:17" s="3" customFormat="1">
      <c r="A12" s="145">
        <f t="shared" ref="A12:A25" si="0">A11+1</f>
        <v>2</v>
      </c>
      <c r="C12" t="s">
        <v>328</v>
      </c>
      <c r="E12" s="150"/>
      <c r="F12" s="58" t="s">
        <v>299</v>
      </c>
      <c r="G12" s="150"/>
      <c r="H12" s="151"/>
      <c r="I12" s="152">
        <f>'B-8 DTS Rate'!T13</f>
        <v>10899</v>
      </c>
      <c r="J12" s="153" t="s">
        <v>330</v>
      </c>
      <c r="K12" s="150"/>
      <c r="L12" s="151"/>
      <c r="M12" s="197">
        <f>'B-15 FTS Determinants'!F11</f>
        <v>55.207841999999999</v>
      </c>
      <c r="N12" s="155" t="str">
        <f>'B-15 FTS Determinants'!G12</f>
        <v>MW-months</v>
      </c>
      <c r="O12" s="150"/>
      <c r="P12" s="151"/>
      <c r="Q12" s="198">
        <f>I12*M12/1000</f>
        <v>601.71026995800003</v>
      </c>
    </row>
    <row r="13" spans="1:17" s="19" customFormat="1">
      <c r="A13" s="18">
        <f t="shared" si="0"/>
        <v>3</v>
      </c>
      <c r="C13" t="s">
        <v>331</v>
      </c>
      <c r="E13" s="20"/>
      <c r="F13" s="55" t="s">
        <v>300</v>
      </c>
      <c r="G13" s="20"/>
      <c r="H13" s="90"/>
      <c r="I13" s="109">
        <f>'B-8 DTS Rate'!T14</f>
        <v>1.22</v>
      </c>
      <c r="J13" s="110" t="s">
        <v>332</v>
      </c>
      <c r="K13" s="20"/>
      <c r="L13" s="90"/>
      <c r="M13" s="62">
        <f>'B-15 FTS Determinants'!F14</f>
        <v>26.085121337499999</v>
      </c>
      <c r="N13" s="107" t="str">
        <f>'B-15 FTS Determinants'!G14</f>
        <v>GWh</v>
      </c>
      <c r="O13" s="20"/>
      <c r="P13" s="90"/>
      <c r="Q13" s="157">
        <f>I13*M13</f>
        <v>31.823848031749996</v>
      </c>
    </row>
    <row r="14" spans="1:17" ht="18.95" customHeight="1">
      <c r="A14" s="7">
        <f t="shared" si="0"/>
        <v>4</v>
      </c>
      <c r="C14" s="2" t="s">
        <v>454</v>
      </c>
      <c r="D14" s="2"/>
      <c r="E14" s="16"/>
      <c r="F14" s="58"/>
      <c r="G14" s="16"/>
      <c r="H14" s="87"/>
      <c r="I14" s="108"/>
      <c r="J14" s="111"/>
      <c r="K14" s="16"/>
      <c r="L14" s="87"/>
      <c r="M14" s="108"/>
      <c r="N14" s="111"/>
      <c r="O14" s="16"/>
      <c r="P14" s="87"/>
      <c r="Q14" s="108"/>
    </row>
    <row r="15" spans="1:17" s="3" customFormat="1">
      <c r="A15" s="145">
        <f t="shared" si="0"/>
        <v>5</v>
      </c>
      <c r="C15" t="s">
        <v>455</v>
      </c>
      <c r="E15" s="150"/>
      <c r="F15" s="58" t="s">
        <v>456</v>
      </c>
      <c r="G15" s="150"/>
      <c r="H15" s="151"/>
      <c r="I15" s="152">
        <f>M36</f>
        <v>2841</v>
      </c>
      <c r="J15" s="300" t="s">
        <v>330</v>
      </c>
      <c r="K15" s="150"/>
      <c r="L15" s="151"/>
      <c r="M15" s="154">
        <f>'B-15 FTS Determinants'!F12</f>
        <v>415.7999999999999</v>
      </c>
      <c r="N15" s="155" t="str">
        <f>'B-15 FTS Determinants'!G12</f>
        <v>MW-months</v>
      </c>
      <c r="O15" s="150"/>
      <c r="P15" s="151"/>
      <c r="Q15" s="156">
        <f>I15*M15/1000</f>
        <v>1181.2877999999998</v>
      </c>
    </row>
    <row r="16" spans="1:17" s="19" customFormat="1">
      <c r="A16" s="18">
        <f t="shared" si="0"/>
        <v>6</v>
      </c>
      <c r="C16" t="s">
        <v>457</v>
      </c>
      <c r="E16" s="20"/>
      <c r="F16" s="55" t="s">
        <v>456</v>
      </c>
      <c r="G16" s="20"/>
      <c r="H16" s="90"/>
      <c r="I16" s="109">
        <f>M37</f>
        <v>0.92</v>
      </c>
      <c r="J16" s="110" t="s">
        <v>332</v>
      </c>
      <c r="K16" s="20"/>
      <c r="L16" s="90"/>
      <c r="M16" s="62">
        <f>'B-15 FTS Determinants'!F14</f>
        <v>26.085121337499999</v>
      </c>
      <c r="N16" s="107" t="str">
        <f>'B-15 FTS Determinants'!G14</f>
        <v>GWh</v>
      </c>
      <c r="O16" s="20"/>
      <c r="P16" s="90"/>
      <c r="Q16" s="106">
        <f>I16*M16</f>
        <v>23.998311630499998</v>
      </c>
    </row>
    <row r="17" spans="1:17" ht="18.95" customHeight="1">
      <c r="A17" s="7">
        <f t="shared" si="0"/>
        <v>7</v>
      </c>
      <c r="C17" s="2" t="s">
        <v>458</v>
      </c>
      <c r="D17" s="2"/>
      <c r="E17" s="16"/>
      <c r="F17" s="58"/>
      <c r="G17" s="16"/>
      <c r="H17" s="87"/>
      <c r="I17" s="28"/>
      <c r="J17" s="126"/>
      <c r="K17" s="16"/>
      <c r="L17" s="87"/>
      <c r="M17" s="28"/>
      <c r="N17" s="126"/>
      <c r="O17" s="16"/>
      <c r="P17" s="87"/>
      <c r="Q17" s="63"/>
    </row>
    <row r="18" spans="1:17" s="9" customFormat="1">
      <c r="A18" s="8">
        <f t="shared" si="0"/>
        <v>8</v>
      </c>
      <c r="C18" s="9" t="s">
        <v>348</v>
      </c>
      <c r="E18" s="119"/>
      <c r="F18" s="57" t="s">
        <v>314</v>
      </c>
      <c r="G18" s="119"/>
      <c r="H18" s="120"/>
      <c r="I18" s="123">
        <f>'B-8 DTS Rate'!T25</f>
        <v>7.1800000000000003E-2</v>
      </c>
      <c r="J18" s="130" t="s">
        <v>459</v>
      </c>
      <c r="K18" s="119"/>
      <c r="L18" s="120"/>
      <c r="M18" s="122">
        <f>'B-15 FTS Determinants'!F14</f>
        <v>26.085121337499999</v>
      </c>
      <c r="N18" s="127" t="str">
        <f>'B-12 Determinants'!G18</f>
        <v>GWh</v>
      </c>
      <c r="O18" s="119"/>
      <c r="P18" s="120"/>
      <c r="Q18" s="121">
        <f>I18*M18*'B-15 FTS Determinants'!F15</f>
        <v>156.23829501775117</v>
      </c>
    </row>
    <row r="19" spans="1:17" s="9" customFormat="1">
      <c r="A19" s="8">
        <f t="shared" si="0"/>
        <v>9</v>
      </c>
      <c r="C19" s="12" t="s">
        <v>460</v>
      </c>
      <c r="E19" s="119"/>
      <c r="F19" s="57"/>
      <c r="G19" s="119"/>
      <c r="H19" s="120"/>
      <c r="I19" s="123"/>
      <c r="J19" s="130"/>
      <c r="K19" s="119"/>
      <c r="L19" s="120"/>
      <c r="M19" s="122"/>
      <c r="N19" s="127"/>
      <c r="O19" s="119"/>
      <c r="P19" s="120"/>
      <c r="Q19" s="121"/>
    </row>
    <row r="20" spans="1:17" s="9" customFormat="1">
      <c r="A20" s="8">
        <f t="shared" si="0"/>
        <v>10</v>
      </c>
      <c r="C20" s="9" t="s">
        <v>348</v>
      </c>
      <c r="E20" s="119"/>
      <c r="F20" s="326" t="s">
        <v>304</v>
      </c>
      <c r="G20" s="119"/>
      <c r="H20" s="120"/>
      <c r="I20" s="396">
        <f>'B-8 DTS Rate'!T27</f>
        <v>6.9000000000000006E-2</v>
      </c>
      <c r="J20" s="110" t="s">
        <v>332</v>
      </c>
      <c r="K20" s="119"/>
      <c r="L20" s="120"/>
      <c r="M20" s="122">
        <f>'B-15 FTS Determinants'!F14</f>
        <v>26.085121337499999</v>
      </c>
      <c r="N20" s="127" t="str">
        <f>'B-15 FTS Determinants'!G14</f>
        <v>GWh</v>
      </c>
      <c r="O20" s="119"/>
      <c r="P20" s="120"/>
      <c r="Q20" s="116">
        <f>I20*M20</f>
        <v>1.7998733722875</v>
      </c>
    </row>
    <row r="21" spans="1:17" ht="18.95" customHeight="1">
      <c r="A21" s="8">
        <f t="shared" si="0"/>
        <v>11</v>
      </c>
      <c r="C21" s="2" t="s">
        <v>461</v>
      </c>
      <c r="D21" s="2"/>
      <c r="E21" s="16"/>
      <c r="F21" s="58"/>
      <c r="G21" s="16"/>
      <c r="H21" s="87"/>
      <c r="I21" s="108"/>
      <c r="J21" s="111"/>
      <c r="K21" s="16"/>
      <c r="L21" s="87"/>
      <c r="M21" s="28"/>
      <c r="N21" s="126"/>
      <c r="O21" s="16"/>
      <c r="P21" s="87"/>
      <c r="Q21" s="116"/>
    </row>
    <row r="22" spans="1:17" s="24" customFormat="1">
      <c r="A22" s="8">
        <f t="shared" si="0"/>
        <v>12</v>
      </c>
      <c r="C22" s="9" t="s">
        <v>331</v>
      </c>
      <c r="E22" s="114"/>
      <c r="F22" s="326" t="s">
        <v>351</v>
      </c>
      <c r="G22" s="114"/>
      <c r="H22" s="115"/>
      <c r="I22" s="109">
        <f>'B-8 DTS Rate'!T29</f>
        <v>0.06</v>
      </c>
      <c r="J22" s="110" t="s">
        <v>332</v>
      </c>
      <c r="K22" s="114"/>
      <c r="L22" s="115"/>
      <c r="M22" s="117">
        <f>'B-15 FTS Determinants'!F14</f>
        <v>26.085121337499999</v>
      </c>
      <c r="N22" s="118" t="str">
        <f>'B-12 Determinants'!G18</f>
        <v>GWh</v>
      </c>
      <c r="O22" s="114"/>
      <c r="P22" s="115"/>
      <c r="Q22" s="116">
        <f>I22*M22</f>
        <v>1.5651072802499999</v>
      </c>
    </row>
    <row r="23" spans="1:17" ht="18.95" customHeight="1">
      <c r="A23" s="8">
        <f t="shared" si="0"/>
        <v>13</v>
      </c>
      <c r="C23" s="2" t="s">
        <v>462</v>
      </c>
      <c r="D23" s="2"/>
      <c r="E23" s="16"/>
      <c r="F23" s="58"/>
      <c r="G23" s="16"/>
      <c r="H23" s="87"/>
      <c r="I23" s="28"/>
      <c r="J23" s="126"/>
      <c r="K23" s="16"/>
      <c r="L23" s="87"/>
      <c r="M23" s="28"/>
      <c r="N23" s="126"/>
      <c r="O23" s="16"/>
      <c r="P23" s="87"/>
      <c r="Q23" s="63"/>
    </row>
    <row r="24" spans="1:17" s="24" customFormat="1">
      <c r="A24" s="8">
        <f t="shared" si="0"/>
        <v>14</v>
      </c>
      <c r="C24" s="9" t="s">
        <v>352</v>
      </c>
      <c r="E24" s="114"/>
      <c r="F24" s="326" t="s">
        <v>305</v>
      </c>
      <c r="G24" s="114"/>
      <c r="H24" s="115"/>
      <c r="I24" s="109">
        <f>'B-8 DTS Rate'!T31</f>
        <v>52</v>
      </c>
      <c r="J24" s="110" t="s">
        <v>330</v>
      </c>
      <c r="K24" s="114"/>
      <c r="L24" s="115"/>
      <c r="M24" s="117">
        <f>'B-15 FTS Determinants'!$F$13</f>
        <v>182.65233359999999</v>
      </c>
      <c r="N24" s="118" t="str">
        <f>'B-12 Determinants'!G13</f>
        <v>MW-months</v>
      </c>
      <c r="O24" s="114"/>
      <c r="P24" s="115"/>
      <c r="Q24" s="116">
        <f>I24*M24/1000</f>
        <v>9.4979213471999984</v>
      </c>
    </row>
    <row r="25" spans="1:17" ht="19.350000000000001" customHeight="1">
      <c r="A25" s="8">
        <f t="shared" si="0"/>
        <v>15</v>
      </c>
      <c r="C25" s="2" t="s">
        <v>463</v>
      </c>
      <c r="D25" s="2"/>
      <c r="E25" s="21"/>
      <c r="F25" s="92"/>
      <c r="G25" s="21"/>
      <c r="H25" s="94"/>
      <c r="I25" s="84"/>
      <c r="J25" s="128"/>
      <c r="K25" s="21"/>
      <c r="L25" s="94"/>
      <c r="M25" s="84"/>
      <c r="N25" s="128"/>
      <c r="O25" s="21"/>
      <c r="P25" s="94"/>
      <c r="Q25" s="364">
        <f>SUM(Q12:Q24)</f>
        <v>2007.9214266377385</v>
      </c>
    </row>
    <row r="26" spans="1:17" ht="12.75" customHeight="1">
      <c r="A26" s="7"/>
      <c r="C26" s="3"/>
      <c r="D26" s="2"/>
      <c r="E26" s="21"/>
      <c r="F26" s="92"/>
      <c r="G26" s="21"/>
      <c r="H26" s="93"/>
      <c r="I26" s="84"/>
      <c r="J26" s="84"/>
      <c r="K26" s="21"/>
      <c r="L26" s="93"/>
      <c r="M26" s="84"/>
      <c r="N26" s="84"/>
      <c r="O26" s="21"/>
      <c r="P26" s="93"/>
      <c r="Q26" s="84"/>
    </row>
    <row r="27" spans="1:17">
      <c r="A27" s="43" t="s">
        <v>174</v>
      </c>
      <c r="C27" s="133" t="s">
        <v>277</v>
      </c>
      <c r="D27" t="s">
        <v>464</v>
      </c>
    </row>
    <row r="28" spans="1:17">
      <c r="D28" t="s">
        <v>465</v>
      </c>
    </row>
    <row r="29" spans="1:17">
      <c r="D29" t="s">
        <v>466</v>
      </c>
      <c r="I29" s="109">
        <f>'B-8 DTS Rate'!R16</f>
        <v>2633</v>
      </c>
      <c r="J29" s="110" t="s">
        <v>330</v>
      </c>
      <c r="K29" s="134" t="s">
        <v>467</v>
      </c>
      <c r="M29">
        <f>'B-15 FTS Determinants'!F12</f>
        <v>415.7999999999999</v>
      </c>
      <c r="N29" s="107" t="str">
        <f>'B-15 FTS Determinants'!G12</f>
        <v>MW-months</v>
      </c>
      <c r="O29" s="71" t="s">
        <v>468</v>
      </c>
      <c r="Q29" s="204">
        <f>I29*M29</f>
        <v>1094801.3999999997</v>
      </c>
    </row>
    <row r="30" spans="1:17">
      <c r="D30" t="s">
        <v>469</v>
      </c>
      <c r="I30" s="109">
        <f>'B-8 DTS Rate'!R17</f>
        <v>0.86</v>
      </c>
      <c r="J30" s="110" t="s">
        <v>332</v>
      </c>
      <c r="K30" s="134" t="s">
        <v>467</v>
      </c>
      <c r="M30">
        <f>'B-15 FTS Determinants'!F14</f>
        <v>26.085121337499999</v>
      </c>
      <c r="N30" s="118" t="str">
        <f>'B-15 FTS Determinants'!G14</f>
        <v>GWh</v>
      </c>
      <c r="O30" s="71" t="s">
        <v>468</v>
      </c>
      <c r="Q30" s="101">
        <f>I30*M30*1000</f>
        <v>22433.204350249998</v>
      </c>
    </row>
    <row r="31" spans="1:17">
      <c r="D31" t="s">
        <v>470</v>
      </c>
      <c r="Q31" s="592">
        <f>SUM(Q29:Q30)</f>
        <v>1117234.6043502497</v>
      </c>
    </row>
    <row r="32" spans="1:17">
      <c r="D32" t="s">
        <v>471</v>
      </c>
    </row>
    <row r="33" spans="3:14">
      <c r="D33" t="s">
        <v>472</v>
      </c>
    </row>
    <row r="34" spans="3:14">
      <c r="D34" t="s">
        <v>473</v>
      </c>
    </row>
    <row r="35" spans="3:14">
      <c r="I35" s="135" t="s">
        <v>298</v>
      </c>
      <c r="J35" s="135" t="s">
        <v>474</v>
      </c>
      <c r="M35" t="s">
        <v>251</v>
      </c>
      <c r="N35" t="s">
        <v>475</v>
      </c>
    </row>
    <row r="36" spans="3:14">
      <c r="D36" t="s">
        <v>476</v>
      </c>
      <c r="I36" s="136">
        <f>MAX('B-8 DTS Rate'!R16,ROUND((410139*Q29/Q31)/M29,0))</f>
        <v>2633</v>
      </c>
      <c r="J36" s="136">
        <f>'B-8 DTS Rate'!S16</f>
        <v>209</v>
      </c>
      <c r="M36" s="136">
        <f>IF('B-8 DTS Rate'!R16&gt;(410139*Q29/Q31)/M29,'B-8 DTS Rate'!T16,ROUND((((410139*Q29/Q31)/M29)+'B-14 FTS Rate'!J36),0))</f>
        <v>2841</v>
      </c>
      <c r="N36" s="72" t="s">
        <v>330</v>
      </c>
    </row>
    <row r="37" spans="3:14">
      <c r="D37" t="s">
        <v>477</v>
      </c>
      <c r="I37" s="136">
        <f>MAX('B-8 DTS Rate'!R17,ROUND((410139*Q30/Q31)/(M30*1000),2))</f>
        <v>0.86</v>
      </c>
      <c r="J37" s="136">
        <f>'B-8 DTS Rate'!S17</f>
        <v>7.0000000000000007E-2</v>
      </c>
      <c r="M37" s="136">
        <f>MAX('B-8 DTS Rate'!T17,ROUND((410139*Q30/Q31)/(M30*1000),2)+J37)</f>
        <v>0.92</v>
      </c>
      <c r="N37" s="72" t="s">
        <v>332</v>
      </c>
    </row>
    <row r="38" spans="3:14">
      <c r="C38" s="71" t="s">
        <v>280</v>
      </c>
      <c r="D38" s="345" t="str">
        <f>"The 2024 ISO Tariff pool price is the 2024 BDP forecast pool price for 2024,  "&amp;DOLLAR('B-12 Determinants'!$J$20,2)&amp;"/MWh"</f>
        <v>The 2024 ISO Tariff pool price is the 2024 BDP forecast pool price for 2024,  $83.42/MWh</v>
      </c>
    </row>
  </sheetData>
  <phoneticPr fontId="14" type="noConversion"/>
  <printOptions horizontalCentered="1"/>
  <pageMargins left="0.75" right="0.5" top="0.75" bottom="0.5" header="0.5" footer="0.5"/>
  <pageSetup scale="89"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election activeCell="F15" sqref="F15"/>
    </sheetView>
  </sheetViews>
  <sheetFormatPr defaultRowHeight="12.75"/>
  <cols>
    <col min="1" max="1" width="5.83203125" customWidth="1"/>
    <col min="2" max="2" width="1.83203125" customWidth="1"/>
    <col min="3" max="3" width="2.83203125" customWidth="1"/>
    <col min="4" max="4" width="60.83203125" customWidth="1"/>
    <col min="5" max="5" width="1.83203125" customWidth="1"/>
    <col min="6" max="7" width="12.83203125" customWidth="1"/>
  </cols>
  <sheetData>
    <row r="1" spans="1:9" s="3" customFormat="1">
      <c r="A1" s="5" t="str">
        <f>Applicant</f>
        <v>Alberta Electric System Operator</v>
      </c>
      <c r="B1" s="5"/>
      <c r="C1" s="5"/>
      <c r="D1" s="5"/>
      <c r="G1" s="4" t="str">
        <f ca="1">TablePrefix&amp;TRIM(MID(CELL("filename",I2),FIND("]",CELL("filename",I2))+1,5))&amp;TableSuffix</f>
        <v>Table B-15</v>
      </c>
    </row>
    <row r="2" spans="1:9" s="3" customFormat="1">
      <c r="A2" s="5" t="str">
        <f>Application</f>
        <v>2024 ISO Tariff Update Application</v>
      </c>
      <c r="B2" s="5"/>
      <c r="C2" s="5"/>
      <c r="D2" s="5"/>
      <c r="G2" s="4" t="str">
        <f>TableDate</f>
        <v>November 16, 2023</v>
      </c>
    </row>
    <row r="4" spans="1:9">
      <c r="A4" s="254" t="str">
        <f>TableGroup1</f>
        <v>Appendix B — 2024 Rate Calculations</v>
      </c>
      <c r="B4" s="6"/>
      <c r="C4" s="6"/>
      <c r="D4" s="6"/>
      <c r="E4" s="6"/>
      <c r="F4" s="6"/>
      <c r="G4" s="6"/>
    </row>
    <row r="5" spans="1:9">
      <c r="A5" s="6" t="s">
        <v>31</v>
      </c>
      <c r="B5" s="6"/>
      <c r="C5" s="6"/>
      <c r="D5" s="6"/>
      <c r="E5" s="6"/>
      <c r="F5" s="6"/>
      <c r="G5" s="6"/>
    </row>
    <row r="6" spans="1:9">
      <c r="I6" s="71"/>
    </row>
    <row r="7" spans="1:9" s="195" customFormat="1">
      <c r="F7" s="195" t="s">
        <v>35</v>
      </c>
      <c r="G7" s="195" t="s">
        <v>36</v>
      </c>
    </row>
    <row r="9" spans="1:9" s="33" customFormat="1">
      <c r="A9" s="47" t="s">
        <v>248</v>
      </c>
      <c r="F9" s="34" t="s">
        <v>478</v>
      </c>
      <c r="G9" s="34"/>
    </row>
    <row r="10" spans="1:9" s="36" customFormat="1">
      <c r="A10" s="35"/>
      <c r="C10" s="37" t="s">
        <v>397</v>
      </c>
      <c r="D10" s="37"/>
      <c r="F10" s="35" t="s">
        <v>325</v>
      </c>
      <c r="G10" s="322" t="s">
        <v>326</v>
      </c>
    </row>
    <row r="11" spans="1:9" s="19" customFormat="1" ht="25.5" customHeight="1">
      <c r="A11" s="18">
        <v>1</v>
      </c>
      <c r="C11" s="19" t="s">
        <v>479</v>
      </c>
      <c r="F11" s="160">
        <v>55.207841999999999</v>
      </c>
      <c r="G11" s="48" t="s">
        <v>401</v>
      </c>
      <c r="I11" s="10"/>
    </row>
    <row r="12" spans="1:9" s="19" customFormat="1" ht="25.5" customHeight="1">
      <c r="A12" s="18">
        <f>A11+1</f>
        <v>2</v>
      </c>
      <c r="C12" s="19" t="s">
        <v>480</v>
      </c>
      <c r="F12" s="160">
        <v>415.7999999999999</v>
      </c>
      <c r="G12" s="48" t="s">
        <v>401</v>
      </c>
    </row>
    <row r="13" spans="1:9" s="19" customFormat="1" ht="25.5" customHeight="1">
      <c r="A13" s="18">
        <f>A12+1</f>
        <v>3</v>
      </c>
      <c r="C13" s="10" t="s">
        <v>481</v>
      </c>
      <c r="F13" s="453">
        <v>182.65233359999999</v>
      </c>
      <c r="G13" s="48" t="s">
        <v>401</v>
      </c>
    </row>
    <row r="14" spans="1:9" s="19" customFormat="1" ht="25.5" customHeight="1">
      <c r="A14" s="18">
        <f>A13+1</f>
        <v>4</v>
      </c>
      <c r="C14" s="19" t="s">
        <v>409</v>
      </c>
      <c r="F14" s="453">
        <v>26.085121337499999</v>
      </c>
      <c r="G14" s="48" t="s">
        <v>368</v>
      </c>
    </row>
    <row r="15" spans="1:9" s="19" customFormat="1" ht="25.5" customHeight="1">
      <c r="A15" s="18">
        <f>A14+1</f>
        <v>5</v>
      </c>
      <c r="C15" s="19" t="s">
        <v>482</v>
      </c>
      <c r="F15" s="159">
        <f>'B-12 Determinants'!$F$20</f>
        <v>83.42</v>
      </c>
      <c r="G15" s="52" t="s">
        <v>332</v>
      </c>
      <c r="I15" s="10"/>
    </row>
    <row r="16" spans="1:9" s="19" customFormat="1" ht="12.75" customHeight="1">
      <c r="A16" s="18"/>
      <c r="F16" s="50"/>
      <c r="G16" s="48"/>
      <c r="I16" s="10"/>
    </row>
    <row r="17" spans="1:11">
      <c r="A17" t="s">
        <v>197</v>
      </c>
      <c r="C17" s="345" t="str">
        <f>"The 2024 ISO Tariff pool price is the 2024 BDP forecast pool price for 2024,  "&amp;DOLLAR('B-12 Determinants'!$J$20,2)&amp;"/MWh"</f>
        <v>The 2024 ISO Tariff pool price is the 2024 BDP forecast pool price for 2024,  $83.42/MWh</v>
      </c>
      <c r="D17" s="345"/>
      <c r="K17" s="593"/>
    </row>
    <row r="18" spans="1:11">
      <c r="C18" s="10"/>
    </row>
    <row r="19" spans="1:11">
      <c r="K19" s="593"/>
    </row>
    <row r="21" spans="1:11">
      <c r="K21" s="588"/>
    </row>
  </sheetData>
  <phoneticPr fontId="14"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6"/>
  <sheetViews>
    <sheetView showGridLines="0" zoomScaleNormal="100" workbookViewId="0">
      <selection activeCell="J76" sqref="J76"/>
    </sheetView>
  </sheetViews>
  <sheetFormatPr defaultColWidth="12" defaultRowHeight="12.75"/>
  <cols>
    <col min="1" max="1" width="10.1640625" style="215" customWidth="1"/>
    <col min="2" max="2" width="35.83203125" style="215" customWidth="1"/>
    <col min="3" max="5" width="12.5" style="215" customWidth="1"/>
    <col min="6" max="8" width="18.33203125" style="215" customWidth="1"/>
    <col min="9" max="9" width="12" style="215"/>
    <col min="10" max="10" width="12.33203125" style="215" bestFit="1" customWidth="1"/>
    <col min="11" max="16384" width="12" style="215"/>
  </cols>
  <sheetData>
    <row r="1" spans="1:11" s="3" customFormat="1">
      <c r="A1" s="5" t="str">
        <f>Applicant</f>
        <v>Alberta Electric System Operator</v>
      </c>
      <c r="B1" s="5"/>
      <c r="C1" s="5"/>
      <c r="D1" s="5"/>
      <c r="H1" s="4" t="str">
        <f ca="1">TablePrefix&amp;TRIM(MID(CELL("filename",I2),FIND("]",CELL("filename",I2))+1,5))&amp;TableSuffix</f>
        <v>Table B-16</v>
      </c>
    </row>
    <row r="2" spans="1:11" s="3" customFormat="1">
      <c r="A2" s="5" t="str">
        <f>Application</f>
        <v>2024 ISO Tariff Update Application</v>
      </c>
      <c r="B2" s="5"/>
      <c r="C2" s="5"/>
      <c r="D2" s="5"/>
      <c r="H2" s="4" t="str">
        <f>TableDate</f>
        <v>November 16, 2023</v>
      </c>
    </row>
    <row r="3" spans="1:11" customFormat="1"/>
    <row r="4" spans="1:11" s="205" customFormat="1">
      <c r="B4" s="256"/>
      <c r="C4" s="256"/>
      <c r="D4" s="284" t="str">
        <f>TableGroup1</f>
        <v>Appendix B — 2024 Rate Calculations</v>
      </c>
      <c r="E4" s="256"/>
      <c r="F4" s="277"/>
      <c r="G4" s="277"/>
      <c r="H4" s="278"/>
    </row>
    <row r="5" spans="1:11" s="205" customFormat="1">
      <c r="B5" s="256"/>
      <c r="C5" s="256"/>
      <c r="D5" s="329" t="s">
        <v>33</v>
      </c>
      <c r="E5" s="256"/>
      <c r="F5" s="277"/>
      <c r="G5" s="277"/>
      <c r="H5" s="277"/>
    </row>
    <row r="6" spans="1:11" s="205" customFormat="1"/>
    <row r="7" spans="1:11" s="205" customFormat="1">
      <c r="A7" s="205" t="s">
        <v>483</v>
      </c>
      <c r="B7" s="257" t="s">
        <v>484</v>
      </c>
      <c r="C7" s="258"/>
      <c r="D7" s="258"/>
      <c r="E7" s="258"/>
      <c r="F7" s="259"/>
      <c r="G7" s="278" t="s">
        <v>485</v>
      </c>
      <c r="H7" s="260" t="s">
        <v>486</v>
      </c>
    </row>
    <row r="8" spans="1:11" s="205" customFormat="1">
      <c r="I8" s="209"/>
    </row>
    <row r="9" spans="1:11" s="205" customFormat="1">
      <c r="A9" s="328" t="s">
        <v>487</v>
      </c>
      <c r="B9" s="594"/>
      <c r="C9" s="594"/>
      <c r="D9" s="594"/>
      <c r="E9" s="594"/>
      <c r="F9" s="594"/>
      <c r="G9" s="594"/>
      <c r="H9" s="595"/>
      <c r="I9" s="209"/>
    </row>
    <row r="11" spans="1:11" s="218" customFormat="1">
      <c r="A11" s="596" t="s">
        <v>42</v>
      </c>
      <c r="B11" s="596"/>
      <c r="C11" s="596"/>
      <c r="D11" s="596"/>
      <c r="E11" s="596"/>
      <c r="F11" s="276" t="s">
        <v>235</v>
      </c>
      <c r="G11" s="276" t="s">
        <v>488</v>
      </c>
      <c r="H11" s="276" t="s">
        <v>251</v>
      </c>
      <c r="I11" s="226"/>
      <c r="J11" s="235"/>
      <c r="K11" s="236"/>
    </row>
    <row r="12" spans="1:11">
      <c r="A12" s="217" t="s">
        <v>489</v>
      </c>
      <c r="B12" s="215" t="s">
        <v>490</v>
      </c>
      <c r="F12" s="219">
        <f>'B-16 Bill Estimator'!H94</f>
        <v>365887.4</v>
      </c>
      <c r="G12" s="220">
        <f>F28*F30</f>
        <v>791655.8</v>
      </c>
      <c r="H12" s="219">
        <f>SUM(F12:G12)</f>
        <v>1157543.2000000002</v>
      </c>
      <c r="K12" s="217"/>
    </row>
    <row r="13" spans="1:11">
      <c r="A13" s="217" t="s">
        <v>491</v>
      </c>
      <c r="B13" s="215" t="s">
        <v>492</v>
      </c>
      <c r="F13" s="219">
        <f>'B-16 Bill Estimator'!H66</f>
        <v>383392.2</v>
      </c>
      <c r="G13" s="220">
        <f>F28*F30</f>
        <v>791655.8</v>
      </c>
      <c r="H13" s="219">
        <f>SUM(F13:G13)</f>
        <v>1175048</v>
      </c>
      <c r="K13" s="217"/>
    </row>
    <row r="14" spans="1:11">
      <c r="A14" s="217" t="s">
        <v>493</v>
      </c>
      <c r="B14" s="215" t="s">
        <v>421</v>
      </c>
      <c r="F14" s="597">
        <f>F13-F12</f>
        <v>17504.799999999988</v>
      </c>
      <c r="G14" s="597">
        <f>G13-G12</f>
        <v>0</v>
      </c>
      <c r="H14" s="597">
        <f>SUM(F14:G14)</f>
        <v>17504.799999999988</v>
      </c>
      <c r="K14" s="217"/>
    </row>
    <row r="15" spans="1:11">
      <c r="A15" s="217" t="s">
        <v>494</v>
      </c>
      <c r="B15" s="215" t="s">
        <v>495</v>
      </c>
      <c r="F15" s="275">
        <f>F14/F12</f>
        <v>4.7842041021363371E-2</v>
      </c>
      <c r="G15" s="275">
        <f>G14/G12</f>
        <v>0</v>
      </c>
      <c r="H15" s="275">
        <f>H14/H12</f>
        <v>1.5122372970615685E-2</v>
      </c>
      <c r="K15" s="217"/>
    </row>
    <row r="17" spans="1:11" s="205" customFormat="1">
      <c r="A17" s="328" t="s">
        <v>496</v>
      </c>
      <c r="B17" s="594"/>
      <c r="C17" s="594"/>
      <c r="D17" s="594"/>
      <c r="E17" s="594"/>
      <c r="F17" s="594"/>
      <c r="G17" s="594"/>
      <c r="H17" s="595"/>
      <c r="I17" s="209"/>
    </row>
    <row r="18" spans="1:11">
      <c r="K18" s="217"/>
    </row>
    <row r="19" spans="1:11" s="218" customFormat="1">
      <c r="A19" s="596" t="s">
        <v>497</v>
      </c>
      <c r="B19" s="596"/>
      <c r="C19" s="596"/>
      <c r="D19" s="596"/>
      <c r="E19" s="598" t="s">
        <v>475</v>
      </c>
      <c r="F19" s="598" t="s">
        <v>235</v>
      </c>
      <c r="G19" s="3"/>
      <c r="H19" s="3"/>
      <c r="I19" s="226"/>
      <c r="J19" s="235"/>
      <c r="K19" s="236"/>
    </row>
    <row r="20" spans="1:11">
      <c r="A20" s="217" t="s">
        <v>498</v>
      </c>
      <c r="B20" s="215" t="s">
        <v>499</v>
      </c>
      <c r="E20" s="221" t="s">
        <v>500</v>
      </c>
      <c r="F20" s="599">
        <v>20</v>
      </c>
      <c r="G20" s="3"/>
      <c r="H20" s="3"/>
      <c r="J20" s="216"/>
      <c r="K20" s="217"/>
    </row>
    <row r="21" spans="1:11">
      <c r="A21" s="217" t="s">
        <v>501</v>
      </c>
      <c r="B21" s="215" t="s">
        <v>502</v>
      </c>
      <c r="E21" s="222" t="s">
        <v>500</v>
      </c>
      <c r="F21" s="599">
        <v>20</v>
      </c>
      <c r="G21" s="3"/>
      <c r="H21" s="3"/>
      <c r="J21" s="216"/>
      <c r="K21" s="217"/>
    </row>
    <row r="22" spans="1:11">
      <c r="A22" s="217" t="s">
        <v>503</v>
      </c>
      <c r="B22" s="215" t="s">
        <v>504</v>
      </c>
      <c r="E22" s="221" t="s">
        <v>505</v>
      </c>
      <c r="F22" s="600">
        <v>0.75</v>
      </c>
      <c r="G22" s="3"/>
      <c r="H22" s="3"/>
      <c r="J22" s="216"/>
      <c r="K22" s="217"/>
    </row>
    <row r="23" spans="1:11">
      <c r="A23" s="217" t="s">
        <v>506</v>
      </c>
      <c r="B23" s="215" t="s">
        <v>507</v>
      </c>
      <c r="E23" s="221" t="s">
        <v>500</v>
      </c>
      <c r="F23" s="223">
        <f>F21*F22</f>
        <v>15</v>
      </c>
      <c r="G23" s="3"/>
      <c r="H23" s="3"/>
      <c r="J23" s="216"/>
      <c r="K23" s="217"/>
    </row>
    <row r="24" spans="1:11">
      <c r="A24" s="217" t="s">
        <v>508</v>
      </c>
      <c r="B24" s="215" t="s">
        <v>509</v>
      </c>
      <c r="E24" s="221" t="s">
        <v>500</v>
      </c>
      <c r="F24" s="599">
        <v>22</v>
      </c>
      <c r="G24" s="3"/>
      <c r="H24" s="3"/>
      <c r="J24" s="216"/>
      <c r="K24" s="217"/>
    </row>
    <row r="25" spans="1:11">
      <c r="A25" s="217" t="s">
        <v>510</v>
      </c>
      <c r="B25" s="215" t="s">
        <v>511</v>
      </c>
      <c r="E25" s="222" t="s">
        <v>500</v>
      </c>
      <c r="F25" s="224">
        <f>MAX(90%*F20,F21,90%*F24)</f>
        <v>20</v>
      </c>
      <c r="G25" s="3"/>
      <c r="H25" s="3"/>
      <c r="J25" s="216"/>
      <c r="K25" s="217"/>
    </row>
    <row r="26" spans="1:11">
      <c r="A26" s="217" t="s">
        <v>512</v>
      </c>
      <c r="B26" s="215" t="s">
        <v>513</v>
      </c>
      <c r="E26" s="221" t="s">
        <v>505</v>
      </c>
      <c r="F26" s="601">
        <v>0.65</v>
      </c>
      <c r="G26" s="3"/>
      <c r="H26" s="3"/>
      <c r="J26" s="216"/>
      <c r="K26" s="217"/>
    </row>
    <row r="27" spans="1:11">
      <c r="A27" s="217" t="s">
        <v>514</v>
      </c>
      <c r="B27" s="215" t="s">
        <v>515</v>
      </c>
      <c r="E27" s="222" t="s">
        <v>516</v>
      </c>
      <c r="F27" s="602">
        <v>730</v>
      </c>
      <c r="G27" s="3"/>
      <c r="H27" s="3"/>
      <c r="J27" s="216"/>
      <c r="K27" s="217"/>
    </row>
    <row r="28" spans="1:11">
      <c r="A28" s="217" t="s">
        <v>517</v>
      </c>
      <c r="B28" s="215" t="s">
        <v>518</v>
      </c>
      <c r="E28" s="222" t="s">
        <v>519</v>
      </c>
      <c r="F28" s="225">
        <f>F21*F26*F27</f>
        <v>9490</v>
      </c>
      <c r="G28" s="3"/>
      <c r="H28" s="3"/>
      <c r="J28" s="216"/>
      <c r="K28" s="217"/>
    </row>
    <row r="29" spans="1:11">
      <c r="A29" s="217" t="s">
        <v>520</v>
      </c>
      <c r="B29" s="215" t="s">
        <v>521</v>
      </c>
      <c r="E29" s="222"/>
      <c r="F29" s="603">
        <v>1</v>
      </c>
      <c r="G29" s="3"/>
      <c r="H29" s="3"/>
      <c r="J29" s="216"/>
      <c r="K29" s="217"/>
    </row>
    <row r="30" spans="1:11">
      <c r="A30" s="217" t="s">
        <v>522</v>
      </c>
      <c r="B30" s="215" t="s">
        <v>523</v>
      </c>
      <c r="E30" s="221" t="s">
        <v>524</v>
      </c>
      <c r="F30" s="604">
        <f>'B-12 Determinants'!F20</f>
        <v>83.42</v>
      </c>
      <c r="G30" s="3"/>
      <c r="H30" s="3"/>
      <c r="J30" s="216"/>
      <c r="K30" s="217"/>
    </row>
    <row r="31" spans="1:11">
      <c r="J31" s="216"/>
      <c r="K31" s="217"/>
    </row>
    <row r="32" spans="1:11" s="280" customFormat="1" ht="12">
      <c r="A32" s="279" t="s">
        <v>174</v>
      </c>
      <c r="B32" s="280" t="s">
        <v>525</v>
      </c>
    </row>
    <row r="33" spans="1:12" s="280" customFormat="1" ht="12">
      <c r="B33" s="280" t="s">
        <v>526</v>
      </c>
    </row>
    <row r="34" spans="1:12" s="280" customFormat="1" ht="12">
      <c r="B34" s="280" t="s">
        <v>527</v>
      </c>
    </row>
    <row r="35" spans="1:12" s="280" customFormat="1" ht="12">
      <c r="B35" s="280" t="s">
        <v>528</v>
      </c>
      <c r="K35" s="281"/>
    </row>
    <row r="36" spans="1:12" s="280" customFormat="1" ht="12">
      <c r="B36" s="280" t="s">
        <v>529</v>
      </c>
    </row>
    <row r="37" spans="1:12" s="280" customFormat="1" ht="12">
      <c r="B37" s="280" t="s">
        <v>530</v>
      </c>
    </row>
    <row r="38" spans="1:12" s="280" customFormat="1" ht="12">
      <c r="B38" s="280" t="s">
        <v>531</v>
      </c>
    </row>
    <row r="39" spans="1:12" s="280" customFormat="1" ht="12">
      <c r="B39" s="280" t="s">
        <v>532</v>
      </c>
    </row>
    <row r="40" spans="1:12" s="280" customFormat="1" ht="12"/>
    <row r="41" spans="1:12" s="205" customFormat="1">
      <c r="A41" s="328" t="s">
        <v>533</v>
      </c>
      <c r="B41" s="594"/>
      <c r="C41" s="594"/>
      <c r="D41" s="594"/>
      <c r="E41" s="594"/>
      <c r="F41" s="594"/>
      <c r="G41" s="594"/>
      <c r="H41" s="595"/>
    </row>
    <row r="42" spans="1:12">
      <c r="J42" s="216"/>
      <c r="K42" s="217"/>
    </row>
    <row r="43" spans="1:12">
      <c r="A43" s="261" t="s">
        <v>534</v>
      </c>
      <c r="B43" s="605"/>
      <c r="C43" s="262"/>
      <c r="D43" s="261" t="s">
        <v>535</v>
      </c>
      <c r="E43" s="262"/>
      <c r="F43" s="261" t="s">
        <v>397</v>
      </c>
      <c r="G43" s="262"/>
      <c r="H43" s="606" t="s">
        <v>237</v>
      </c>
      <c r="J43" s="216"/>
      <c r="K43" s="217"/>
    </row>
    <row r="44" spans="1:12" s="218" customFormat="1">
      <c r="A44" s="226" t="s">
        <v>427</v>
      </c>
      <c r="B44" s="226"/>
      <c r="C44" s="226"/>
      <c r="D44" s="226"/>
      <c r="E44" s="226"/>
      <c r="F44" s="226"/>
      <c r="G44" s="226"/>
      <c r="H44" s="235"/>
      <c r="I44" s="226"/>
      <c r="J44" s="235"/>
      <c r="K44" s="236"/>
      <c r="L44" s="226"/>
    </row>
    <row r="45" spans="1:12">
      <c r="A45" s="607" t="s">
        <v>489</v>
      </c>
      <c r="B45" s="608" t="s">
        <v>536</v>
      </c>
      <c r="C45" s="609"/>
      <c r="D45" s="610"/>
      <c r="E45" s="611"/>
      <c r="F45" s="611"/>
      <c r="G45" s="611"/>
      <c r="H45" s="227"/>
      <c r="J45" s="216"/>
      <c r="K45" s="217"/>
    </row>
    <row r="46" spans="1:12">
      <c r="A46" s="228" t="s">
        <v>537</v>
      </c>
      <c r="B46" s="215" t="s">
        <v>507</v>
      </c>
      <c r="D46" s="216">
        <f>'B-13 Impact'!L13</f>
        <v>10899</v>
      </c>
      <c r="E46" s="217" t="s">
        <v>330</v>
      </c>
      <c r="F46" s="224">
        <f>F23</f>
        <v>15</v>
      </c>
      <c r="G46" s="217" t="s">
        <v>500</v>
      </c>
      <c r="H46" s="229">
        <f>ROUND(D46*F46,2)</f>
        <v>163485</v>
      </c>
      <c r="K46" s="217"/>
      <c r="L46" s="478"/>
    </row>
    <row r="47" spans="1:12">
      <c r="A47" s="230" t="s">
        <v>538</v>
      </c>
      <c r="B47" s="231" t="s">
        <v>518</v>
      </c>
      <c r="C47" s="231"/>
      <c r="D47" s="216">
        <f>'B-13 Impact'!L14</f>
        <v>1.22</v>
      </c>
      <c r="E47" s="232" t="s">
        <v>332</v>
      </c>
      <c r="F47" s="233">
        <f>F28</f>
        <v>9490</v>
      </c>
      <c r="G47" s="232" t="s">
        <v>519</v>
      </c>
      <c r="H47" s="234">
        <f>ROUND(D47*F47,2)</f>
        <v>11577.8</v>
      </c>
      <c r="K47" s="217"/>
      <c r="L47" s="478"/>
    </row>
    <row r="48" spans="1:12">
      <c r="A48" s="607" t="s">
        <v>491</v>
      </c>
      <c r="B48" s="608" t="s">
        <v>539</v>
      </c>
      <c r="C48" s="611"/>
      <c r="D48" s="609"/>
      <c r="E48" s="611"/>
      <c r="F48" s="611"/>
      <c r="G48" s="611"/>
      <c r="H48" s="227"/>
      <c r="K48" s="217"/>
      <c r="L48" s="478"/>
    </row>
    <row r="49" spans="1:12">
      <c r="A49" s="228" t="s">
        <v>540</v>
      </c>
      <c r="B49" s="215" t="s">
        <v>541</v>
      </c>
      <c r="D49" s="216">
        <f>'B-13 Impact'!L15</f>
        <v>2841</v>
      </c>
      <c r="E49" s="217" t="s">
        <v>330</v>
      </c>
      <c r="F49" s="224">
        <f>F25</f>
        <v>20</v>
      </c>
      <c r="G49" s="217" t="s">
        <v>500</v>
      </c>
      <c r="H49" s="229">
        <f>ROUND(D49*F49,2)</f>
        <v>56820</v>
      </c>
      <c r="K49" s="217"/>
      <c r="L49" s="478"/>
    </row>
    <row r="50" spans="1:12">
      <c r="A50" s="230" t="s">
        <v>542</v>
      </c>
      <c r="B50" s="231" t="s">
        <v>518</v>
      </c>
      <c r="C50" s="231"/>
      <c r="D50" s="216">
        <f>'B-13 Impact'!L16</f>
        <v>0.92</v>
      </c>
      <c r="E50" s="232" t="s">
        <v>332</v>
      </c>
      <c r="F50" s="233">
        <f>F28</f>
        <v>9490</v>
      </c>
      <c r="G50" s="232" t="s">
        <v>519</v>
      </c>
      <c r="H50" s="234">
        <f>ROUND(D50*F50,2)</f>
        <v>8730.7999999999993</v>
      </c>
      <c r="K50" s="217"/>
      <c r="L50" s="478"/>
    </row>
    <row r="51" spans="1:12">
      <c r="A51" s="612" t="s">
        <v>493</v>
      </c>
      <c r="B51" s="608" t="s">
        <v>543</v>
      </c>
      <c r="C51" s="611"/>
      <c r="D51" s="609"/>
      <c r="E51" s="611"/>
      <c r="F51" s="611"/>
      <c r="G51" s="611"/>
      <c r="H51" s="227"/>
      <c r="K51" s="217"/>
      <c r="L51" s="478"/>
    </row>
    <row r="52" spans="1:12">
      <c r="A52" s="207" t="s">
        <v>544</v>
      </c>
      <c r="B52" s="215" t="s">
        <v>545</v>
      </c>
      <c r="C52" s="243"/>
      <c r="D52" s="216">
        <f>'B-13 Impact'!L17</f>
        <v>14641</v>
      </c>
      <c r="E52" s="217" t="s">
        <v>340</v>
      </c>
      <c r="F52" s="283">
        <f>F29</f>
        <v>1</v>
      </c>
      <c r="H52" s="229">
        <f>ROUND(D52*F52,2)</f>
        <v>14641</v>
      </c>
      <c r="J52" s="216"/>
      <c r="K52" s="217"/>
      <c r="L52" s="478"/>
    </row>
    <row r="53" spans="1:12">
      <c r="A53" s="207" t="s">
        <v>546</v>
      </c>
      <c r="B53" s="215" t="s">
        <v>547</v>
      </c>
      <c r="D53" s="216">
        <f>'B-13 Impact'!L18</f>
        <v>4819</v>
      </c>
      <c r="E53" s="217" t="s">
        <v>330</v>
      </c>
      <c r="F53" s="224">
        <f>MIN(F25,7.5*F29)</f>
        <v>7.5</v>
      </c>
      <c r="G53" s="217" t="s">
        <v>500</v>
      </c>
      <c r="H53" s="229">
        <f>ROUND(D53*F53,2)</f>
        <v>36142.5</v>
      </c>
      <c r="K53" s="217"/>
      <c r="L53" s="478"/>
    </row>
    <row r="54" spans="1:12">
      <c r="A54" s="207" t="s">
        <v>548</v>
      </c>
      <c r="B54" s="215" t="s">
        <v>549</v>
      </c>
      <c r="D54" s="216">
        <f>'B-13 Impact'!L19</f>
        <v>2858</v>
      </c>
      <c r="E54" s="217" t="s">
        <v>332</v>
      </c>
      <c r="F54" s="249">
        <f>MAX(MIN(F25,17*F29)-(7.5*F29),0)</f>
        <v>9.5</v>
      </c>
      <c r="G54" s="217" t="s">
        <v>519</v>
      </c>
      <c r="H54" s="229">
        <f>ROUND(D54*F54,2)</f>
        <v>27151</v>
      </c>
      <c r="K54" s="217"/>
      <c r="L54" s="478"/>
    </row>
    <row r="55" spans="1:12">
      <c r="A55" s="207" t="s">
        <v>550</v>
      </c>
      <c r="B55" s="215" t="s">
        <v>551</v>
      </c>
      <c r="D55" s="216">
        <f>'B-13 Impact'!L20</f>
        <v>1913</v>
      </c>
      <c r="E55" s="217" t="s">
        <v>340</v>
      </c>
      <c r="F55" s="248">
        <f>MAX(MIN(F25,40*F29)-(17*F29),0)</f>
        <v>3</v>
      </c>
      <c r="G55" s="215" t="s">
        <v>500</v>
      </c>
      <c r="H55" s="229">
        <f>ROUND(D55*F55,2)</f>
        <v>5739</v>
      </c>
      <c r="K55" s="217"/>
      <c r="L55" s="478"/>
    </row>
    <row r="56" spans="1:12">
      <c r="A56" s="212" t="s">
        <v>552</v>
      </c>
      <c r="B56" s="231" t="s">
        <v>553</v>
      </c>
      <c r="C56" s="294" t="s">
        <v>554</v>
      </c>
      <c r="D56" s="295">
        <f>'B-13 Impact'!L21</f>
        <v>1178</v>
      </c>
      <c r="E56" s="232" t="s">
        <v>330</v>
      </c>
      <c r="F56" s="296">
        <f>MAX(F25-(40*F29),0)</f>
        <v>0</v>
      </c>
      <c r="G56" s="231" t="s">
        <v>500</v>
      </c>
      <c r="H56" s="234">
        <f>ROUND(D56*F56,2)</f>
        <v>0</v>
      </c>
      <c r="K56" s="217"/>
      <c r="L56" s="478"/>
    </row>
    <row r="57" spans="1:12" s="226" customFormat="1">
      <c r="A57" s="226" t="s">
        <v>555</v>
      </c>
      <c r="C57" s="244"/>
      <c r="D57" s="235"/>
      <c r="E57" s="236"/>
      <c r="F57" s="237"/>
      <c r="H57" s="238"/>
      <c r="J57" s="235"/>
      <c r="K57" s="236"/>
      <c r="L57" s="478"/>
    </row>
    <row r="58" spans="1:12">
      <c r="A58" s="239" t="s">
        <v>494</v>
      </c>
      <c r="B58" s="399" t="s">
        <v>556</v>
      </c>
      <c r="C58" s="399"/>
      <c r="D58" s="613">
        <f>'B-13 Impact'!L23</f>
        <v>7.1800000000000003E-2</v>
      </c>
      <c r="E58" s="399" t="s">
        <v>557</v>
      </c>
      <c r="F58" s="400">
        <f>F28</f>
        <v>9490</v>
      </c>
      <c r="G58" s="614" t="s">
        <v>519</v>
      </c>
      <c r="H58" s="240">
        <f>ROUND(D58*F30*F58,2)</f>
        <v>56840.89</v>
      </c>
      <c r="J58" s="216"/>
      <c r="K58" s="217"/>
      <c r="L58" s="478"/>
    </row>
    <row r="59" spans="1:12">
      <c r="A59" s="236" t="s">
        <v>558</v>
      </c>
      <c r="D59" s="397"/>
      <c r="F59" s="398"/>
      <c r="G59" s="217"/>
      <c r="H59" s="216"/>
      <c r="J59" s="216"/>
      <c r="K59" s="217"/>
      <c r="L59" s="478"/>
    </row>
    <row r="60" spans="1:12">
      <c r="A60" s="239" t="s">
        <v>559</v>
      </c>
      <c r="B60" s="399" t="s">
        <v>518</v>
      </c>
      <c r="C60" s="399"/>
      <c r="D60" s="615">
        <f>'B-13 Impact'!L24</f>
        <v>6.9000000000000006E-2</v>
      </c>
      <c r="E60" s="614" t="s">
        <v>332</v>
      </c>
      <c r="F60" s="400">
        <f>F28</f>
        <v>9490</v>
      </c>
      <c r="G60" s="614" t="s">
        <v>519</v>
      </c>
      <c r="H60" s="240">
        <f>ROUND(D60*F60,2)</f>
        <v>654.80999999999995</v>
      </c>
      <c r="J60" s="216"/>
      <c r="K60" s="217"/>
      <c r="L60" s="478"/>
    </row>
    <row r="61" spans="1:12" s="226" customFormat="1">
      <c r="A61" s="226" t="s">
        <v>560</v>
      </c>
      <c r="D61" s="241"/>
      <c r="F61" s="242"/>
      <c r="G61" s="236"/>
      <c r="H61" s="235"/>
      <c r="J61" s="235"/>
      <c r="K61" s="236"/>
      <c r="L61" s="478"/>
    </row>
    <row r="62" spans="1:12">
      <c r="A62" s="239" t="s">
        <v>561</v>
      </c>
      <c r="B62" s="399" t="s">
        <v>518</v>
      </c>
      <c r="C62" s="399"/>
      <c r="D62" s="616">
        <f>'B-13 Impact'!L25</f>
        <v>0.06</v>
      </c>
      <c r="E62" s="614" t="s">
        <v>332</v>
      </c>
      <c r="F62" s="400">
        <f>F28</f>
        <v>9490</v>
      </c>
      <c r="G62" s="614" t="s">
        <v>519</v>
      </c>
      <c r="H62" s="240">
        <f>ROUND(D62*F62,2)</f>
        <v>569.4</v>
      </c>
      <c r="J62" s="216"/>
      <c r="K62" s="217"/>
      <c r="L62" s="478"/>
    </row>
    <row r="63" spans="1:12" s="226" customFormat="1">
      <c r="A63" s="226" t="s">
        <v>562</v>
      </c>
      <c r="D63" s="235"/>
      <c r="E63" s="236"/>
      <c r="F63" s="242"/>
      <c r="G63" s="236"/>
      <c r="H63" s="235"/>
      <c r="J63" s="235"/>
      <c r="K63" s="236"/>
      <c r="L63" s="478"/>
    </row>
    <row r="64" spans="1:12">
      <c r="A64" s="239" t="s">
        <v>563</v>
      </c>
      <c r="B64" s="399" t="s">
        <v>564</v>
      </c>
      <c r="C64" s="399"/>
      <c r="D64" s="616">
        <f>'B-13 Impact'!L26</f>
        <v>52</v>
      </c>
      <c r="E64" s="614" t="s">
        <v>330</v>
      </c>
      <c r="F64" s="617">
        <f>F21</f>
        <v>20</v>
      </c>
      <c r="G64" s="614" t="s">
        <v>500</v>
      </c>
      <c r="H64" s="240">
        <f>ROUND(D64*F64,2)</f>
        <v>1040</v>
      </c>
      <c r="J64" s="216"/>
      <c r="K64" s="217"/>
      <c r="L64" s="478"/>
    </row>
    <row r="65" spans="1:11">
      <c r="H65" s="609"/>
      <c r="J65" s="216"/>
      <c r="K65" s="217"/>
    </row>
    <row r="66" spans="1:11" s="226" customFormat="1">
      <c r="A66" s="226" t="s">
        <v>565</v>
      </c>
      <c r="G66" s="226" t="s">
        <v>566</v>
      </c>
      <c r="H66" s="235">
        <f>SUM(H44:H64)</f>
        <v>383392.2</v>
      </c>
      <c r="J66" s="235"/>
      <c r="K66" s="236"/>
    </row>
    <row r="67" spans="1:11">
      <c r="G67" s="226" t="s">
        <v>567</v>
      </c>
      <c r="H67" s="235">
        <f>H66*12</f>
        <v>4600706.4000000004</v>
      </c>
    </row>
    <row r="69" spans="1:11" s="205" customFormat="1">
      <c r="A69" s="328" t="s">
        <v>568</v>
      </c>
      <c r="B69" s="594"/>
      <c r="C69" s="594"/>
      <c r="D69" s="594"/>
      <c r="E69" s="594"/>
      <c r="F69" s="594"/>
      <c r="G69" s="594"/>
      <c r="H69" s="595"/>
    </row>
    <row r="70" spans="1:11">
      <c r="J70" s="216"/>
      <c r="K70" s="217"/>
    </row>
    <row r="71" spans="1:11">
      <c r="A71" s="261" t="s">
        <v>534</v>
      </c>
      <c r="B71" s="605"/>
      <c r="C71" s="262"/>
      <c r="D71" s="261" t="s">
        <v>535</v>
      </c>
      <c r="E71" s="262"/>
      <c r="F71" s="261" t="s">
        <v>397</v>
      </c>
      <c r="G71" s="262"/>
      <c r="H71" s="606" t="s">
        <v>237</v>
      </c>
      <c r="J71" s="216"/>
      <c r="K71" s="217"/>
    </row>
    <row r="72" spans="1:11" s="218" customFormat="1">
      <c r="A72" s="226" t="s">
        <v>427</v>
      </c>
      <c r="B72" s="226"/>
      <c r="C72" s="226"/>
      <c r="D72" s="226"/>
      <c r="E72" s="226"/>
      <c r="F72" s="226"/>
      <c r="G72" s="226"/>
      <c r="H72" s="235"/>
      <c r="I72" s="226"/>
      <c r="J72" s="235"/>
      <c r="K72" s="236"/>
    </row>
    <row r="73" spans="1:11">
      <c r="A73" s="607" t="s">
        <v>489</v>
      </c>
      <c r="B73" s="608" t="s">
        <v>569</v>
      </c>
      <c r="C73" s="610"/>
      <c r="D73" s="611"/>
      <c r="E73" s="611"/>
      <c r="F73" s="611"/>
      <c r="G73" s="611"/>
      <c r="H73" s="227"/>
      <c r="J73" s="216"/>
      <c r="K73" s="217"/>
    </row>
    <row r="74" spans="1:11">
      <c r="A74" s="228" t="s">
        <v>537</v>
      </c>
      <c r="B74" s="215" t="s">
        <v>507</v>
      </c>
      <c r="D74" s="216">
        <f>'B-13 Impact'!G13</f>
        <v>10840</v>
      </c>
      <c r="E74" s="217" t="s">
        <v>330</v>
      </c>
      <c r="F74" s="224">
        <f>F23</f>
        <v>15</v>
      </c>
      <c r="G74" s="217" t="s">
        <v>500</v>
      </c>
      <c r="H74" s="229">
        <f>ROUND(D74*F74,2)</f>
        <v>162600</v>
      </c>
      <c r="K74" s="217"/>
    </row>
    <row r="75" spans="1:11">
      <c r="A75" s="230" t="s">
        <v>538</v>
      </c>
      <c r="B75" s="231" t="s">
        <v>518</v>
      </c>
      <c r="C75" s="231"/>
      <c r="D75" s="216">
        <f>'B-13 Impact'!G14</f>
        <v>1.18</v>
      </c>
      <c r="E75" s="232" t="s">
        <v>332</v>
      </c>
      <c r="F75" s="233">
        <f>F28</f>
        <v>9490</v>
      </c>
      <c r="G75" s="232" t="s">
        <v>519</v>
      </c>
      <c r="H75" s="234">
        <f>ROUND(D75*F75,2)</f>
        <v>11198.2</v>
      </c>
      <c r="K75" s="217"/>
    </row>
    <row r="76" spans="1:11">
      <c r="A76" s="607" t="s">
        <v>491</v>
      </c>
      <c r="B76" s="608" t="s">
        <v>570</v>
      </c>
      <c r="C76" s="610"/>
      <c r="D76" s="611"/>
      <c r="E76" s="611"/>
      <c r="F76" s="611"/>
      <c r="G76" s="611"/>
      <c r="H76" s="227"/>
      <c r="J76" s="216"/>
      <c r="K76" s="217"/>
    </row>
    <row r="77" spans="1:11">
      <c r="A77" s="228" t="s">
        <v>540</v>
      </c>
      <c r="B77" s="215" t="s">
        <v>541</v>
      </c>
      <c r="D77" s="216">
        <f>'B-13 Impact'!G15</f>
        <v>2844</v>
      </c>
      <c r="E77" s="217" t="s">
        <v>330</v>
      </c>
      <c r="F77" s="224">
        <f>F25</f>
        <v>20</v>
      </c>
      <c r="G77" s="217" t="s">
        <v>500</v>
      </c>
      <c r="H77" s="229">
        <f>ROUND(D77*F77,2)</f>
        <v>56880</v>
      </c>
      <c r="K77" s="217"/>
    </row>
    <row r="78" spans="1:11">
      <c r="A78" s="230" t="s">
        <v>542</v>
      </c>
      <c r="B78" s="231" t="s">
        <v>518</v>
      </c>
      <c r="C78" s="231"/>
      <c r="D78" s="216">
        <f>'B-13 Impact'!G16</f>
        <v>0.9</v>
      </c>
      <c r="E78" s="232" t="s">
        <v>332</v>
      </c>
      <c r="F78" s="233">
        <f>F28</f>
        <v>9490</v>
      </c>
      <c r="G78" s="232" t="s">
        <v>519</v>
      </c>
      <c r="H78" s="234">
        <f>ROUND(D78*F78,2)</f>
        <v>8541</v>
      </c>
      <c r="K78" s="217"/>
    </row>
    <row r="79" spans="1:11" s="205" customFormat="1">
      <c r="A79" s="612" t="s">
        <v>493</v>
      </c>
      <c r="B79" s="618" t="s">
        <v>543</v>
      </c>
      <c r="C79" s="619"/>
      <c r="D79" s="620"/>
      <c r="E79" s="620"/>
      <c r="F79" s="620"/>
      <c r="G79" s="620"/>
      <c r="H79" s="206"/>
    </row>
    <row r="80" spans="1:11" s="205" customFormat="1">
      <c r="A80" s="207" t="s">
        <v>544</v>
      </c>
      <c r="B80" s="205" t="s">
        <v>545</v>
      </c>
      <c r="D80" s="208">
        <f>'B-13 Impact'!G17</f>
        <v>14728</v>
      </c>
      <c r="E80" s="209" t="s">
        <v>340</v>
      </c>
      <c r="F80" s="290">
        <f>F29</f>
        <v>1</v>
      </c>
      <c r="H80" s="291">
        <f>ROUND(D80*F80,2)</f>
        <v>14728</v>
      </c>
    </row>
    <row r="81" spans="1:11" s="205" customFormat="1">
      <c r="A81" s="207" t="s">
        <v>546</v>
      </c>
      <c r="B81" s="205" t="s">
        <v>547</v>
      </c>
      <c r="D81" s="208">
        <f>'B-13 Impact'!G18</f>
        <v>4847</v>
      </c>
      <c r="E81" s="209" t="s">
        <v>330</v>
      </c>
      <c r="F81" s="210">
        <f>MIN(F25,7.5*F29)</f>
        <v>7.5</v>
      </c>
      <c r="G81" s="205" t="s">
        <v>500</v>
      </c>
      <c r="H81" s="211">
        <f>ROUND(D81*F81,2)</f>
        <v>36352.5</v>
      </c>
    </row>
    <row r="82" spans="1:11" s="205" customFormat="1">
      <c r="A82" s="207" t="s">
        <v>548</v>
      </c>
      <c r="B82" s="205" t="s">
        <v>549</v>
      </c>
      <c r="D82" s="208">
        <f>'B-13 Impact'!G19</f>
        <v>2875</v>
      </c>
      <c r="E82" s="209" t="s">
        <v>330</v>
      </c>
      <c r="F82" s="210">
        <f>MAX(MIN(F25,17*F29)-(7.5*F29),0)</f>
        <v>9.5</v>
      </c>
      <c r="G82" s="209" t="s">
        <v>500</v>
      </c>
      <c r="H82" s="211">
        <f>ROUND(D82*F82,2)</f>
        <v>27312.5</v>
      </c>
    </row>
    <row r="83" spans="1:11" s="205" customFormat="1">
      <c r="A83" s="207" t="s">
        <v>550</v>
      </c>
      <c r="B83" s="205" t="s">
        <v>551</v>
      </c>
      <c r="D83" s="208">
        <f>'B-13 Impact'!G20</f>
        <v>1924</v>
      </c>
      <c r="E83" s="209" t="s">
        <v>330</v>
      </c>
      <c r="F83" s="210">
        <f>MAX(MIN(F25,40*F29)-(17*F29),0)</f>
        <v>3</v>
      </c>
      <c r="G83" s="209" t="s">
        <v>500</v>
      </c>
      <c r="H83" s="211">
        <f>ROUND(D83*F83,2)</f>
        <v>5772</v>
      </c>
    </row>
    <row r="84" spans="1:11" s="205" customFormat="1">
      <c r="A84" s="212" t="s">
        <v>552</v>
      </c>
      <c r="B84" s="213" t="s">
        <v>553</v>
      </c>
      <c r="C84" s="213"/>
      <c r="D84" s="282">
        <f>'B-13 Impact'!G21</f>
        <v>1185</v>
      </c>
      <c r="E84" s="214" t="s">
        <v>330</v>
      </c>
      <c r="F84" s="292">
        <f>MAX(F25-(40*F29),0)</f>
        <v>0</v>
      </c>
      <c r="G84" s="214" t="s">
        <v>500</v>
      </c>
      <c r="H84" s="293">
        <f>ROUND(D84*F84,2)</f>
        <v>0</v>
      </c>
    </row>
    <row r="85" spans="1:11" s="226" customFormat="1">
      <c r="A85" s="226" t="s">
        <v>555</v>
      </c>
      <c r="C85" s="235"/>
      <c r="D85" s="236"/>
      <c r="F85" s="237"/>
      <c r="H85" s="238"/>
      <c r="J85" s="235"/>
      <c r="K85" s="236"/>
    </row>
    <row r="86" spans="1:11">
      <c r="A86" s="239" t="s">
        <v>493</v>
      </c>
      <c r="B86" s="399" t="s">
        <v>556</v>
      </c>
      <c r="C86" s="399"/>
      <c r="D86" s="613">
        <f>'B-13 Impact'!G23</f>
        <v>5.1799999999999999E-2</v>
      </c>
      <c r="E86" s="399" t="s">
        <v>557</v>
      </c>
      <c r="F86" s="400">
        <f>F28</f>
        <v>9490</v>
      </c>
      <c r="G86" s="614" t="s">
        <v>519</v>
      </c>
      <c r="H86" s="240">
        <f>ROUND(D86*F30*F86,2)</f>
        <v>41007.769999999997</v>
      </c>
      <c r="J86" s="216"/>
      <c r="K86" s="217"/>
    </row>
    <row r="87" spans="1:11">
      <c r="A87" s="236" t="s">
        <v>558</v>
      </c>
      <c r="D87" s="397"/>
      <c r="F87" s="398"/>
      <c r="G87" s="217"/>
      <c r="H87" s="216"/>
      <c r="J87" s="216"/>
      <c r="K87" s="217"/>
    </row>
    <row r="88" spans="1:11">
      <c r="A88" s="239" t="s">
        <v>494</v>
      </c>
      <c r="B88" s="399" t="s">
        <v>518</v>
      </c>
      <c r="C88" s="399"/>
      <c r="D88" s="616">
        <f>'B-13 Impact'!G24</f>
        <v>1.7000000000000001E-2</v>
      </c>
      <c r="E88" s="614" t="s">
        <v>332</v>
      </c>
      <c r="F88" s="400">
        <f>F28</f>
        <v>9490</v>
      </c>
      <c r="G88" s="614" t="s">
        <v>519</v>
      </c>
      <c r="H88" s="240">
        <f>ROUND(D88*F88,2)</f>
        <v>161.33000000000001</v>
      </c>
      <c r="J88" s="216"/>
      <c r="K88" s="217"/>
    </row>
    <row r="89" spans="1:11" s="226" customFormat="1">
      <c r="A89" s="226" t="s">
        <v>560</v>
      </c>
      <c r="C89" s="241"/>
      <c r="F89" s="242"/>
      <c r="G89" s="236"/>
      <c r="H89" s="235"/>
      <c r="J89" s="235"/>
      <c r="K89" s="236"/>
    </row>
    <row r="90" spans="1:11">
      <c r="A90" s="239" t="s">
        <v>559</v>
      </c>
      <c r="B90" s="399" t="s">
        <v>518</v>
      </c>
      <c r="C90" s="399"/>
      <c r="D90" s="616">
        <f>'B-13 Impact'!G25</f>
        <v>0.09</v>
      </c>
      <c r="E90" s="614" t="s">
        <v>332</v>
      </c>
      <c r="F90" s="400">
        <f>F28</f>
        <v>9490</v>
      </c>
      <c r="G90" s="614" t="s">
        <v>519</v>
      </c>
      <c r="H90" s="240">
        <f>ROUND(D90*F90,2)</f>
        <v>854.1</v>
      </c>
      <c r="J90" s="216"/>
      <c r="K90" s="217"/>
    </row>
    <row r="91" spans="1:11" s="226" customFormat="1">
      <c r="A91" s="226" t="s">
        <v>562</v>
      </c>
      <c r="C91" s="235"/>
      <c r="D91" s="236"/>
      <c r="F91" s="242"/>
      <c r="G91" s="236"/>
      <c r="H91" s="235"/>
      <c r="J91" s="235"/>
      <c r="K91" s="236"/>
    </row>
    <row r="92" spans="1:11">
      <c r="A92" s="239" t="s">
        <v>561</v>
      </c>
      <c r="B92" s="399" t="s">
        <v>564</v>
      </c>
      <c r="C92" s="399"/>
      <c r="D92" s="616">
        <f>'B-13 Impact'!G26</f>
        <v>24</v>
      </c>
      <c r="E92" s="614" t="s">
        <v>330</v>
      </c>
      <c r="F92" s="617">
        <f>F21</f>
        <v>20</v>
      </c>
      <c r="G92" s="614" t="s">
        <v>500</v>
      </c>
      <c r="H92" s="240">
        <f>ROUND(D92*F92,2)</f>
        <v>480</v>
      </c>
      <c r="J92" s="216"/>
      <c r="K92" s="217"/>
    </row>
    <row r="93" spans="1:11">
      <c r="H93" s="216"/>
      <c r="J93" s="216"/>
      <c r="K93" s="217"/>
    </row>
    <row r="94" spans="1:11" s="226" customFormat="1">
      <c r="A94" s="226" t="s">
        <v>565</v>
      </c>
      <c r="G94" s="226" t="s">
        <v>566</v>
      </c>
      <c r="H94" s="235">
        <f>SUM(H72:H92)</f>
        <v>365887.4</v>
      </c>
      <c r="J94" s="235"/>
      <c r="K94" s="236"/>
    </row>
    <row r="95" spans="1:11">
      <c r="G95" s="226" t="s">
        <v>567</v>
      </c>
      <c r="H95" s="235">
        <f>H94*12</f>
        <v>4390648.8000000007</v>
      </c>
    </row>
    <row r="96" spans="1:11">
      <c r="H96" s="407"/>
    </row>
  </sheetData>
  <phoneticPr fontId="17"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2"/>
  <sheetViews>
    <sheetView showGridLines="0" topLeftCell="A31" zoomScaleNormal="100" workbookViewId="0">
      <selection activeCell="F43" sqref="F43"/>
    </sheetView>
  </sheetViews>
  <sheetFormatPr defaultColWidth="9.33203125" defaultRowHeight="12.75"/>
  <cols>
    <col min="1" max="1" width="4.83203125" style="33" customWidth="1"/>
    <col min="2" max="2" width="1.83203125" style="33" customWidth="1"/>
    <col min="3" max="5" width="2.83203125" style="33" customWidth="1"/>
    <col min="6" max="6" width="33.5" style="33" customWidth="1"/>
    <col min="7" max="7" width="1.83203125" style="33" customWidth="1"/>
    <col min="8" max="11" width="10.33203125" style="33" customWidth="1"/>
    <col min="12" max="12" width="10.33203125" style="368" customWidth="1"/>
    <col min="13" max="13" width="19.1640625" style="33" bestFit="1" customWidth="1"/>
    <col min="14" max="14" width="18.5" style="33" bestFit="1" customWidth="1"/>
    <col min="15" max="15" width="17.83203125" style="33" bestFit="1" customWidth="1"/>
    <col min="16" max="16384" width="9.33203125" style="33"/>
  </cols>
  <sheetData>
    <row r="1" spans="1:13" s="135" customFormat="1">
      <c r="A1" s="369" t="str">
        <f>Applicant</f>
        <v>Alberta Electric System Operator</v>
      </c>
      <c r="B1" s="1"/>
      <c r="C1" s="369"/>
      <c r="D1" s="1"/>
      <c r="E1" s="1"/>
      <c r="F1" s="1"/>
      <c r="G1" s="1"/>
      <c r="H1" s="1"/>
      <c r="I1" s="1"/>
      <c r="J1" s="1"/>
      <c r="K1" s="1"/>
      <c r="L1" s="308" t="str">
        <f ca="1">TablePrefix&amp;TRIM(MID(CELL("filename",L2),FIND("]",CELL("filename",L2))+1,4))&amp;TableSuffix</f>
        <v>Table B-1</v>
      </c>
    </row>
    <row r="2" spans="1:13" s="135" customFormat="1">
      <c r="A2" s="2" t="str">
        <f>Application</f>
        <v>2024 ISO Tariff Update Application</v>
      </c>
      <c r="B2" s="1"/>
      <c r="C2" s="2"/>
      <c r="D2" s="1"/>
      <c r="E2" s="1"/>
      <c r="F2" s="1"/>
      <c r="G2" s="1"/>
      <c r="H2" s="1"/>
      <c r="I2" s="1"/>
      <c r="J2" s="1"/>
      <c r="K2" s="1"/>
      <c r="L2" s="308" t="str">
        <f>TableDate</f>
        <v>November 16, 2023</v>
      </c>
    </row>
    <row r="3" spans="1:13" s="135" customFormat="1">
      <c r="A3" s="1"/>
      <c r="B3" s="1"/>
      <c r="C3" s="369"/>
      <c r="D3" s="1"/>
      <c r="E3" s="1"/>
      <c r="F3" s="1"/>
      <c r="G3" s="1"/>
      <c r="H3" s="1"/>
      <c r="I3" s="1"/>
      <c r="J3" s="1"/>
      <c r="K3" s="1"/>
      <c r="L3" s="1"/>
    </row>
    <row r="4" spans="1:13">
      <c r="A4" s="73" t="str">
        <f>TableGroup1</f>
        <v>Appendix B — 2024 Rate Calculations</v>
      </c>
      <c r="B4" s="73"/>
      <c r="C4" s="73"/>
      <c r="D4" s="73"/>
      <c r="E4" s="73"/>
      <c r="F4" s="73"/>
      <c r="G4" s="73"/>
      <c r="H4" s="73"/>
      <c r="I4" s="73"/>
      <c r="J4" s="73"/>
      <c r="K4" s="73"/>
      <c r="L4" s="370"/>
    </row>
    <row r="5" spans="1:13" s="371" customFormat="1">
      <c r="A5" s="73" t="s">
        <v>34</v>
      </c>
      <c r="B5" s="73"/>
      <c r="C5" s="73"/>
      <c r="D5" s="73"/>
      <c r="E5" s="73"/>
      <c r="F5" s="73"/>
      <c r="G5" s="73"/>
      <c r="H5" s="73"/>
      <c r="I5" s="73"/>
      <c r="J5" s="73"/>
      <c r="K5" s="73"/>
      <c r="L5" s="370"/>
    </row>
    <row r="6" spans="1:13" customFormat="1">
      <c r="A6" s="10"/>
      <c r="B6" s="10"/>
      <c r="C6" s="10"/>
      <c r="D6" s="10"/>
      <c r="E6" s="10"/>
      <c r="F6" s="10"/>
      <c r="G6" s="10"/>
      <c r="H6" s="10"/>
      <c r="I6" s="10"/>
      <c r="J6" s="10"/>
      <c r="K6" s="10"/>
      <c r="L6" s="366"/>
    </row>
    <row r="7" spans="1:13" customFormat="1">
      <c r="A7" s="10"/>
      <c r="B7" s="10"/>
      <c r="C7" s="10"/>
      <c r="D7" s="10"/>
      <c r="E7" s="10"/>
      <c r="F7" s="10"/>
      <c r="G7" s="10"/>
      <c r="H7" s="301" t="s">
        <v>35</v>
      </c>
      <c r="I7" s="301" t="s">
        <v>36</v>
      </c>
      <c r="J7" s="301" t="s">
        <v>37</v>
      </c>
      <c r="K7" s="301" t="s">
        <v>38</v>
      </c>
      <c r="L7" s="301"/>
    </row>
    <row r="8" spans="1:13" customFormat="1">
      <c r="A8" s="10"/>
      <c r="B8" s="10"/>
      <c r="C8" s="10"/>
      <c r="D8" s="10"/>
      <c r="E8" s="10"/>
      <c r="F8" s="10"/>
      <c r="G8" s="10"/>
      <c r="H8" s="10"/>
      <c r="I8" s="10"/>
      <c r="J8" s="10"/>
      <c r="K8" s="10"/>
      <c r="L8" s="366"/>
    </row>
    <row r="9" spans="1:13" s="251" customFormat="1" ht="12.75" customHeight="1">
      <c r="H9" s="335">
        <v>2024</v>
      </c>
      <c r="I9" s="335">
        <v>2023</v>
      </c>
      <c r="J9" s="335">
        <v>2022</v>
      </c>
      <c r="K9" s="335">
        <v>2021</v>
      </c>
      <c r="L9" s="335"/>
    </row>
    <row r="10" spans="1:13" s="251" customFormat="1">
      <c r="A10" s="250"/>
      <c r="H10" s="336"/>
      <c r="I10" s="336"/>
      <c r="J10" s="336"/>
      <c r="K10" s="336"/>
      <c r="L10" s="336"/>
    </row>
    <row r="11" spans="1:13" s="251" customFormat="1">
      <c r="A11" s="250"/>
      <c r="H11" s="336" t="s">
        <v>39</v>
      </c>
      <c r="I11" s="336" t="s">
        <v>39</v>
      </c>
      <c r="J11" s="336" t="s">
        <v>40</v>
      </c>
      <c r="K11" s="336" t="s">
        <v>40</v>
      </c>
      <c r="L11" s="336"/>
    </row>
    <row r="12" spans="1:13" s="251" customFormat="1">
      <c r="A12" s="252" t="s">
        <v>41</v>
      </c>
      <c r="C12" s="255" t="s">
        <v>42</v>
      </c>
      <c r="D12" s="255"/>
      <c r="E12" s="255"/>
      <c r="F12" s="255"/>
      <c r="H12" s="288" t="s">
        <v>43</v>
      </c>
      <c r="I12" s="288" t="s">
        <v>43</v>
      </c>
      <c r="J12" s="288" t="s">
        <v>43</v>
      </c>
      <c r="K12" s="288" t="s">
        <v>43</v>
      </c>
      <c r="L12" s="336"/>
    </row>
    <row r="13" spans="1:13" s="299" customFormat="1">
      <c r="A13" s="367"/>
      <c r="L13" s="301"/>
    </row>
    <row r="14" spans="1:13" s="251" customFormat="1">
      <c r="A14" s="367"/>
      <c r="C14" s="251" t="s">
        <v>44</v>
      </c>
      <c r="L14" s="272"/>
    </row>
    <row r="15" spans="1:13" s="251" customFormat="1">
      <c r="A15" s="367"/>
      <c r="C15" s="251" t="s">
        <v>45</v>
      </c>
      <c r="L15" s="272"/>
    </row>
    <row r="16" spans="1:13" s="299" customFormat="1">
      <c r="A16" s="367">
        <v>1</v>
      </c>
      <c r="D16" s="299" t="s">
        <v>46</v>
      </c>
      <c r="H16" s="514">
        <f>'B-2 TFO Rev Req'!M11</f>
        <v>889.91834661815915</v>
      </c>
      <c r="I16" s="372">
        <v>875.04715699999997</v>
      </c>
      <c r="J16" s="378">
        <v>864.36927700000001</v>
      </c>
      <c r="K16" s="378">
        <v>632.6120899199999</v>
      </c>
      <c r="L16" s="378"/>
      <c r="M16" s="366"/>
    </row>
    <row r="17" spans="1:18" s="299" customFormat="1">
      <c r="A17" s="367">
        <f>A16+1</f>
        <v>2</v>
      </c>
      <c r="D17" s="299" t="s">
        <v>47</v>
      </c>
      <c r="H17" s="514">
        <f>'B-2 TFO Rev Req'!M12</f>
        <v>648.18736419614902</v>
      </c>
      <c r="I17" s="372">
        <v>683.67359592675484</v>
      </c>
      <c r="J17" s="378">
        <v>699.96643554999991</v>
      </c>
      <c r="K17" s="378">
        <v>685.59889499999997</v>
      </c>
      <c r="L17" s="378"/>
      <c r="M17" s="366"/>
    </row>
    <row r="18" spans="1:18" s="299" customFormat="1">
      <c r="A18" s="367">
        <f t="shared" ref="A18:A30" si="0">A17+1</f>
        <v>3</v>
      </c>
      <c r="E18" s="299" t="s">
        <v>48</v>
      </c>
      <c r="H18" s="515">
        <v>-1.056489</v>
      </c>
      <c r="I18" s="512">
        <v>-1.1288617400000001</v>
      </c>
      <c r="J18" s="379">
        <v>-1.9398488600000001</v>
      </c>
      <c r="K18" s="379">
        <v>-1.1842253899999999</v>
      </c>
      <c r="L18" s="506"/>
      <c r="M18" s="366"/>
    </row>
    <row r="19" spans="1:18" s="299" customFormat="1">
      <c r="A19" s="367">
        <f t="shared" si="0"/>
        <v>4</v>
      </c>
      <c r="F19" s="299" t="s">
        <v>49</v>
      </c>
      <c r="H19" s="513">
        <f>SUM(H17:H18)</f>
        <v>647.13087519614896</v>
      </c>
      <c r="I19" s="372">
        <f>SUM(I17:I18)</f>
        <v>682.54473418675479</v>
      </c>
      <c r="J19" s="372">
        <f>SUM(J17:J18)</f>
        <v>698.02658668999993</v>
      </c>
      <c r="K19" s="372">
        <f>SUM(K17:K18)</f>
        <v>684.41466960999992</v>
      </c>
      <c r="L19" s="372"/>
      <c r="M19" s="366"/>
      <c r="N19" s="455"/>
    </row>
    <row r="20" spans="1:18" s="299" customFormat="1">
      <c r="A20" s="367">
        <f t="shared" si="0"/>
        <v>5</v>
      </c>
      <c r="D20" s="299" t="s">
        <v>50</v>
      </c>
      <c r="H20" s="514">
        <f>'B-2 TFO Rev Req'!M13</f>
        <v>135.723794076329</v>
      </c>
      <c r="I20" s="372">
        <v>122.7317533526636</v>
      </c>
      <c r="J20" s="380">
        <v>105.23416944</v>
      </c>
      <c r="K20" s="380">
        <v>102.00136447</v>
      </c>
      <c r="L20" s="380"/>
      <c r="M20" s="366"/>
    </row>
    <row r="21" spans="1:18" s="299" customFormat="1">
      <c r="A21" s="367">
        <f t="shared" si="0"/>
        <v>6</v>
      </c>
      <c r="D21" s="299" t="s">
        <v>51</v>
      </c>
      <c r="H21" s="514">
        <f>'B-2 TFO Rev Req'!M14</f>
        <v>126.68951300000001</v>
      </c>
      <c r="I21" s="372">
        <v>124.69245465144759</v>
      </c>
      <c r="J21" s="380">
        <v>113.109996</v>
      </c>
      <c r="K21" s="380">
        <v>110.630004</v>
      </c>
      <c r="L21" s="380"/>
      <c r="M21" s="366"/>
    </row>
    <row r="22" spans="1:18" s="299" customFormat="1">
      <c r="A22" s="367">
        <f t="shared" si="0"/>
        <v>7</v>
      </c>
      <c r="D22" s="299" t="s">
        <v>52</v>
      </c>
      <c r="H22" s="514">
        <f>'B-2 TFO Rev Req'!M15</f>
        <v>9.8359951489606008</v>
      </c>
      <c r="I22" s="372">
        <v>9.8359951489606008</v>
      </c>
      <c r="J22" s="380">
        <v>9.422428</v>
      </c>
      <c r="K22" s="380">
        <v>9.3449799999999996</v>
      </c>
      <c r="L22" s="380"/>
      <c r="M22" s="526"/>
    </row>
    <row r="23" spans="1:18" s="299" customFormat="1">
      <c r="A23" s="367">
        <f t="shared" si="0"/>
        <v>8</v>
      </c>
      <c r="D23" s="299" t="s">
        <v>53</v>
      </c>
      <c r="H23" s="514">
        <f>'B-2 TFO Rev Req'!M16</f>
        <v>9.4193123980179401</v>
      </c>
      <c r="I23" s="372">
        <v>8.1606240000000003</v>
      </c>
      <c r="J23" s="380">
        <v>8.1606240000000003</v>
      </c>
      <c r="K23" s="380">
        <v>7.5193079999999997</v>
      </c>
      <c r="L23" s="380"/>
      <c r="M23" s="366"/>
    </row>
    <row r="24" spans="1:18" s="299" customFormat="1">
      <c r="A24" s="367">
        <f t="shared" si="0"/>
        <v>9</v>
      </c>
      <c r="D24" s="299" t="s">
        <v>54</v>
      </c>
      <c r="H24" s="514">
        <f>'B-2 TFO Rev Req'!M17</f>
        <v>5.6085469999999997</v>
      </c>
      <c r="I24" s="372">
        <v>5.2749959999999998</v>
      </c>
      <c r="J24" s="380">
        <v>5.2299963399999996</v>
      </c>
      <c r="K24" s="380">
        <v>5.0771917100000001</v>
      </c>
      <c r="L24" s="380"/>
      <c r="M24" s="366"/>
    </row>
    <row r="25" spans="1:18" s="299" customFormat="1">
      <c r="A25" s="367">
        <f t="shared" si="0"/>
        <v>10</v>
      </c>
      <c r="D25" s="299" t="s">
        <v>55</v>
      </c>
      <c r="H25" s="514">
        <f>'B-2 TFO Rev Req'!M18</f>
        <v>4.7705318854189116</v>
      </c>
      <c r="I25" s="372">
        <v>4.8646089999999997</v>
      </c>
      <c r="J25" s="380">
        <v>5.0589040000000001</v>
      </c>
      <c r="K25" s="380">
        <v>0</v>
      </c>
      <c r="L25" s="380"/>
      <c r="M25" s="366"/>
      <c r="N25" s="454"/>
      <c r="O25" s="454"/>
      <c r="P25" s="454"/>
      <c r="Q25" s="454"/>
      <c r="R25" s="454"/>
    </row>
    <row r="26" spans="1:18" s="299" customFormat="1">
      <c r="A26" s="367">
        <f t="shared" si="0"/>
        <v>11</v>
      </c>
      <c r="D26" s="299" t="s">
        <v>56</v>
      </c>
      <c r="H26" s="514">
        <f>'B-2 TFO Rev Req'!M19</f>
        <v>3.060313049959368</v>
      </c>
      <c r="I26" s="372">
        <v>3.1249859999999998</v>
      </c>
      <c r="J26" s="380">
        <v>3.2511860000000001</v>
      </c>
      <c r="K26" s="380">
        <v>0</v>
      </c>
      <c r="L26" s="380"/>
      <c r="M26" s="366"/>
      <c r="N26" s="454"/>
      <c r="O26" s="454"/>
      <c r="P26" s="454"/>
      <c r="Q26" s="454"/>
      <c r="R26" s="454"/>
    </row>
    <row r="27" spans="1:18" s="299" customFormat="1">
      <c r="A27" s="367">
        <f t="shared" si="0"/>
        <v>12</v>
      </c>
      <c r="D27" s="299" t="s">
        <v>57</v>
      </c>
      <c r="H27" s="514">
        <f>'B-2 TFO Rev Req'!M20</f>
        <v>3.1615214039485999</v>
      </c>
      <c r="I27" s="372">
        <v>3.0269200000000001</v>
      </c>
      <c r="J27" s="380">
        <v>2.9650099999999999</v>
      </c>
      <c r="K27" s="380">
        <v>4.9240000000000004</v>
      </c>
      <c r="L27" s="380"/>
      <c r="M27" s="366"/>
      <c r="N27" s="454"/>
      <c r="O27" s="454"/>
      <c r="P27" s="454"/>
      <c r="Q27" s="454"/>
      <c r="R27" s="454"/>
    </row>
    <row r="28" spans="1:18" s="299" customFormat="1">
      <c r="A28" s="367">
        <f t="shared" si="0"/>
        <v>13</v>
      </c>
      <c r="D28" s="299" t="s">
        <v>58</v>
      </c>
      <c r="H28" s="513">
        <v>0</v>
      </c>
      <c r="I28" s="372">
        <v>0</v>
      </c>
      <c r="J28" s="380">
        <v>0</v>
      </c>
      <c r="K28" s="380">
        <v>0</v>
      </c>
      <c r="L28" s="380"/>
      <c r="M28" s="366"/>
      <c r="N28" s="454"/>
      <c r="O28" s="454"/>
      <c r="P28" s="454"/>
      <c r="Q28" s="454"/>
      <c r="R28" s="454"/>
    </row>
    <row r="29" spans="1:18" s="299" customFormat="1">
      <c r="A29" s="367">
        <f t="shared" si="0"/>
        <v>14</v>
      </c>
      <c r="D29" s="299" t="s">
        <v>59</v>
      </c>
      <c r="H29" s="515">
        <f>'B-2 TFO Rev Req'!M21</f>
        <v>108.78742800000001</v>
      </c>
      <c r="I29" s="512">
        <v>108.23353433333335</v>
      </c>
      <c r="J29" s="424">
        <v>107.796285</v>
      </c>
      <c r="K29" s="424">
        <v>107.25145948999999</v>
      </c>
      <c r="L29" s="507"/>
      <c r="M29" s="366"/>
      <c r="N29" s="454"/>
    </row>
    <row r="30" spans="1:18" s="251" customFormat="1">
      <c r="A30" s="367">
        <f t="shared" si="0"/>
        <v>15</v>
      </c>
      <c r="E30" s="251" t="s">
        <v>60</v>
      </c>
      <c r="H30" s="462">
        <f>SUM(H16,H19:H29)</f>
        <v>1944.1061777769426</v>
      </c>
      <c r="I30" s="373">
        <f>SUM(I16,I19:I29)</f>
        <v>1947.5377636731603</v>
      </c>
      <c r="J30" s="373">
        <f>SUM(J16,J19:J29)</f>
        <v>1922.6244624699998</v>
      </c>
      <c r="K30" s="373">
        <f>SUM(K16,K19:K29)</f>
        <v>1663.7750671999997</v>
      </c>
      <c r="L30" s="373"/>
      <c r="M30" s="408"/>
      <c r="N30" s="475"/>
    </row>
    <row r="31" spans="1:18" s="299" customFormat="1">
      <c r="A31" s="367"/>
      <c r="H31" s="516"/>
      <c r="I31" s="377"/>
      <c r="J31" s="377"/>
      <c r="K31" s="377"/>
      <c r="L31" s="377"/>
    </row>
    <row r="32" spans="1:18" s="299" customFormat="1">
      <c r="A32" s="367"/>
      <c r="C32" s="251" t="s">
        <v>61</v>
      </c>
      <c r="D32" s="251"/>
      <c r="E32" s="251"/>
      <c r="F32" s="251"/>
      <c r="H32" s="516"/>
      <c r="I32" s="377"/>
      <c r="J32" s="377"/>
      <c r="K32" s="377"/>
      <c r="L32" s="377"/>
    </row>
    <row r="33" spans="1:16" s="299" customFormat="1">
      <c r="A33" s="367">
        <f>A30+1</f>
        <v>16</v>
      </c>
      <c r="D33" s="299" t="s">
        <v>62</v>
      </c>
      <c r="H33" s="517">
        <v>0</v>
      </c>
      <c r="I33" s="374">
        <v>0</v>
      </c>
      <c r="J33" s="374" t="s">
        <v>63</v>
      </c>
      <c r="K33" s="374">
        <v>2</v>
      </c>
      <c r="L33" s="374"/>
      <c r="M33" s="366"/>
    </row>
    <row r="34" spans="1:16" s="299" customFormat="1">
      <c r="A34" s="367">
        <f>A33+1</f>
        <v>17</v>
      </c>
      <c r="D34" s="299" t="s">
        <v>64</v>
      </c>
      <c r="H34" s="518">
        <v>0</v>
      </c>
      <c r="I34" s="384">
        <v>0.35999799999999998</v>
      </c>
      <c r="J34" s="384">
        <v>1.6158775800000005</v>
      </c>
      <c r="K34" s="384">
        <v>2</v>
      </c>
      <c r="L34" s="374"/>
      <c r="M34" s="366"/>
    </row>
    <row r="35" spans="1:16" s="251" customFormat="1">
      <c r="A35" s="367">
        <f>A34+1</f>
        <v>18</v>
      </c>
      <c r="E35" s="251" t="s">
        <v>65</v>
      </c>
      <c r="H35" s="462">
        <f>SUM(H33:H34)</f>
        <v>0</v>
      </c>
      <c r="I35" s="373">
        <v>0.35999799999999998</v>
      </c>
      <c r="J35" s="373">
        <f>SUM(J33:J34)</f>
        <v>1.6158775800000005</v>
      </c>
      <c r="K35" s="373">
        <f>SUM(K33:K34)</f>
        <v>4</v>
      </c>
      <c r="L35" s="373"/>
      <c r="M35" s="366"/>
      <c r="O35" s="477"/>
    </row>
    <row r="36" spans="1:16" s="251" customFormat="1" ht="13.5" thickBot="1">
      <c r="A36" s="367">
        <f>A35+1</f>
        <v>19</v>
      </c>
      <c r="F36" s="251" t="s">
        <v>66</v>
      </c>
      <c r="H36" s="555">
        <f>SUM(H30,H35)</f>
        <v>1944.1061777769426</v>
      </c>
      <c r="I36" s="556">
        <f t="shared" ref="I36:J36" si="1">SUM(I30,I35)</f>
        <v>1947.8977616731602</v>
      </c>
      <c r="J36" s="556">
        <f t="shared" si="1"/>
        <v>1924.2403400499998</v>
      </c>
      <c r="K36" s="556">
        <f t="shared" ref="K36" si="2">SUM(K30,K35)</f>
        <v>1667.7750671999997</v>
      </c>
      <c r="L36" s="373"/>
      <c r="M36" s="511"/>
      <c r="N36" s="476"/>
      <c r="O36" s="477"/>
      <c r="P36" s="477"/>
    </row>
    <row r="37" spans="1:16" s="299" customFormat="1">
      <c r="A37" s="367"/>
      <c r="H37" s="462"/>
      <c r="I37" s="373"/>
      <c r="J37" s="373"/>
      <c r="K37" s="373"/>
      <c r="L37" s="374"/>
      <c r="N37" s="489"/>
      <c r="O37" s="475"/>
    </row>
    <row r="38" spans="1:16" s="251" customFormat="1">
      <c r="A38" s="367"/>
      <c r="C38" s="251" t="s">
        <v>67</v>
      </c>
      <c r="H38" s="465"/>
      <c r="I38" s="406"/>
      <c r="J38" s="406"/>
      <c r="K38" s="406"/>
      <c r="L38" s="374"/>
    </row>
    <row r="39" spans="1:16" s="251" customFormat="1">
      <c r="A39" s="367"/>
      <c r="C39" s="251" t="s">
        <v>68</v>
      </c>
      <c r="H39" s="463"/>
      <c r="I39" s="374"/>
      <c r="J39" s="374"/>
      <c r="K39" s="374"/>
      <c r="L39" s="374"/>
    </row>
    <row r="40" spans="1:16" s="299" customFormat="1">
      <c r="A40" s="367"/>
      <c r="D40" s="299" t="s">
        <v>69</v>
      </c>
      <c r="H40" s="463"/>
      <c r="I40" s="374"/>
      <c r="J40" s="374"/>
      <c r="K40" s="374"/>
      <c r="L40" s="374"/>
    </row>
    <row r="41" spans="1:16" s="299" customFormat="1">
      <c r="A41" s="367">
        <f>A36+1</f>
        <v>20</v>
      </c>
      <c r="E41" s="299" t="s">
        <v>70</v>
      </c>
      <c r="H41" s="463">
        <v>107.458562</v>
      </c>
      <c r="I41" s="374">
        <v>64.491540999999998</v>
      </c>
      <c r="J41" s="374">
        <v>115.31456900000001</v>
      </c>
      <c r="K41" s="374">
        <v>75.718278549999994</v>
      </c>
      <c r="L41" s="374"/>
      <c r="M41" s="366"/>
    </row>
    <row r="42" spans="1:16" s="299" customFormat="1">
      <c r="A42" s="367">
        <f>A41+1</f>
        <v>21</v>
      </c>
      <c r="E42" s="299" t="s">
        <v>71</v>
      </c>
      <c r="H42" s="463">
        <v>118.870493</v>
      </c>
      <c r="I42" s="374">
        <v>117.915792</v>
      </c>
      <c r="J42" s="374">
        <v>223.05141613999999</v>
      </c>
      <c r="K42" s="374">
        <v>143.53645925000001</v>
      </c>
      <c r="L42" s="374"/>
      <c r="M42" s="366"/>
    </row>
    <row r="43" spans="1:16" s="299" customFormat="1">
      <c r="A43" s="367">
        <f>A42+1</f>
        <v>22</v>
      </c>
      <c r="E43" s="299" t="s">
        <v>72</v>
      </c>
      <c r="H43" s="464">
        <v>46.452967999999998</v>
      </c>
      <c r="I43" s="384">
        <v>73.333202</v>
      </c>
      <c r="J43" s="384">
        <v>127.98574165000001</v>
      </c>
      <c r="K43" s="384">
        <v>95.613568389999998</v>
      </c>
      <c r="L43" s="374"/>
      <c r="M43" s="366"/>
    </row>
    <row r="44" spans="1:16" s="251" customFormat="1">
      <c r="A44" s="367">
        <f>A43+1</f>
        <v>23</v>
      </c>
      <c r="F44" s="251" t="s">
        <v>73</v>
      </c>
      <c r="H44" s="466">
        <f>SUM(H41:H43)</f>
        <v>272.78202299999998</v>
      </c>
      <c r="I44" s="385">
        <f>SUM(I41:I43)</f>
        <v>255.74053499999999</v>
      </c>
      <c r="J44" s="385">
        <f t="shared" ref="J44:K44" si="3">SUM(J41:J43)</f>
        <v>466.35172679000004</v>
      </c>
      <c r="K44" s="385">
        <f t="shared" si="3"/>
        <v>314.86830619</v>
      </c>
      <c r="L44" s="385"/>
      <c r="M44" s="366"/>
    </row>
    <row r="45" spans="1:16" s="299" customFormat="1">
      <c r="A45" s="367"/>
      <c r="D45" s="299" t="s">
        <v>74</v>
      </c>
      <c r="H45" s="463"/>
      <c r="I45" s="374"/>
      <c r="J45" s="374"/>
      <c r="K45" s="374"/>
      <c r="L45" s="374"/>
      <c r="M45" s="366"/>
    </row>
    <row r="46" spans="1:16" s="299" customFormat="1">
      <c r="A46" s="367">
        <f>A44+1</f>
        <v>24</v>
      </c>
      <c r="E46" s="299" t="s">
        <v>70</v>
      </c>
      <c r="H46" s="463">
        <v>35.020750000000007</v>
      </c>
      <c r="I46" s="374">
        <v>4.5600000000000005</v>
      </c>
      <c r="J46" s="374">
        <v>24.373093749999999</v>
      </c>
      <c r="K46" s="374">
        <v>5.7271444900000006</v>
      </c>
      <c r="L46" s="374"/>
      <c r="M46" s="366"/>
    </row>
    <row r="47" spans="1:16" s="299" customFormat="1">
      <c r="A47" s="367">
        <f>A46+1</f>
        <v>25</v>
      </c>
      <c r="E47" s="299" t="s">
        <v>71</v>
      </c>
      <c r="H47" s="463">
        <v>5.7911789999999996</v>
      </c>
      <c r="I47" s="374">
        <v>7.64</v>
      </c>
      <c r="J47" s="374">
        <v>8.4094136400000004</v>
      </c>
      <c r="K47" s="374">
        <v>14.49905388</v>
      </c>
      <c r="L47" s="374"/>
      <c r="M47" s="366"/>
    </row>
    <row r="48" spans="1:16" s="299" customFormat="1">
      <c r="A48" s="367">
        <f>A47+1</f>
        <v>26</v>
      </c>
      <c r="E48" s="299" t="s">
        <v>72</v>
      </c>
      <c r="H48" s="464">
        <v>1.27129</v>
      </c>
      <c r="I48" s="374">
        <v>1.52</v>
      </c>
      <c r="J48" s="384">
        <v>2.0146865300000001</v>
      </c>
      <c r="K48" s="374">
        <v>4.0708579799999995</v>
      </c>
      <c r="L48" s="374"/>
      <c r="M48" s="366"/>
    </row>
    <row r="49" spans="1:16" s="251" customFormat="1">
      <c r="A49" s="367">
        <f>A48+1</f>
        <v>27</v>
      </c>
      <c r="F49" s="251" t="s">
        <v>75</v>
      </c>
      <c r="G49" s="302"/>
      <c r="H49" s="466">
        <f>SUM(H46:H48)</f>
        <v>42.083219000000007</v>
      </c>
      <c r="I49" s="386">
        <f>SUM(I46:I48)</f>
        <v>13.719999999999999</v>
      </c>
      <c r="J49" s="386">
        <f t="shared" ref="J49:K49" si="4">SUM(J46:J48)</f>
        <v>34.797193919999998</v>
      </c>
      <c r="K49" s="386">
        <f t="shared" si="4"/>
        <v>24.297056349999998</v>
      </c>
      <c r="L49" s="385"/>
      <c r="M49" s="366"/>
    </row>
    <row r="50" spans="1:16" s="299" customFormat="1">
      <c r="A50" s="367">
        <f>A49+1</f>
        <v>28</v>
      </c>
      <c r="D50" s="299" t="s">
        <v>76</v>
      </c>
      <c r="H50" s="464">
        <v>-6.4733580000000002</v>
      </c>
      <c r="I50" s="384">
        <v>-4.9198460000000006</v>
      </c>
      <c r="J50" s="384">
        <v>-6.7912526500000006</v>
      </c>
      <c r="K50" s="384">
        <v>-5.6164271499999998</v>
      </c>
      <c r="L50" s="374"/>
      <c r="M50" s="366"/>
    </row>
    <row r="51" spans="1:16" s="251" customFormat="1">
      <c r="A51" s="367">
        <f>A50+1</f>
        <v>29</v>
      </c>
      <c r="E51" s="251" t="s">
        <v>77</v>
      </c>
      <c r="H51" s="466">
        <f>SUM(H44,H49:H50)</f>
        <v>308.39188399999995</v>
      </c>
      <c r="I51" s="385">
        <f>SUM(I44,I49:I50)</f>
        <v>264.54068899999999</v>
      </c>
      <c r="J51" s="385">
        <f t="shared" ref="J51:K51" si="5">SUM(J44,J49:J50)</f>
        <v>494.35766806000004</v>
      </c>
      <c r="K51" s="385">
        <f t="shared" si="5"/>
        <v>333.54893539</v>
      </c>
      <c r="L51" s="385"/>
      <c r="M51" s="366"/>
      <c r="N51" s="477"/>
    </row>
    <row r="52" spans="1:16" s="299" customFormat="1">
      <c r="A52" s="367"/>
      <c r="H52" s="463"/>
      <c r="I52" s="374"/>
      <c r="J52" s="374"/>
      <c r="K52" s="374"/>
      <c r="L52" s="374"/>
      <c r="M52" s="366"/>
    </row>
    <row r="53" spans="1:16" s="251" customFormat="1">
      <c r="A53" s="367"/>
      <c r="C53" s="251" t="s">
        <v>78</v>
      </c>
      <c r="H53" s="463"/>
      <c r="I53" s="374"/>
      <c r="J53" s="374"/>
      <c r="K53" s="374"/>
      <c r="L53" s="374"/>
      <c r="M53" s="366"/>
    </row>
    <row r="54" spans="1:16" s="299" customFormat="1">
      <c r="A54" s="367">
        <f>A51+1</f>
        <v>30</v>
      </c>
      <c r="D54" s="299" t="s">
        <v>79</v>
      </c>
      <c r="H54" s="463">
        <v>2.8393630000000001</v>
      </c>
      <c r="I54" s="374">
        <v>2.7</v>
      </c>
      <c r="J54" s="374">
        <v>2.5087210400000002</v>
      </c>
      <c r="K54" s="374">
        <v>2.4359333900000002</v>
      </c>
      <c r="L54" s="374"/>
      <c r="M54" s="366"/>
    </row>
    <row r="55" spans="1:16" s="299" customFormat="1">
      <c r="A55" s="367">
        <f t="shared" ref="A55:A63" si="6">A54+1</f>
        <v>31</v>
      </c>
      <c r="D55" s="299" t="s">
        <v>80</v>
      </c>
      <c r="H55" s="463">
        <v>3.7</v>
      </c>
      <c r="I55" s="374">
        <v>5.3</v>
      </c>
      <c r="J55" s="374">
        <v>3.1433682099999998</v>
      </c>
      <c r="K55" s="374">
        <v>6.3657876199999999</v>
      </c>
      <c r="L55" s="374"/>
      <c r="M55" s="366"/>
    </row>
    <row r="56" spans="1:16" s="299" customFormat="1">
      <c r="A56" s="367">
        <f t="shared" si="6"/>
        <v>32</v>
      </c>
      <c r="D56" s="299" t="s">
        <v>81</v>
      </c>
      <c r="H56" s="531">
        <v>38.548216000000004</v>
      </c>
      <c r="I56" s="374">
        <v>26.6</v>
      </c>
      <c r="J56" s="374">
        <v>30.578646989999999</v>
      </c>
      <c r="K56" s="374">
        <v>31.377692209999999</v>
      </c>
      <c r="L56" s="374"/>
      <c r="M56" s="366"/>
    </row>
    <row r="57" spans="1:16" s="299" customFormat="1">
      <c r="A57" s="367">
        <f t="shared" si="6"/>
        <v>33</v>
      </c>
      <c r="D57" s="299" t="s">
        <v>82</v>
      </c>
      <c r="H57" s="463">
        <v>2.8571430000000002</v>
      </c>
      <c r="I57" s="374">
        <v>2.9</v>
      </c>
      <c r="J57" s="374">
        <v>2.8571428800000001</v>
      </c>
      <c r="K57" s="374">
        <v>2.8571428800000001</v>
      </c>
      <c r="L57" s="374"/>
      <c r="M57" s="366"/>
    </row>
    <row r="58" spans="1:16" s="299" customFormat="1">
      <c r="A58" s="529">
        <f t="shared" si="6"/>
        <v>34</v>
      </c>
      <c r="B58" s="530"/>
      <c r="C58" s="530"/>
      <c r="D58" s="530" t="s">
        <v>83</v>
      </c>
      <c r="E58" s="530"/>
      <c r="F58" s="530"/>
      <c r="G58" s="530"/>
      <c r="H58" s="531">
        <v>3.5278740000000002</v>
      </c>
      <c r="I58" s="531">
        <v>0</v>
      </c>
      <c r="J58" s="531">
        <v>0</v>
      </c>
      <c r="K58" s="531">
        <v>0</v>
      </c>
      <c r="L58" s="374"/>
      <c r="M58" s="366"/>
    </row>
    <row r="59" spans="1:16" s="299" customFormat="1">
      <c r="A59" s="367">
        <f>A58+1</f>
        <v>35</v>
      </c>
      <c r="D59" s="299" t="s">
        <v>84</v>
      </c>
      <c r="H59" s="463">
        <v>4</v>
      </c>
      <c r="I59" s="374">
        <v>1</v>
      </c>
      <c r="J59" s="374">
        <v>1.8034489300000005</v>
      </c>
      <c r="K59" s="374">
        <v>2.6504296099999998</v>
      </c>
      <c r="L59" s="374"/>
      <c r="M59" s="366"/>
    </row>
    <row r="60" spans="1:16" s="299" customFormat="1">
      <c r="A60" s="367">
        <f t="shared" si="6"/>
        <v>36</v>
      </c>
      <c r="D60" s="299" t="s">
        <v>85</v>
      </c>
      <c r="H60" s="463">
        <v>0</v>
      </c>
      <c r="I60" s="374">
        <v>0</v>
      </c>
      <c r="J60" s="374">
        <v>0</v>
      </c>
      <c r="K60" s="374">
        <v>0</v>
      </c>
      <c r="L60" s="374"/>
      <c r="M60" s="366"/>
    </row>
    <row r="61" spans="1:16" s="299" customFormat="1">
      <c r="A61" s="367">
        <f t="shared" si="6"/>
        <v>37</v>
      </c>
      <c r="D61" s="299" t="s">
        <v>86</v>
      </c>
      <c r="H61" s="463">
        <v>0</v>
      </c>
      <c r="I61" s="374">
        <v>0</v>
      </c>
      <c r="J61" s="374">
        <v>0</v>
      </c>
      <c r="K61" s="374">
        <v>0</v>
      </c>
      <c r="L61" s="374"/>
      <c r="M61" s="366"/>
    </row>
    <row r="62" spans="1:16" s="251" customFormat="1">
      <c r="A62" s="367">
        <f t="shared" si="6"/>
        <v>38</v>
      </c>
      <c r="E62" s="251" t="s">
        <v>87</v>
      </c>
      <c r="H62" s="467">
        <f>SUM(H54:H61)</f>
        <v>55.472596000000003</v>
      </c>
      <c r="I62" s="387">
        <f>SUM(I54:I61)</f>
        <v>38.5</v>
      </c>
      <c r="J62" s="387">
        <f>SUM(J54:J61)</f>
        <v>40.891328049999998</v>
      </c>
      <c r="K62" s="387">
        <f>SUM(K54:K61)</f>
        <v>45.686985710000002</v>
      </c>
      <c r="L62" s="385"/>
      <c r="M62" s="366"/>
      <c r="N62" s="476"/>
    </row>
    <row r="63" spans="1:16" s="299" customFormat="1" ht="13.5" thickBot="1">
      <c r="A63" s="367">
        <f t="shared" si="6"/>
        <v>39</v>
      </c>
      <c r="B63" s="251"/>
      <c r="C63" s="251"/>
      <c r="D63" s="251"/>
      <c r="E63" s="251"/>
      <c r="F63" s="251" t="s">
        <v>88</v>
      </c>
      <c r="G63" s="251"/>
      <c r="H63" s="468">
        <f>SUM(H51,H62)</f>
        <v>363.86447999999996</v>
      </c>
      <c r="I63" s="388">
        <f>SUM(I51,I62)</f>
        <v>303.04068899999999</v>
      </c>
      <c r="J63" s="388">
        <f>SUM(J51,J62)</f>
        <v>535.24899611000001</v>
      </c>
      <c r="K63" s="388">
        <f>SUM(K51,K62)</f>
        <v>379.23592109999998</v>
      </c>
      <c r="L63" s="385"/>
      <c r="M63" s="511"/>
      <c r="N63" s="475"/>
      <c r="O63" s="475"/>
      <c r="P63" s="475"/>
    </row>
    <row r="64" spans="1:16" s="299" customFormat="1">
      <c r="A64" s="367"/>
      <c r="B64" s="251"/>
      <c r="C64" s="251"/>
      <c r="D64" s="251"/>
      <c r="E64" s="251"/>
      <c r="F64" s="251"/>
      <c r="G64" s="251"/>
      <c r="H64" s="462"/>
      <c r="I64" s="373"/>
      <c r="J64" s="374"/>
      <c r="K64" s="374"/>
      <c r="L64" s="374"/>
    </row>
    <row r="65" spans="1:17" s="251" customFormat="1">
      <c r="A65" s="367"/>
      <c r="C65" s="251" t="s">
        <v>89</v>
      </c>
      <c r="H65" s="465"/>
      <c r="I65" s="406"/>
      <c r="J65" s="374"/>
      <c r="K65" s="374"/>
      <c r="L65" s="374"/>
    </row>
    <row r="66" spans="1:17" s="299" customFormat="1">
      <c r="A66" s="367">
        <f>A63+1</f>
        <v>40</v>
      </c>
      <c r="D66" s="299" t="s">
        <v>90</v>
      </c>
      <c r="H66" s="469">
        <v>178.3</v>
      </c>
      <c r="I66" s="389">
        <v>183.8</v>
      </c>
      <c r="J66" s="389">
        <v>332.7</v>
      </c>
      <c r="K66" s="389">
        <v>201.8</v>
      </c>
      <c r="L66" s="389"/>
      <c r="N66" s="498"/>
      <c r="O66" s="475"/>
    </row>
    <row r="67" spans="1:17" s="299" customFormat="1" ht="13.5" thickBot="1">
      <c r="A67" s="367">
        <f>A66+1</f>
        <v>41</v>
      </c>
      <c r="B67" s="251"/>
      <c r="C67" s="251"/>
      <c r="D67" s="251"/>
      <c r="E67" s="251" t="s">
        <v>91</v>
      </c>
      <c r="F67" s="251"/>
      <c r="G67" s="251"/>
      <c r="H67" s="468">
        <f t="shared" ref="H67:K67" si="7">H66</f>
        <v>178.3</v>
      </c>
      <c r="I67" s="388">
        <f t="shared" si="7"/>
        <v>183.8</v>
      </c>
      <c r="J67" s="388">
        <f t="shared" si="7"/>
        <v>332.7</v>
      </c>
      <c r="K67" s="388">
        <f t="shared" si="7"/>
        <v>201.8</v>
      </c>
      <c r="L67" s="385"/>
      <c r="M67" s="408"/>
      <c r="N67" s="475"/>
    </row>
    <row r="68" spans="1:17" s="299" customFormat="1">
      <c r="A68" s="367"/>
      <c r="B68" s="251"/>
      <c r="C68" s="251"/>
      <c r="D68" s="251"/>
      <c r="E68" s="251"/>
      <c r="F68" s="251"/>
      <c r="G68" s="251"/>
      <c r="H68" s="465"/>
      <c r="I68" s="406"/>
      <c r="J68" s="374"/>
      <c r="K68" s="374"/>
      <c r="L68" s="374"/>
    </row>
    <row r="69" spans="1:17" s="299" customFormat="1">
      <c r="A69" s="367"/>
      <c r="B69" s="251"/>
      <c r="C69" s="251" t="s">
        <v>92</v>
      </c>
      <c r="D69" s="251"/>
      <c r="E69" s="251"/>
      <c r="F69" s="251"/>
      <c r="G69" s="251"/>
      <c r="H69" s="463"/>
      <c r="I69" s="374"/>
      <c r="J69" s="374"/>
      <c r="K69" s="374"/>
      <c r="L69" s="374"/>
    </row>
    <row r="70" spans="1:17" s="251" customFormat="1">
      <c r="A70" s="367">
        <f>A67+1</f>
        <v>42</v>
      </c>
      <c r="B70" s="299"/>
      <c r="D70" s="299" t="s">
        <v>93</v>
      </c>
      <c r="E70" s="299"/>
      <c r="F70" s="299"/>
      <c r="G70" s="299"/>
      <c r="H70" s="463">
        <v>0.93500000000000005</v>
      </c>
      <c r="I70" s="374">
        <v>2.0379999999999998</v>
      </c>
      <c r="J70" s="374">
        <v>6.2822526700000001</v>
      </c>
      <c r="K70" s="374">
        <v>2.1</v>
      </c>
      <c r="L70" s="374"/>
      <c r="N70" s="299"/>
      <c r="Q70" s="299"/>
    </row>
    <row r="71" spans="1:17" s="299" customFormat="1">
      <c r="A71" s="367">
        <f>A70+1</f>
        <v>43</v>
      </c>
      <c r="D71" s="299" t="s">
        <v>94</v>
      </c>
      <c r="H71" s="463">
        <v>3.1967110000000001</v>
      </c>
      <c r="I71" s="374">
        <v>2.6833052999999989</v>
      </c>
      <c r="J71" s="374">
        <v>2.4129175300000001</v>
      </c>
      <c r="K71" s="374">
        <v>2.2999999999999998</v>
      </c>
      <c r="L71" s="374"/>
    </row>
    <row r="72" spans="1:17" s="251" customFormat="1">
      <c r="A72" s="367">
        <f>A71+1</f>
        <v>44</v>
      </c>
      <c r="B72" s="299"/>
      <c r="D72" s="299" t="s">
        <v>95</v>
      </c>
      <c r="E72" s="299"/>
      <c r="F72" s="299"/>
      <c r="G72" s="299"/>
      <c r="H72" s="463">
        <v>11.205816</v>
      </c>
      <c r="I72" s="374">
        <v>10.188000000000001</v>
      </c>
      <c r="J72" s="384">
        <v>8.8565529999999999</v>
      </c>
      <c r="K72" s="374">
        <v>9.8000000000000007</v>
      </c>
      <c r="L72" s="374"/>
    </row>
    <row r="73" spans="1:17" s="299" customFormat="1" ht="13.5" thickBot="1">
      <c r="A73" s="367">
        <f>A72+1</f>
        <v>45</v>
      </c>
      <c r="B73" s="251"/>
      <c r="C73" s="251"/>
      <c r="D73" s="251"/>
      <c r="E73" s="251" t="s">
        <v>96</v>
      </c>
      <c r="F73" s="251"/>
      <c r="G73" s="251"/>
      <c r="H73" s="470">
        <f>SUM(H70:H72)</f>
        <v>15.337527000000001</v>
      </c>
      <c r="I73" s="393">
        <f>SUM(I70:I72)</f>
        <v>14.9093053</v>
      </c>
      <c r="J73" s="393">
        <f t="shared" ref="J73:K73" si="8">SUM(J70:J72)</f>
        <v>17.551723199999998</v>
      </c>
      <c r="K73" s="393">
        <f t="shared" si="8"/>
        <v>14.200000000000001</v>
      </c>
      <c r="L73" s="508"/>
    </row>
    <row r="74" spans="1:17" s="299" customFormat="1">
      <c r="A74" s="367"/>
      <c r="H74" s="463"/>
      <c r="I74" s="374"/>
      <c r="J74" s="374"/>
      <c r="K74" s="374"/>
      <c r="L74" s="374"/>
    </row>
    <row r="75" spans="1:17" s="299" customFormat="1">
      <c r="A75" s="367"/>
      <c r="B75" s="251"/>
      <c r="C75" s="251" t="s">
        <v>97</v>
      </c>
      <c r="D75" s="251"/>
      <c r="E75" s="251"/>
      <c r="F75" s="251"/>
      <c r="G75" s="251"/>
      <c r="H75" s="463"/>
      <c r="I75" s="374"/>
      <c r="J75" s="374"/>
      <c r="K75" s="374"/>
      <c r="L75" s="374"/>
    </row>
    <row r="76" spans="1:17" s="251" customFormat="1">
      <c r="A76" s="367"/>
      <c r="C76" s="251" t="s">
        <v>98</v>
      </c>
      <c r="H76" s="463"/>
      <c r="I76" s="374"/>
      <c r="J76" s="374"/>
      <c r="K76" s="374"/>
      <c r="L76" s="374"/>
    </row>
    <row r="77" spans="1:17" s="299" customFormat="1" ht="12.75" customHeight="1">
      <c r="A77" s="367">
        <f>A73+1</f>
        <v>46</v>
      </c>
      <c r="D77" s="299" t="s">
        <v>99</v>
      </c>
      <c r="H77" s="463">
        <v>71.977021276700981</v>
      </c>
      <c r="I77" s="374">
        <v>60.755719826184816</v>
      </c>
      <c r="J77" s="374">
        <v>56.391184010000003</v>
      </c>
      <c r="K77" s="374">
        <v>52.973614829999995</v>
      </c>
      <c r="L77" s="374"/>
      <c r="M77" s="392"/>
    </row>
    <row r="78" spans="1:17" s="251" customFormat="1">
      <c r="A78" s="367">
        <f t="shared" ref="A78:A81" si="9">A77+1</f>
        <v>47</v>
      </c>
      <c r="B78" s="299"/>
      <c r="D78" s="299" t="s">
        <v>100</v>
      </c>
      <c r="E78" s="299"/>
      <c r="F78" s="299"/>
      <c r="G78" s="299"/>
      <c r="H78" s="463">
        <v>5.8069568487464709</v>
      </c>
      <c r="I78" s="374">
        <v>3.9774762889000002</v>
      </c>
      <c r="J78" s="374">
        <v>1.7155151500000001</v>
      </c>
      <c r="K78" s="374">
        <v>3.4743987000000001</v>
      </c>
      <c r="L78" s="374"/>
      <c r="M78" s="392"/>
    </row>
    <row r="79" spans="1:17" s="299" customFormat="1">
      <c r="A79" s="367">
        <f t="shared" si="9"/>
        <v>48</v>
      </c>
      <c r="D79" s="299" t="s">
        <v>101</v>
      </c>
      <c r="H79" s="463">
        <v>4.8446248450000011</v>
      </c>
      <c r="I79" s="374">
        <v>4.418606936334486</v>
      </c>
      <c r="J79" s="374">
        <v>4.0477999999999996</v>
      </c>
      <c r="K79" s="374">
        <v>2.6506785599999989</v>
      </c>
      <c r="L79" s="374"/>
      <c r="M79" s="392"/>
    </row>
    <row r="80" spans="1:17" s="299" customFormat="1">
      <c r="A80" s="367">
        <f t="shared" si="9"/>
        <v>49</v>
      </c>
      <c r="D80" s="299" t="s">
        <v>102</v>
      </c>
      <c r="H80" s="463">
        <v>3.6980816430000001</v>
      </c>
      <c r="I80" s="374">
        <v>3.1918694639999994</v>
      </c>
      <c r="J80" s="374">
        <v>3.3818275600000005</v>
      </c>
      <c r="K80" s="374">
        <v>2.8645823500000001</v>
      </c>
      <c r="L80" s="374"/>
      <c r="M80" s="392"/>
    </row>
    <row r="81" spans="1:15" s="299" customFormat="1">
      <c r="A81" s="367">
        <f t="shared" si="9"/>
        <v>50</v>
      </c>
      <c r="D81" s="299" t="s">
        <v>103</v>
      </c>
      <c r="H81" s="463">
        <v>10.065002342000001</v>
      </c>
      <c r="I81" s="374">
        <v>8.9434897671800009</v>
      </c>
      <c r="J81" s="374">
        <v>7.6431936800000004</v>
      </c>
      <c r="K81" s="374">
        <v>7.7571910299999995</v>
      </c>
      <c r="L81" s="374"/>
      <c r="M81" s="392"/>
    </row>
    <row r="82" spans="1:15" s="299" customFormat="1">
      <c r="A82" s="367">
        <f>A81+1</f>
        <v>51</v>
      </c>
      <c r="B82" s="251"/>
      <c r="C82" s="251"/>
      <c r="D82" s="251"/>
      <c r="E82" s="251" t="s">
        <v>104</v>
      </c>
      <c r="F82" s="251"/>
      <c r="G82" s="251"/>
      <c r="H82" s="467">
        <f>SUM(H77:H81)</f>
        <v>96.39168695544744</v>
      </c>
      <c r="I82" s="387">
        <f>SUM(I77:I81)</f>
        <v>81.287162282599283</v>
      </c>
      <c r="J82" s="387">
        <f t="shared" ref="J82:K82" si="10">SUM(J77:J81)</f>
        <v>73.179520400000001</v>
      </c>
      <c r="K82" s="387">
        <f t="shared" si="10"/>
        <v>69.720465469999994</v>
      </c>
      <c r="L82" s="385"/>
      <c r="M82" s="525"/>
      <c r="N82" s="475"/>
    </row>
    <row r="83" spans="1:15" s="299" customFormat="1">
      <c r="A83" s="367"/>
      <c r="H83" s="463"/>
      <c r="I83" s="374"/>
      <c r="J83" s="374"/>
      <c r="K83" s="374"/>
      <c r="L83" s="374"/>
    </row>
    <row r="84" spans="1:15" s="299" customFormat="1">
      <c r="A84" s="367"/>
      <c r="B84" s="251"/>
      <c r="C84" s="251" t="s">
        <v>105</v>
      </c>
      <c r="D84" s="251"/>
      <c r="E84" s="251"/>
      <c r="F84" s="251"/>
      <c r="G84" s="251"/>
      <c r="H84" s="463"/>
      <c r="I84" s="374"/>
      <c r="J84" s="374"/>
      <c r="K84" s="374"/>
      <c r="L84" s="374"/>
    </row>
    <row r="85" spans="1:15" s="299" customFormat="1">
      <c r="A85" s="367">
        <f>A82+1</f>
        <v>52</v>
      </c>
      <c r="B85" s="251"/>
      <c r="C85" s="251"/>
      <c r="D85" s="299" t="s">
        <v>106</v>
      </c>
      <c r="E85" s="251"/>
      <c r="F85" s="251"/>
      <c r="G85" s="251"/>
      <c r="H85" s="463">
        <v>0</v>
      </c>
      <c r="I85" s="374">
        <v>0</v>
      </c>
      <c r="J85" s="374">
        <v>0</v>
      </c>
      <c r="K85" s="374">
        <v>0</v>
      </c>
      <c r="L85" s="374"/>
    </row>
    <row r="86" spans="1:15" s="299" customFormat="1">
      <c r="A86" s="367">
        <f>A85+1</f>
        <v>53</v>
      </c>
      <c r="D86" s="299" t="s">
        <v>107</v>
      </c>
      <c r="H86" s="463">
        <v>0.50269699999999995</v>
      </c>
      <c r="I86" s="374">
        <v>0.5745845544</v>
      </c>
      <c r="J86" s="374">
        <v>0.49950783999999998</v>
      </c>
      <c r="K86" s="374">
        <v>1</v>
      </c>
      <c r="L86" s="374"/>
    </row>
    <row r="87" spans="1:15" s="299" customFormat="1">
      <c r="A87" s="367">
        <f>A86+1</f>
        <v>54</v>
      </c>
      <c r="D87" s="299" t="s">
        <v>108</v>
      </c>
      <c r="H87" s="463">
        <v>19.198892000000001</v>
      </c>
      <c r="I87" s="374">
        <v>17.122</v>
      </c>
      <c r="J87" s="384">
        <v>17.550548150000001</v>
      </c>
      <c r="K87" s="374">
        <v>21</v>
      </c>
      <c r="L87" s="374"/>
    </row>
    <row r="88" spans="1:15" s="299" customFormat="1">
      <c r="A88" s="367">
        <f>A87+1</f>
        <v>55</v>
      </c>
      <c r="B88" s="251"/>
      <c r="C88" s="251"/>
      <c r="D88" s="251"/>
      <c r="E88" s="251" t="s">
        <v>109</v>
      </c>
      <c r="F88" s="251"/>
      <c r="G88" s="251"/>
      <c r="H88" s="467">
        <f>SUM(H85:H87)</f>
        <v>19.701589000000002</v>
      </c>
      <c r="I88" s="387">
        <f>SUM(I85:I87)</f>
        <v>17.696584554400001</v>
      </c>
      <c r="J88" s="387">
        <f t="shared" ref="J88" si="11">SUM(J85:J87)</f>
        <v>18.050055990000001</v>
      </c>
      <c r="K88" s="387">
        <f t="shared" ref="K88" si="12">SUM(K85:K87)</f>
        <v>22</v>
      </c>
      <c r="L88" s="385"/>
    </row>
    <row r="89" spans="1:15" s="251" customFormat="1" ht="13.5" thickBot="1">
      <c r="A89" s="367">
        <f>A88+1</f>
        <v>56</v>
      </c>
      <c r="F89" s="251" t="s">
        <v>110</v>
      </c>
      <c r="H89" s="468">
        <f>SUM(H82,H88)</f>
        <v>116.09327595544744</v>
      </c>
      <c r="I89" s="388">
        <f>SUM(I82,I88)</f>
        <v>98.983746836999288</v>
      </c>
      <c r="J89" s="388">
        <f t="shared" ref="J89" si="13">SUM(J82,J88)</f>
        <v>91.229576390000005</v>
      </c>
      <c r="K89" s="388">
        <f t="shared" ref="K89" si="14">SUM(K82,K88)</f>
        <v>91.720465469999994</v>
      </c>
      <c r="L89" s="385"/>
    </row>
    <row r="90" spans="1:15" s="299" customFormat="1">
      <c r="A90" s="367"/>
      <c r="H90" s="463"/>
      <c r="I90" s="374"/>
      <c r="J90" s="374"/>
      <c r="K90" s="374"/>
      <c r="L90" s="374"/>
    </row>
    <row r="91" spans="1:15" s="299" customFormat="1" ht="13.5" thickBot="1">
      <c r="A91" s="367">
        <f>A89+1</f>
        <v>57</v>
      </c>
      <c r="B91" s="251"/>
      <c r="C91" s="251" t="s">
        <v>111</v>
      </c>
      <c r="D91" s="251"/>
      <c r="E91" s="251"/>
      <c r="F91" s="251"/>
      <c r="G91" s="251"/>
      <c r="H91" s="471">
        <f>SUM(H73,H89)</f>
        <v>131.43080295544743</v>
      </c>
      <c r="I91" s="390">
        <f>SUM(I73,I89)</f>
        <v>113.89305213699929</v>
      </c>
      <c r="J91" s="390">
        <f t="shared" ref="J91" si="15">SUM(J73,J89)</f>
        <v>108.78129959</v>
      </c>
      <c r="K91" s="390">
        <f t="shared" ref="K91" si="16">SUM(K73,K89)</f>
        <v>105.92046547</v>
      </c>
      <c r="L91" s="385"/>
      <c r="M91" s="525"/>
      <c r="N91" s="475"/>
      <c r="O91" s="475"/>
    </row>
    <row r="92" spans="1:15" s="299" customFormat="1">
      <c r="A92" s="367"/>
      <c r="H92" s="465"/>
      <c r="I92" s="406"/>
      <c r="J92" s="374"/>
      <c r="K92" s="374"/>
      <c r="L92" s="374"/>
      <c r="M92" s="522"/>
    </row>
    <row r="93" spans="1:15" s="251" customFormat="1" ht="13.5" thickBot="1">
      <c r="A93" s="367">
        <f>A91+1</f>
        <v>58</v>
      </c>
      <c r="C93" s="251" t="s">
        <v>112</v>
      </c>
      <c r="H93" s="472">
        <f>SUM(H36,H63,H67,H91)</f>
        <v>2617.7014607323899</v>
      </c>
      <c r="I93" s="425">
        <f>SUM(I36,I63,I67,I91)</f>
        <v>2548.6315028101599</v>
      </c>
      <c r="J93" s="425">
        <f>SUM(J36,J63,J67,J91)</f>
        <v>2900.9706357499995</v>
      </c>
      <c r="K93" s="425">
        <f>SUM(K36,K63,K67,K91)</f>
        <v>2354.7314537699999</v>
      </c>
      <c r="L93" s="373"/>
      <c r="M93" s="524"/>
      <c r="N93" s="477"/>
      <c r="O93" s="477"/>
    </row>
    <row r="94" spans="1:15" s="251" customFormat="1">
      <c r="H94" s="406"/>
      <c r="I94" s="406"/>
      <c r="J94" s="406"/>
      <c r="K94" s="406"/>
      <c r="L94" s="373"/>
    </row>
    <row r="95" spans="1:15" s="299" customFormat="1">
      <c r="A95" s="394" t="s">
        <v>113</v>
      </c>
      <c r="B95" s="299">
        <v>1</v>
      </c>
      <c r="C95" s="299" t="s">
        <v>114</v>
      </c>
      <c r="H95" s="366"/>
      <c r="I95" s="366"/>
      <c r="J95" s="366"/>
      <c r="K95" s="366"/>
      <c r="L95" s="301"/>
    </row>
    <row r="96" spans="1:15" s="299" customFormat="1">
      <c r="B96" s="299">
        <v>2</v>
      </c>
      <c r="C96" s="299" t="s">
        <v>115</v>
      </c>
      <c r="H96" s="475"/>
      <c r="I96" s="475"/>
      <c r="J96" s="475"/>
      <c r="K96" s="475"/>
      <c r="L96" s="475"/>
    </row>
    <row r="97" spans="2:11">
      <c r="B97" s="33">
        <v>3</v>
      </c>
      <c r="C97" s="299" t="s">
        <v>116</v>
      </c>
      <c r="H97" s="438"/>
      <c r="I97" s="438"/>
      <c r="J97" s="438"/>
      <c r="K97" s="438"/>
    </row>
    <row r="98" spans="2:11">
      <c r="B98" s="33">
        <v>4</v>
      </c>
      <c r="C98" s="299" t="s">
        <v>117</v>
      </c>
      <c r="H98" s="305"/>
      <c r="I98" s="438"/>
    </row>
    <row r="99" spans="2:11">
      <c r="H99" s="305"/>
      <c r="I99" s="438"/>
      <c r="J99" s="368"/>
      <c r="K99" s="368"/>
    </row>
    <row r="100" spans="2:11">
      <c r="H100" s="305"/>
      <c r="I100" s="438"/>
      <c r="J100" s="305"/>
      <c r="K100" s="305"/>
    </row>
    <row r="101" spans="2:11">
      <c r="H101" s="305"/>
      <c r="I101" s="438"/>
    </row>
    <row r="102" spans="2:11">
      <c r="H102" s="305"/>
      <c r="I102" s="438"/>
      <c r="J102" s="368"/>
      <c r="K102" s="368"/>
    </row>
    <row r="103" spans="2:11">
      <c r="H103" s="305"/>
      <c r="I103" s="438"/>
      <c r="J103" s="305"/>
      <c r="K103" s="305"/>
    </row>
    <row r="105" spans="2:11">
      <c r="J105" s="368"/>
      <c r="K105" s="368"/>
    </row>
    <row r="106" spans="2:11">
      <c r="J106" s="305"/>
      <c r="K106" s="305"/>
    </row>
    <row r="108" spans="2:11">
      <c r="J108" s="368"/>
      <c r="K108" s="368"/>
    </row>
    <row r="109" spans="2:11">
      <c r="J109" s="305"/>
      <c r="K109" s="305"/>
    </row>
    <row r="112" spans="2:11">
      <c r="J112" s="305"/>
      <c r="K112" s="305"/>
    </row>
  </sheetData>
  <phoneticPr fontId="14" type="noConversion"/>
  <printOptions horizontalCentered="1"/>
  <pageMargins left="0.25" right="0.25" top="0.75" bottom="0.75" header="0.3" footer="0.3"/>
  <pageSetup paperSize="17" scale="91"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7"/>
  <sheetViews>
    <sheetView showGridLines="0" zoomScale="115" zoomScaleNormal="115" workbookViewId="0"/>
  </sheetViews>
  <sheetFormatPr defaultColWidth="12.5" defaultRowHeight="12.75"/>
  <cols>
    <col min="1" max="1" width="10.5" style="135" customWidth="1"/>
    <col min="2" max="2" width="21.83203125" style="135" customWidth="1"/>
    <col min="3" max="3" width="20.5" style="43" customWidth="1"/>
    <col min="4" max="4" width="14.33203125" style="135" customWidth="1"/>
    <col min="5" max="5" width="11.5" style="135" customWidth="1"/>
    <col min="6" max="6" width="18" style="135" bestFit="1" customWidth="1"/>
    <col min="7" max="7" width="14.1640625" style="135" customWidth="1"/>
    <col min="8" max="8" width="18.83203125" style="135" customWidth="1"/>
    <col min="9" max="9" width="56.5" style="135" customWidth="1"/>
    <col min="10" max="10" width="63.1640625" style="135" bestFit="1" customWidth="1"/>
    <col min="11" max="11" width="14.33203125" style="135" customWidth="1"/>
    <col min="12" max="12" width="18.83203125" style="135" customWidth="1"/>
    <col min="13" max="13" width="17.1640625" style="135" customWidth="1"/>
    <col min="14" max="16384" width="12.5" style="135"/>
  </cols>
  <sheetData>
    <row r="1" spans="1:14" s="195" customFormat="1">
      <c r="A1" s="287" t="str">
        <f>Applicant</f>
        <v>Alberta Electric System Operator</v>
      </c>
      <c r="B1" s="284"/>
      <c r="C1" s="287"/>
      <c r="D1" s="284"/>
      <c r="E1" s="284"/>
      <c r="F1" s="284"/>
      <c r="G1" s="284"/>
      <c r="H1" s="284"/>
      <c r="I1" s="284"/>
      <c r="J1" s="284"/>
      <c r="M1" s="4" t="str">
        <f ca="1">TablePrefix&amp;TRIM(MID(CELL("filename",N2),FIND("]",CELL("filename",N2))+1,4))&amp;TableSuffix</f>
        <v>Table B-2</v>
      </c>
    </row>
    <row r="2" spans="1:14" s="195" customFormat="1">
      <c r="A2" s="5" t="str">
        <f>Application</f>
        <v>2024 ISO Tariff Update Application</v>
      </c>
      <c r="B2" s="284"/>
      <c r="C2" s="5"/>
      <c r="D2" s="284"/>
      <c r="E2" s="284"/>
      <c r="F2" s="284"/>
      <c r="G2" s="284"/>
      <c r="H2" s="284"/>
      <c r="I2" s="284"/>
      <c r="J2" s="284"/>
      <c r="M2" s="4" t="str">
        <f>TableDate</f>
        <v>November 16, 2023</v>
      </c>
    </row>
    <row r="3" spans="1:14" s="195" customFormat="1">
      <c r="A3" s="284"/>
      <c r="B3" s="284"/>
      <c r="C3" s="287"/>
      <c r="D3" s="284"/>
      <c r="E3" s="284"/>
      <c r="F3" s="284"/>
      <c r="G3" s="284"/>
      <c r="H3" s="284"/>
      <c r="I3" s="284"/>
      <c r="J3" s="284"/>
      <c r="K3" s="284"/>
      <c r="L3" s="284"/>
    </row>
    <row r="4" spans="1:14" s="286" customFormat="1">
      <c r="A4" s="284"/>
      <c r="B4" s="254"/>
      <c r="C4" s="557"/>
      <c r="D4" s="254"/>
      <c r="E4" s="254"/>
      <c r="F4" s="254"/>
      <c r="G4" s="254"/>
      <c r="H4" s="297"/>
      <c r="I4" s="254"/>
      <c r="J4" s="254"/>
      <c r="K4" s="271"/>
      <c r="L4" s="558"/>
      <c r="M4" s="558"/>
      <c r="N4" s="558"/>
    </row>
    <row r="5" spans="1:14" s="285" customFormat="1">
      <c r="A5" s="254" t="s">
        <v>118</v>
      </c>
      <c r="B5" s="254"/>
      <c r="C5" s="254"/>
      <c r="D5" s="254"/>
      <c r="E5" s="254"/>
      <c r="F5" s="254"/>
      <c r="G5" s="254"/>
      <c r="H5" s="254"/>
      <c r="I5" s="254"/>
      <c r="J5" s="254"/>
      <c r="K5" s="271"/>
    </row>
    <row r="6" spans="1:14" customFormat="1"/>
    <row r="7" spans="1:14">
      <c r="B7" s="195" t="s">
        <v>35</v>
      </c>
      <c r="C7" s="195" t="s">
        <v>36</v>
      </c>
      <c r="D7" s="195" t="s">
        <v>37</v>
      </c>
      <c r="E7" s="135" t="s">
        <v>38</v>
      </c>
      <c r="F7" s="135" t="s">
        <v>119</v>
      </c>
      <c r="G7" s="135" t="s">
        <v>120</v>
      </c>
      <c r="H7" s="135" t="s">
        <v>121</v>
      </c>
      <c r="I7" s="135" t="s">
        <v>122</v>
      </c>
      <c r="J7" s="135" t="s">
        <v>123</v>
      </c>
      <c r="K7" s="135" t="s">
        <v>124</v>
      </c>
      <c r="L7" s="135" t="s">
        <v>125</v>
      </c>
      <c r="M7" s="135" t="s">
        <v>126</v>
      </c>
    </row>
    <row r="8" spans="1:14">
      <c r="B8" s="195"/>
      <c r="C8" s="195"/>
      <c r="D8" s="195"/>
    </row>
    <row r="9" spans="1:14" s="351" customFormat="1" ht="16.5">
      <c r="A9" s="352"/>
      <c r="B9" s="352"/>
      <c r="C9" s="623" t="s">
        <v>127</v>
      </c>
      <c r="D9" s="623"/>
      <c r="E9" s="624"/>
      <c r="F9" s="625" t="s">
        <v>128</v>
      </c>
      <c r="G9" s="623"/>
      <c r="H9" s="624"/>
      <c r="I9" s="622" t="s">
        <v>129</v>
      </c>
      <c r="J9" s="622"/>
      <c r="K9" s="622"/>
      <c r="L9" s="622"/>
      <c r="M9" s="352"/>
      <c r="N9" s="383"/>
    </row>
    <row r="10" spans="1:14" s="36" customFormat="1" ht="38.25">
      <c r="A10" s="456" t="s">
        <v>130</v>
      </c>
      <c r="B10" s="353" t="s">
        <v>131</v>
      </c>
      <c r="C10" s="355" t="s">
        <v>132</v>
      </c>
      <c r="D10" s="420" t="s">
        <v>133</v>
      </c>
      <c r="E10" s="353" t="s">
        <v>134</v>
      </c>
      <c r="F10" s="355" t="s">
        <v>132</v>
      </c>
      <c r="G10" s="420" t="s">
        <v>133</v>
      </c>
      <c r="H10" s="353" t="s">
        <v>135</v>
      </c>
      <c r="I10" s="355" t="s">
        <v>136</v>
      </c>
      <c r="J10" s="490" t="s">
        <v>137</v>
      </c>
      <c r="K10" s="491" t="s">
        <v>138</v>
      </c>
      <c r="L10" s="492" t="s">
        <v>139</v>
      </c>
      <c r="M10" s="419" t="s">
        <v>140</v>
      </c>
    </row>
    <row r="11" spans="1:14" s="289" customFormat="1" ht="24.95" customHeight="1">
      <c r="A11" s="461">
        <v>1</v>
      </c>
      <c r="B11" s="382" t="s">
        <v>141</v>
      </c>
      <c r="C11" s="480" t="s">
        <v>142</v>
      </c>
      <c r="D11" s="509">
        <v>875.04715699999997</v>
      </c>
      <c r="E11" s="493">
        <v>2023</v>
      </c>
      <c r="F11" s="480" t="s">
        <v>143</v>
      </c>
      <c r="G11" s="509">
        <v>895.70158702522099</v>
      </c>
      <c r="H11" s="493">
        <v>28174</v>
      </c>
      <c r="I11" s="382" t="s">
        <v>144</v>
      </c>
      <c r="J11" s="382" t="s">
        <v>145</v>
      </c>
      <c r="K11" s="495">
        <f>G11-D11</f>
        <v>20.654430025221018</v>
      </c>
      <c r="L11" s="495">
        <f>K11*0.72</f>
        <v>14.871189618159132</v>
      </c>
      <c r="M11" s="495">
        <f>D11+L11</f>
        <v>889.91834661815915</v>
      </c>
    </row>
    <row r="12" spans="1:14" s="289" customFormat="1" ht="24.95" customHeight="1">
      <c r="A12" s="354">
        <v>2</v>
      </c>
      <c r="B12" s="381" t="s">
        <v>47</v>
      </c>
      <c r="C12" s="481" t="s">
        <v>146</v>
      </c>
      <c r="D12" s="482">
        <v>631.01865371318297</v>
      </c>
      <c r="E12" s="483">
        <v>2023</v>
      </c>
      <c r="F12" s="481" t="s">
        <v>147</v>
      </c>
      <c r="G12" s="482">
        <v>648.18736419614902</v>
      </c>
      <c r="H12" s="483">
        <v>28252</v>
      </c>
      <c r="I12" s="381" t="s">
        <v>148</v>
      </c>
      <c r="J12" s="381" t="s">
        <v>149</v>
      </c>
      <c r="K12" s="495" t="s">
        <v>150</v>
      </c>
      <c r="L12" s="495" t="s">
        <v>150</v>
      </c>
      <c r="M12" s="495">
        <f>G12</f>
        <v>648.18736419614902</v>
      </c>
    </row>
    <row r="13" spans="1:14" s="289" customFormat="1" ht="24.95" customHeight="1">
      <c r="A13" s="354">
        <v>3</v>
      </c>
      <c r="B13" s="381" t="s">
        <v>151</v>
      </c>
      <c r="C13" s="481" t="s">
        <v>152</v>
      </c>
      <c r="D13" s="482">
        <v>105.23416949</v>
      </c>
      <c r="E13" s="483">
        <v>2022</v>
      </c>
      <c r="F13" s="481" t="s">
        <v>153</v>
      </c>
      <c r="G13" s="482">
        <v>135.723794076329</v>
      </c>
      <c r="H13" s="483">
        <v>27581</v>
      </c>
      <c r="I13" s="381" t="s">
        <v>154</v>
      </c>
      <c r="J13" s="381" t="s">
        <v>155</v>
      </c>
      <c r="K13" s="495" t="s">
        <v>150</v>
      </c>
      <c r="L13" s="495" t="s">
        <v>150</v>
      </c>
      <c r="M13" s="495">
        <f>G13</f>
        <v>135.723794076329</v>
      </c>
    </row>
    <row r="14" spans="1:14" s="289" customFormat="1" ht="24.95" customHeight="1">
      <c r="A14" s="354">
        <v>4</v>
      </c>
      <c r="B14" s="381" t="s">
        <v>156</v>
      </c>
      <c r="C14" s="481" t="s">
        <v>152</v>
      </c>
      <c r="D14" s="482">
        <v>126.584885</v>
      </c>
      <c r="E14" s="483">
        <v>2023</v>
      </c>
      <c r="F14" s="481" t="s">
        <v>147</v>
      </c>
      <c r="G14" s="482">
        <v>126.68951300000001</v>
      </c>
      <c r="H14" s="483">
        <v>27675</v>
      </c>
      <c r="I14" s="381" t="s">
        <v>148</v>
      </c>
      <c r="J14" s="381" t="s">
        <v>157</v>
      </c>
      <c r="K14" s="495" t="s">
        <v>150</v>
      </c>
      <c r="L14" s="495" t="s">
        <v>150</v>
      </c>
      <c r="M14" s="495">
        <f>G14</f>
        <v>126.68951300000001</v>
      </c>
    </row>
    <row r="15" spans="1:14" s="289" customFormat="1" ht="24.95" customHeight="1">
      <c r="A15" s="354">
        <v>5</v>
      </c>
      <c r="B15" s="381" t="s">
        <v>52</v>
      </c>
      <c r="C15" s="481" t="s">
        <v>142</v>
      </c>
      <c r="D15" s="482">
        <v>9.4224265184540794</v>
      </c>
      <c r="E15" s="483">
        <v>2022</v>
      </c>
      <c r="F15" s="481" t="s">
        <v>158</v>
      </c>
      <c r="G15" s="482">
        <v>9.8359951489606008</v>
      </c>
      <c r="H15" s="483">
        <v>27213</v>
      </c>
      <c r="I15" s="381" t="s">
        <v>159</v>
      </c>
      <c r="J15" s="381" t="s">
        <v>160</v>
      </c>
      <c r="K15" s="495" t="s">
        <v>150</v>
      </c>
      <c r="L15" s="495" t="s">
        <v>150</v>
      </c>
      <c r="M15" s="495">
        <f>G15</f>
        <v>9.8359951489606008</v>
      </c>
    </row>
    <row r="16" spans="1:14" s="289" customFormat="1" ht="24.95" customHeight="1">
      <c r="A16" s="354">
        <v>6</v>
      </c>
      <c r="B16" s="381" t="s">
        <v>161</v>
      </c>
      <c r="C16" s="481" t="s">
        <v>162</v>
      </c>
      <c r="D16" s="482">
        <v>9.0073270236573606</v>
      </c>
      <c r="E16" s="483">
        <v>2022</v>
      </c>
      <c r="F16" s="481" t="s">
        <v>158</v>
      </c>
      <c r="G16" s="482">
        <v>9.4193123980179401</v>
      </c>
      <c r="H16" s="483">
        <v>27964</v>
      </c>
      <c r="I16" s="381" t="s">
        <v>159</v>
      </c>
      <c r="J16" s="381" t="s">
        <v>163</v>
      </c>
      <c r="K16" s="495" t="s">
        <v>150</v>
      </c>
      <c r="L16" s="495" t="s">
        <v>150</v>
      </c>
      <c r="M16" s="495">
        <f>G16</f>
        <v>9.4193123980179401</v>
      </c>
    </row>
    <row r="17" spans="1:13" s="289" customFormat="1" ht="24.95" customHeight="1">
      <c r="A17" s="354">
        <v>7</v>
      </c>
      <c r="B17" s="381" t="s">
        <v>54</v>
      </c>
      <c r="C17" s="481" t="s">
        <v>162</v>
      </c>
      <c r="D17" s="482">
        <v>5.2124959999999998</v>
      </c>
      <c r="E17" s="483">
        <v>2022</v>
      </c>
      <c r="F17" s="481" t="s">
        <v>158</v>
      </c>
      <c r="G17" s="482">
        <v>5.6085469999999997</v>
      </c>
      <c r="H17" s="483">
        <v>27878</v>
      </c>
      <c r="I17" s="381" t="s">
        <v>159</v>
      </c>
      <c r="J17" s="381" t="s">
        <v>164</v>
      </c>
      <c r="K17" s="495" t="s">
        <v>150</v>
      </c>
      <c r="L17" s="495" t="s">
        <v>150</v>
      </c>
      <c r="M17" s="495">
        <f t="shared" ref="M17" si="0">G17</f>
        <v>5.6085469999999997</v>
      </c>
    </row>
    <row r="18" spans="1:13" s="289" customFormat="1" ht="24.95" customHeight="1">
      <c r="A18" s="354">
        <v>8</v>
      </c>
      <c r="B18" s="381" t="s">
        <v>55</v>
      </c>
      <c r="C18" s="481" t="s">
        <v>152</v>
      </c>
      <c r="D18" s="482">
        <v>4.8646089999999997</v>
      </c>
      <c r="E18" s="483">
        <v>2023</v>
      </c>
      <c r="F18" s="481" t="s">
        <v>143</v>
      </c>
      <c r="G18" s="482">
        <v>4.7339463408595996</v>
      </c>
      <c r="H18" s="483">
        <v>28174</v>
      </c>
      <c r="I18" s="381" t="s">
        <v>144</v>
      </c>
      <c r="J18" s="381" t="s">
        <v>165</v>
      </c>
      <c r="K18" s="495">
        <f>G18-D18</f>
        <v>-0.13066265914040009</v>
      </c>
      <c r="L18" s="495">
        <f>K18*0.72</f>
        <v>-9.407711458108807E-2</v>
      </c>
      <c r="M18" s="495">
        <f>D18+L18</f>
        <v>4.7705318854189116</v>
      </c>
    </row>
    <row r="19" spans="1:13" s="289" customFormat="1" ht="24.95" customHeight="1">
      <c r="A19" s="354">
        <v>9</v>
      </c>
      <c r="B19" s="381" t="s">
        <v>56</v>
      </c>
      <c r="C19" s="481" t="s">
        <v>152</v>
      </c>
      <c r="D19" s="482">
        <v>3.1249859999999998</v>
      </c>
      <c r="E19" s="483">
        <v>2023</v>
      </c>
      <c r="F19" s="481" t="s">
        <v>143</v>
      </c>
      <c r="G19" s="482">
        <v>3.0351624582769001</v>
      </c>
      <c r="H19" s="483">
        <v>28174</v>
      </c>
      <c r="I19" s="381" t="s">
        <v>144</v>
      </c>
      <c r="J19" s="381" t="s">
        <v>166</v>
      </c>
      <c r="K19" s="495">
        <f>G19-D19</f>
        <v>-8.9823541723099698E-2</v>
      </c>
      <c r="L19" s="495">
        <f>K19*0.72</f>
        <v>-6.4672950040631783E-2</v>
      </c>
      <c r="M19" s="495">
        <f>D19+L19</f>
        <v>3.060313049959368</v>
      </c>
    </row>
    <row r="20" spans="1:13" s="289" customFormat="1" ht="24.95" customHeight="1">
      <c r="A20" s="354">
        <v>10</v>
      </c>
      <c r="B20" s="381" t="s">
        <v>167</v>
      </c>
      <c r="C20" s="481" t="s">
        <v>168</v>
      </c>
      <c r="D20" s="482">
        <v>3.0510000000000002</v>
      </c>
      <c r="E20" s="483">
        <v>2023</v>
      </c>
      <c r="F20" s="481" t="s">
        <v>153</v>
      </c>
      <c r="G20" s="482">
        <v>3.1615214039485999</v>
      </c>
      <c r="H20" s="483">
        <v>28576</v>
      </c>
      <c r="I20" s="381" t="s">
        <v>154</v>
      </c>
      <c r="J20" s="381" t="s">
        <v>169</v>
      </c>
      <c r="K20" s="495" t="s">
        <v>150</v>
      </c>
      <c r="L20" s="495" t="s">
        <v>150</v>
      </c>
      <c r="M20" s="495">
        <v>3.1615214039485999</v>
      </c>
    </row>
    <row r="21" spans="1:13" s="289" customFormat="1" ht="32.25" customHeight="1">
      <c r="A21" s="354">
        <v>11</v>
      </c>
      <c r="B21" s="381" t="s">
        <v>170</v>
      </c>
      <c r="C21" s="481" t="s">
        <v>150</v>
      </c>
      <c r="D21" s="482" t="s">
        <v>150</v>
      </c>
      <c r="E21" s="483" t="s">
        <v>150</v>
      </c>
      <c r="F21" s="481" t="s">
        <v>171</v>
      </c>
      <c r="G21" s="482">
        <v>108.78742800000001</v>
      </c>
      <c r="H21" s="483">
        <v>23161</v>
      </c>
      <c r="I21" s="494" t="s">
        <v>172</v>
      </c>
      <c r="J21" s="381" t="s">
        <v>173</v>
      </c>
      <c r="K21" s="495" t="s">
        <v>150</v>
      </c>
      <c r="L21" s="495" t="s">
        <v>150</v>
      </c>
      <c r="M21" s="495">
        <f>G21</f>
        <v>108.78742800000001</v>
      </c>
    </row>
    <row r="22" spans="1:13" s="289" customFormat="1" ht="32.25" customHeight="1">
      <c r="A22" s="376" t="s">
        <v>174</v>
      </c>
      <c r="B22" s="43" t="s">
        <v>175</v>
      </c>
      <c r="E22" s="367"/>
      <c r="H22" s="367"/>
      <c r="I22" s="494"/>
    </row>
    <row r="23" spans="1:13" s="289" customFormat="1" ht="32.25" customHeight="1">
      <c r="B23" s="497"/>
      <c r="E23" s="367"/>
      <c r="H23" s="367"/>
      <c r="I23" s="494"/>
    </row>
    <row r="24" spans="1:13" s="289" customFormat="1" ht="32.25" customHeight="1">
      <c r="B24" s="499"/>
      <c r="E24" s="367"/>
      <c r="H24" s="367"/>
      <c r="I24" s="494"/>
    </row>
    <row r="25" spans="1:13" ht="18.75" customHeight="1">
      <c r="A25" s="497"/>
      <c r="B25" s="43"/>
      <c r="C25" s="135"/>
    </row>
    <row r="26" spans="1:13" ht="17.45" customHeight="1">
      <c r="A26" s="497"/>
      <c r="C26" s="135"/>
    </row>
    <row r="27" spans="1:13">
      <c r="A27" s="421"/>
      <c r="B27" s="365"/>
    </row>
  </sheetData>
  <mergeCells count="3">
    <mergeCell ref="I9:L9"/>
    <mergeCell ref="C9:E9"/>
    <mergeCell ref="F9:H9"/>
  </mergeCells>
  <phoneticPr fontId="14" type="noConversion"/>
  <printOptions horizontalCentered="1"/>
  <pageMargins left="0.25" right="0.25" top="0.75" bottom="0.75" header="0.3" footer="0.3"/>
  <pageSetup paperSize="17" scale="95"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showGridLines="0" showZeros="0" topLeftCell="A7" zoomScaleNormal="100" workbookViewId="0">
      <selection activeCell="H17" sqref="H17"/>
    </sheetView>
  </sheetViews>
  <sheetFormatPr defaultRowHeight="12.75"/>
  <cols>
    <col min="1" max="1" width="5.83203125" customWidth="1"/>
    <col min="2" max="2" width="1.83203125" customWidth="1"/>
    <col min="3" max="3" width="2.83203125" customWidth="1"/>
    <col min="4" max="4" width="28.83203125" customWidth="1"/>
    <col min="5" max="5" width="1.83203125" customWidth="1"/>
    <col min="6" max="6" width="14.33203125" customWidth="1"/>
    <col min="7" max="7" width="1.83203125" customWidth="1"/>
    <col min="8" max="8" width="10.83203125" customWidth="1"/>
    <col min="9" max="10" width="1.83203125" customWidth="1"/>
    <col min="11" max="12" width="10.83203125" customWidth="1"/>
    <col min="13" max="14" width="1.83203125" customWidth="1"/>
    <col min="15" max="16" width="10.8320312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B-3</v>
      </c>
    </row>
    <row r="2" spans="1:18" s="3" customFormat="1">
      <c r="A2" s="5" t="str">
        <f>Application</f>
        <v>2024 ISO Tariff Update Application</v>
      </c>
      <c r="B2" s="5"/>
      <c r="C2" s="5"/>
      <c r="D2" s="5"/>
      <c r="E2" s="5"/>
      <c r="F2" s="5"/>
      <c r="G2" s="5"/>
      <c r="H2" s="5"/>
      <c r="I2" s="5"/>
      <c r="J2" s="5"/>
      <c r="K2" s="5"/>
      <c r="L2" s="5"/>
      <c r="M2" s="5"/>
      <c r="P2" s="4" t="str">
        <f>TableDate</f>
        <v>November 16, 2023</v>
      </c>
    </row>
    <row r="4" spans="1:18">
      <c r="A4" s="254" t="str">
        <f>TableGroup1</f>
        <v>Appendix B — 2024 Rate Calculations</v>
      </c>
      <c r="B4" s="6"/>
      <c r="C4" s="6"/>
      <c r="D4" s="6"/>
      <c r="E4" s="6"/>
      <c r="F4" s="6"/>
      <c r="G4" s="6"/>
      <c r="H4" s="6"/>
      <c r="I4" s="6"/>
      <c r="J4" s="6"/>
      <c r="K4" s="6"/>
      <c r="L4" s="6"/>
      <c r="M4" s="6"/>
      <c r="N4" s="6"/>
      <c r="O4" s="6"/>
      <c r="P4" s="6"/>
    </row>
    <row r="5" spans="1:18">
      <c r="A5" s="6" t="s">
        <v>7</v>
      </c>
      <c r="B5" s="6"/>
      <c r="C5" s="6"/>
      <c r="D5" s="6"/>
      <c r="E5" s="6"/>
      <c r="F5" s="6"/>
      <c r="G5" s="6"/>
      <c r="H5" s="6"/>
      <c r="I5" s="6"/>
      <c r="J5" s="6"/>
      <c r="K5" s="6"/>
      <c r="L5" s="6"/>
      <c r="M5" s="6"/>
      <c r="N5" s="6"/>
      <c r="O5" s="6"/>
      <c r="P5" s="6"/>
    </row>
    <row r="6" spans="1:18">
      <c r="K6" s="71"/>
    </row>
    <row r="7" spans="1:18" s="195" customFormat="1">
      <c r="F7" s="195" t="s">
        <v>35</v>
      </c>
      <c r="H7" s="135" t="s">
        <v>36</v>
      </c>
      <c r="K7" s="135" t="s">
        <v>37</v>
      </c>
      <c r="L7" s="135" t="s">
        <v>38</v>
      </c>
      <c r="O7" s="135" t="s">
        <v>119</v>
      </c>
      <c r="P7" s="135" t="s">
        <v>120</v>
      </c>
    </row>
    <row r="9" spans="1:18" s="33" customFormat="1">
      <c r="F9" s="47"/>
      <c r="H9" s="47"/>
      <c r="J9" s="77"/>
      <c r="K9" s="34" t="s">
        <v>176</v>
      </c>
      <c r="L9" s="34"/>
      <c r="M9" s="73"/>
      <c r="N9" s="77"/>
      <c r="O9" s="34" t="s">
        <v>177</v>
      </c>
      <c r="P9" s="34"/>
    </row>
    <row r="10" spans="1:18" s="36" customFormat="1" ht="26.25">
      <c r="A10" s="35"/>
      <c r="C10" s="37" t="s">
        <v>42</v>
      </c>
      <c r="D10" s="37"/>
      <c r="F10" s="309" t="s">
        <v>178</v>
      </c>
      <c r="H10" s="35" t="s">
        <v>179</v>
      </c>
      <c r="J10" s="78"/>
      <c r="K10" s="35" t="s">
        <v>180</v>
      </c>
      <c r="L10" s="322" t="s">
        <v>181</v>
      </c>
      <c r="M10" s="74"/>
      <c r="N10" s="78"/>
      <c r="O10" s="35" t="s">
        <v>180</v>
      </c>
      <c r="P10" s="322" t="s">
        <v>181</v>
      </c>
    </row>
    <row r="11" spans="1:18" ht="18.95" customHeight="1">
      <c r="A11" s="7">
        <v>1</v>
      </c>
      <c r="C11" s="2" t="s">
        <v>182</v>
      </c>
      <c r="D11" s="2"/>
      <c r="E11" s="2"/>
      <c r="F11" s="99"/>
      <c r="G11" s="2"/>
      <c r="H11" s="99"/>
      <c r="I11" s="2"/>
      <c r="J11" s="82"/>
      <c r="K11" s="100"/>
      <c r="L11" s="99"/>
      <c r="M11" s="99"/>
      <c r="N11" s="82"/>
      <c r="O11" s="100"/>
      <c r="P11" s="99"/>
    </row>
    <row r="12" spans="1:18" ht="13.5">
      <c r="A12" s="7">
        <f t="shared" ref="A12:A34" si="0">A11+1</f>
        <v>2</v>
      </c>
      <c r="C12" t="s">
        <v>183</v>
      </c>
      <c r="F12" s="500">
        <v>0.51692657133398034</v>
      </c>
      <c r="H12" s="435">
        <f>$F12*$H$15</f>
        <v>1004.9601407874445</v>
      </c>
      <c r="J12" s="80"/>
      <c r="K12" s="27">
        <v>1</v>
      </c>
      <c r="L12" s="28">
        <f>H12*K12</f>
        <v>1004.9601407874445</v>
      </c>
      <c r="M12" s="26"/>
      <c r="N12" s="80"/>
      <c r="O12" s="27">
        <f>1-K12</f>
        <v>0</v>
      </c>
      <c r="P12" s="104">
        <f>H12*O12</f>
        <v>0</v>
      </c>
      <c r="Q12" s="339"/>
      <c r="R12" s="391"/>
    </row>
    <row r="13" spans="1:18" ht="13.5">
      <c r="A13" s="7">
        <f t="shared" si="0"/>
        <v>3</v>
      </c>
      <c r="C13" t="s">
        <v>184</v>
      </c>
      <c r="F13" s="500">
        <v>0.24584169603111261</v>
      </c>
      <c r="H13" s="66">
        <f t="shared" ref="H13:H14" si="1">$F13*$H$15</f>
        <v>477.9423600092473</v>
      </c>
      <c r="J13" s="80"/>
      <c r="K13" s="27">
        <v>1</v>
      </c>
      <c r="L13" s="63">
        <f>H13*K13</f>
        <v>477.9423600092473</v>
      </c>
      <c r="M13" s="30"/>
      <c r="N13" s="80"/>
      <c r="O13" s="27"/>
      <c r="P13" s="63">
        <f>H13*O13</f>
        <v>0</v>
      </c>
      <c r="Q13" s="339"/>
      <c r="R13" s="391"/>
    </row>
    <row r="14" spans="1:18" ht="13.5">
      <c r="A14" s="7">
        <f t="shared" si="0"/>
        <v>4</v>
      </c>
      <c r="C14" t="s">
        <v>185</v>
      </c>
      <c r="F14" s="500">
        <v>0.23723173263490704</v>
      </c>
      <c r="H14" s="66">
        <f t="shared" si="1"/>
        <v>461.20367698025069</v>
      </c>
      <c r="J14" s="80"/>
      <c r="K14" s="27">
        <v>1</v>
      </c>
      <c r="L14" s="30">
        <f>H14*K14</f>
        <v>461.20367698025069</v>
      </c>
      <c r="M14" s="30"/>
      <c r="N14" s="80"/>
      <c r="O14" s="27">
        <f>1-K14</f>
        <v>0</v>
      </c>
      <c r="P14" s="63">
        <f>H14*O14</f>
        <v>0</v>
      </c>
      <c r="Q14" s="339"/>
      <c r="R14" s="391"/>
    </row>
    <row r="15" spans="1:18" s="9" customFormat="1">
      <c r="A15" s="8">
        <f t="shared" si="0"/>
        <v>5</v>
      </c>
      <c r="C15" s="12" t="s">
        <v>186</v>
      </c>
      <c r="D15" s="12"/>
      <c r="E15" s="12"/>
      <c r="F15" s="559">
        <f>SUM(F12:F14)</f>
        <v>1</v>
      </c>
      <c r="G15" s="12"/>
      <c r="H15" s="560">
        <f>'B-1 Rev Req'!H36</f>
        <v>1944.1061777769426</v>
      </c>
      <c r="I15" s="12"/>
      <c r="J15" s="81"/>
      <c r="K15" s="561">
        <f>L15/H15</f>
        <v>1</v>
      </c>
      <c r="L15" s="560">
        <f>SUM(L12:L14)</f>
        <v>1944.1061777769426</v>
      </c>
      <c r="M15" s="75"/>
      <c r="N15" s="81"/>
      <c r="O15" s="561">
        <f>P15/H15</f>
        <v>0</v>
      </c>
      <c r="P15" s="562">
        <f>SUM(P7:P14)</f>
        <v>0</v>
      </c>
    </row>
    <row r="16" spans="1:18" ht="18.95" customHeight="1">
      <c r="A16" s="7">
        <f t="shared" si="0"/>
        <v>6</v>
      </c>
      <c r="C16" s="2" t="s">
        <v>187</v>
      </c>
      <c r="D16" s="2"/>
      <c r="F16" s="306"/>
      <c r="H16" s="306"/>
      <c r="J16" s="80"/>
      <c r="K16" s="27"/>
      <c r="L16" s="26"/>
      <c r="M16" s="26"/>
      <c r="N16" s="80"/>
      <c r="O16" s="27"/>
      <c r="P16" s="26"/>
    </row>
    <row r="17" spans="1:18">
      <c r="A17" s="7">
        <f t="shared" si="0"/>
        <v>7</v>
      </c>
      <c r="C17" t="s">
        <v>68</v>
      </c>
      <c r="F17" s="108"/>
      <c r="H17" s="28">
        <f>'B-1 Rev Req'!H51</f>
        <v>308.39188399999995</v>
      </c>
      <c r="J17" s="80"/>
      <c r="K17" s="27">
        <v>1</v>
      </c>
      <c r="L17" s="26">
        <f>H17*K17</f>
        <v>308.39188399999995</v>
      </c>
      <c r="M17" s="26"/>
      <c r="N17" s="80"/>
      <c r="O17" s="27">
        <f>1-K17</f>
        <v>0</v>
      </c>
      <c r="P17" s="28">
        <f>H17*O17</f>
        <v>0</v>
      </c>
    </row>
    <row r="18" spans="1:18">
      <c r="A18" s="7">
        <f t="shared" si="0"/>
        <v>8</v>
      </c>
      <c r="C18" t="s">
        <v>78</v>
      </c>
      <c r="F18" s="307"/>
      <c r="H18" s="307"/>
      <c r="J18" s="80"/>
      <c r="K18" s="27"/>
      <c r="L18" s="30"/>
      <c r="M18" s="30"/>
      <c r="N18" s="80"/>
      <c r="O18" s="27"/>
      <c r="P18" s="26"/>
    </row>
    <row r="19" spans="1:18">
      <c r="A19" s="7">
        <f t="shared" si="0"/>
        <v>9</v>
      </c>
      <c r="D19" s="299" t="s">
        <v>79</v>
      </c>
      <c r="F19" s="346"/>
      <c r="H19" s="346">
        <f>'B-1 Rev Req'!H54</f>
        <v>2.8393630000000001</v>
      </c>
      <c r="J19" s="80"/>
      <c r="K19" s="27">
        <v>1</v>
      </c>
      <c r="L19" s="30">
        <f t="shared" ref="L19:L26" si="2">H19*K19</f>
        <v>2.8393630000000001</v>
      </c>
      <c r="M19" s="30"/>
      <c r="N19" s="80"/>
      <c r="O19" s="27">
        <f t="shared" ref="O19:O25" si="3">1-K19</f>
        <v>0</v>
      </c>
      <c r="P19" s="63">
        <f t="shared" ref="P19:P24" si="4">H19*O19</f>
        <v>0</v>
      </c>
    </row>
    <row r="20" spans="1:18">
      <c r="A20" s="7">
        <f t="shared" si="0"/>
        <v>10</v>
      </c>
      <c r="D20" s="299" t="s">
        <v>80</v>
      </c>
      <c r="F20" s="346"/>
      <c r="H20" s="346">
        <f>'B-1 Rev Req'!H55</f>
        <v>3.7</v>
      </c>
      <c r="J20" s="80"/>
      <c r="K20" s="27">
        <v>1</v>
      </c>
      <c r="L20" s="30">
        <f t="shared" si="2"/>
        <v>3.7</v>
      </c>
      <c r="M20" s="30"/>
      <c r="N20" s="80"/>
      <c r="O20" s="27">
        <f t="shared" si="3"/>
        <v>0</v>
      </c>
      <c r="P20" s="63">
        <f t="shared" si="4"/>
        <v>0</v>
      </c>
    </row>
    <row r="21" spans="1:18">
      <c r="A21" s="7">
        <f t="shared" si="0"/>
        <v>11</v>
      </c>
      <c r="D21" s="299" t="s">
        <v>188</v>
      </c>
      <c r="F21" s="307"/>
      <c r="H21" s="307">
        <f>'B-1 Rev Req'!H56</f>
        <v>38.548216000000004</v>
      </c>
      <c r="J21" s="80"/>
      <c r="K21" s="547">
        <v>1</v>
      </c>
      <c r="L21" s="30">
        <f t="shared" si="2"/>
        <v>38.548216000000004</v>
      </c>
      <c r="M21" s="30"/>
      <c r="N21" s="80"/>
      <c r="O21" s="547">
        <f t="shared" si="3"/>
        <v>0</v>
      </c>
      <c r="P21" s="548">
        <f t="shared" si="4"/>
        <v>0</v>
      </c>
    </row>
    <row r="22" spans="1:18">
      <c r="A22" s="7">
        <f t="shared" si="0"/>
        <v>12</v>
      </c>
      <c r="D22" s="299" t="s">
        <v>82</v>
      </c>
      <c r="F22" s="346"/>
      <c r="H22" s="346">
        <f>'B-1 Rev Req'!H57</f>
        <v>2.8571430000000002</v>
      </c>
      <c r="J22" s="80"/>
      <c r="K22" s="27">
        <v>1</v>
      </c>
      <c r="L22" s="30">
        <f t="shared" si="2"/>
        <v>2.8571430000000002</v>
      </c>
      <c r="M22" s="30"/>
      <c r="N22" s="80"/>
      <c r="O22" s="27">
        <f t="shared" si="3"/>
        <v>0</v>
      </c>
      <c r="P22" s="63">
        <f t="shared" si="4"/>
        <v>0</v>
      </c>
    </row>
    <row r="23" spans="1:18">
      <c r="A23" s="532">
        <f t="shared" si="0"/>
        <v>13</v>
      </c>
      <c r="B23" s="533"/>
      <c r="C23" s="533"/>
      <c r="D23" s="530" t="s">
        <v>83</v>
      </c>
      <c r="E23" s="533"/>
      <c r="F23" s="538"/>
      <c r="G23" s="533"/>
      <c r="H23" s="538">
        <f>'B-1 Rev Req'!H58</f>
        <v>3.5278740000000002</v>
      </c>
      <c r="I23" s="533"/>
      <c r="J23" s="534"/>
      <c r="K23" s="535">
        <v>1</v>
      </c>
      <c r="L23" s="536">
        <f t="shared" si="2"/>
        <v>3.5278740000000002</v>
      </c>
      <c r="M23" s="536"/>
      <c r="N23" s="534"/>
      <c r="O23" s="535">
        <f t="shared" si="3"/>
        <v>0</v>
      </c>
      <c r="P23" s="537">
        <f t="shared" si="4"/>
        <v>0</v>
      </c>
    </row>
    <row r="24" spans="1:18">
      <c r="A24" s="7">
        <f t="shared" si="0"/>
        <v>14</v>
      </c>
      <c r="D24" s="299" t="s">
        <v>84</v>
      </c>
      <c r="F24" s="347"/>
      <c r="H24" s="347">
        <f>'B-1 Rev Req'!H59</f>
        <v>4</v>
      </c>
      <c r="J24" s="80"/>
      <c r="K24" s="27">
        <v>1</v>
      </c>
      <c r="L24" s="30">
        <f t="shared" si="2"/>
        <v>4</v>
      </c>
      <c r="M24" s="30"/>
      <c r="N24" s="80"/>
      <c r="O24" s="27">
        <f t="shared" si="3"/>
        <v>0</v>
      </c>
      <c r="P24" s="63">
        <f t="shared" si="4"/>
        <v>0</v>
      </c>
    </row>
    <row r="25" spans="1:18">
      <c r="A25" s="7">
        <f t="shared" si="0"/>
        <v>15</v>
      </c>
      <c r="D25" s="299" t="s">
        <v>85</v>
      </c>
      <c r="F25" s="348"/>
      <c r="H25" s="348">
        <f>'B-1 Rev Req'!H60</f>
        <v>0</v>
      </c>
      <c r="J25" s="80"/>
      <c r="K25" s="27">
        <v>1</v>
      </c>
      <c r="L25" s="348">
        <f t="shared" si="2"/>
        <v>0</v>
      </c>
      <c r="M25" s="30"/>
      <c r="N25" s="80"/>
      <c r="O25" s="27">
        <f t="shared" si="3"/>
        <v>0</v>
      </c>
      <c r="P25" s="348"/>
    </row>
    <row r="26" spans="1:18">
      <c r="A26" s="7">
        <f t="shared" si="0"/>
        <v>16</v>
      </c>
      <c r="D26" s="299" t="s">
        <v>189</v>
      </c>
      <c r="F26" s="348"/>
      <c r="H26" s="348">
        <f>'B-1 Rev Req'!H61</f>
        <v>0</v>
      </c>
      <c r="J26" s="80"/>
      <c r="K26" s="27">
        <v>1</v>
      </c>
      <c r="L26" s="348">
        <f t="shared" si="2"/>
        <v>0</v>
      </c>
      <c r="M26" s="30"/>
      <c r="N26" s="80"/>
      <c r="O26" s="27"/>
      <c r="P26" s="348"/>
    </row>
    <row r="27" spans="1:18" s="9" customFormat="1">
      <c r="A27" s="7">
        <f t="shared" si="0"/>
        <v>17</v>
      </c>
      <c r="C27" s="12" t="s">
        <v>190</v>
      </c>
      <c r="D27" s="12"/>
      <c r="E27" s="12"/>
      <c r="F27" s="75"/>
      <c r="G27" s="12"/>
      <c r="H27" s="560">
        <f>SUM(H17:H26)</f>
        <v>363.86447999999996</v>
      </c>
      <c r="I27" s="12"/>
      <c r="J27" s="81"/>
      <c r="K27" s="561">
        <f>L27/H27</f>
        <v>1</v>
      </c>
      <c r="L27" s="560">
        <f>SUM(L17:L26)</f>
        <v>363.86447999999996</v>
      </c>
      <c r="M27" s="75"/>
      <c r="N27" s="81"/>
      <c r="O27" s="561">
        <f>P27/H27</f>
        <v>0</v>
      </c>
      <c r="P27" s="562">
        <f>SUM(P17:P24)</f>
        <v>0</v>
      </c>
    </row>
    <row r="28" spans="1:18" s="10" customFormat="1" ht="25.5" customHeight="1">
      <c r="A28" s="7">
        <f t="shared" si="0"/>
        <v>18</v>
      </c>
      <c r="C28" s="11" t="s">
        <v>191</v>
      </c>
      <c r="D28" s="11"/>
      <c r="E28" s="11"/>
      <c r="F28" s="433"/>
      <c r="G28" s="11"/>
      <c r="H28" s="14">
        <f>'B-1 Rev Req'!H67</f>
        <v>178.3</v>
      </c>
      <c r="I28" s="11"/>
      <c r="J28" s="79"/>
      <c r="K28" s="13">
        <v>0</v>
      </c>
      <c r="L28" s="14">
        <f>H28*K28</f>
        <v>0</v>
      </c>
      <c r="M28" s="14"/>
      <c r="N28" s="79"/>
      <c r="O28" s="13">
        <f>1-K28</f>
        <v>1</v>
      </c>
      <c r="P28" s="14">
        <f>H28*O28</f>
        <v>178.3</v>
      </c>
    </row>
    <row r="29" spans="1:18" s="9" customFormat="1" ht="18.95" customHeight="1">
      <c r="A29" s="7">
        <f t="shared" si="0"/>
        <v>19</v>
      </c>
      <c r="C29" s="12" t="s">
        <v>192</v>
      </c>
      <c r="D29" s="12"/>
      <c r="E29" s="12"/>
      <c r="F29" s="401"/>
      <c r="G29" s="12"/>
      <c r="H29" s="401">
        <f>SUM('B-1 Rev Req'!H70:H72)</f>
        <v>15.337527000000001</v>
      </c>
      <c r="I29" s="12"/>
      <c r="J29" s="81"/>
      <c r="K29" s="200">
        <v>1</v>
      </c>
      <c r="L29" s="199">
        <f>H29*K29</f>
        <v>15.337527000000001</v>
      </c>
      <c r="M29" s="199"/>
      <c r="N29" s="81"/>
      <c r="O29" s="200">
        <f>1-K29</f>
        <v>0</v>
      </c>
      <c r="P29" s="201">
        <f>H29*O29</f>
        <v>0</v>
      </c>
    </row>
    <row r="30" spans="1:18" s="9" customFormat="1" ht="18.95" customHeight="1">
      <c r="A30" s="7">
        <f t="shared" si="0"/>
        <v>20</v>
      </c>
      <c r="C30" s="12" t="s">
        <v>193</v>
      </c>
      <c r="D30" s="12"/>
      <c r="E30" s="12"/>
      <c r="F30" s="434"/>
      <c r="G30" s="12"/>
      <c r="H30" s="402">
        <f>'B-1 Rev Req'!$H$89</f>
        <v>116.09327595544744</v>
      </c>
      <c r="I30" s="12"/>
      <c r="J30" s="81"/>
      <c r="K30" s="200">
        <v>1</v>
      </c>
      <c r="L30" s="199">
        <f>H30*K30</f>
        <v>116.09327595544744</v>
      </c>
      <c r="M30" s="199"/>
      <c r="N30" s="81"/>
      <c r="O30" s="200">
        <f>1-K30</f>
        <v>0</v>
      </c>
      <c r="P30" s="201">
        <f>H30*O30</f>
        <v>0</v>
      </c>
    </row>
    <row r="31" spans="1:18" ht="18.95" customHeight="1">
      <c r="A31" s="7">
        <f t="shared" si="0"/>
        <v>21</v>
      </c>
      <c r="C31" s="2" t="s">
        <v>194</v>
      </c>
      <c r="D31" s="2"/>
      <c r="E31" s="2"/>
      <c r="F31" s="76"/>
      <c r="G31" s="2"/>
      <c r="H31" s="327">
        <f>SUM(H15,H27:H30)</f>
        <v>2617.7014607323904</v>
      </c>
      <c r="I31" s="2"/>
      <c r="J31" s="82"/>
      <c r="K31" s="563">
        <f>L31/H31</f>
        <v>0.93188680883796626</v>
      </c>
      <c r="L31" s="327">
        <f>SUM(L15,L27:L30)</f>
        <v>2439.4014607323902</v>
      </c>
      <c r="M31" s="76"/>
      <c r="N31" s="82"/>
      <c r="O31" s="563">
        <f>P31/H31</f>
        <v>6.811319116203364E-2</v>
      </c>
      <c r="P31" s="327">
        <f>SUM(P15,P27:P30)</f>
        <v>178.3</v>
      </c>
      <c r="R31" s="403"/>
    </row>
    <row r="32" spans="1:18">
      <c r="A32" s="7">
        <f t="shared" si="0"/>
        <v>22</v>
      </c>
      <c r="B32" s="19"/>
      <c r="C32" s="19" t="s">
        <v>9</v>
      </c>
      <c r="D32" s="19"/>
      <c r="J32" s="80"/>
      <c r="L32" s="29">
        <f>'B-4 Offsets'!I41</f>
        <v>22.699656447925495</v>
      </c>
      <c r="M32" s="29"/>
      <c r="N32" s="80"/>
      <c r="P32" s="29">
        <f>'B-4 Offsets'!L41</f>
        <v>-10.716041826913619</v>
      </c>
    </row>
    <row r="33" spans="1:16">
      <c r="A33" s="7">
        <f t="shared" si="0"/>
        <v>23</v>
      </c>
      <c r="B33" s="19"/>
      <c r="C33" s="19" t="s">
        <v>195</v>
      </c>
      <c r="D33" s="19"/>
      <c r="J33" s="80"/>
      <c r="L33">
        <v>0</v>
      </c>
      <c r="N33" s="80"/>
      <c r="P33" s="29">
        <f>-'B-4 Offsets'!F26</f>
        <v>0</v>
      </c>
    </row>
    <row r="34" spans="1:16" s="9" customFormat="1" ht="12.75" customHeight="1">
      <c r="A34" s="7">
        <f t="shared" si="0"/>
        <v>24</v>
      </c>
      <c r="C34" s="12" t="s">
        <v>196</v>
      </c>
      <c r="D34" s="12"/>
      <c r="J34" s="83"/>
      <c r="L34" s="564">
        <f>SUM(L31:L33)</f>
        <v>2462.1011171803157</v>
      </c>
      <c r="M34" s="75"/>
      <c r="N34" s="83"/>
      <c r="P34" s="564">
        <f>SUM(P31:P33)</f>
        <v>167.58395817308639</v>
      </c>
    </row>
    <row r="35" spans="1:16" s="9" customFormat="1" ht="12.75" customHeight="1">
      <c r="A35" s="8"/>
      <c r="C35" s="12"/>
      <c r="D35" s="12"/>
      <c r="L35" s="75"/>
      <c r="M35" s="75"/>
      <c r="P35" s="75"/>
    </row>
    <row r="36" spans="1:16">
      <c r="A36" t="s">
        <v>197</v>
      </c>
      <c r="C36" t="s">
        <v>198</v>
      </c>
    </row>
    <row r="37" spans="1:16">
      <c r="C37" t="s">
        <v>199</v>
      </c>
    </row>
    <row r="41" spans="1:16">
      <c r="J41">
        <v>103.23537399999999</v>
      </c>
    </row>
  </sheetData>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ignoredErrors>
    <ignoredError sqref="L2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42"/>
  <sheetViews>
    <sheetView showGridLines="0" zoomScaleNormal="100" workbookViewId="0"/>
  </sheetViews>
  <sheetFormatPr defaultRowHeight="12.75"/>
  <cols>
    <col min="1" max="1" width="5.83203125" customWidth="1"/>
    <col min="2" max="2" width="1.83203125" customWidth="1"/>
    <col min="3" max="3" width="2.83203125" customWidth="1"/>
    <col min="4" max="4" width="28.83203125" customWidth="1"/>
    <col min="5" max="5" width="2" customWidth="1"/>
    <col min="6" max="6" width="9.1640625" bestFit="1" customWidth="1"/>
    <col min="7" max="7" width="2.1640625" customWidth="1"/>
    <col min="8" max="9" width="9.1640625" bestFit="1" customWidth="1"/>
    <col min="10" max="10" width="3.1640625" customWidth="1"/>
    <col min="11" max="12" width="9.1640625" bestFit="1" customWidth="1"/>
    <col min="13" max="13" width="3" customWidth="1"/>
    <col min="14" max="14" width="11.1640625" bestFit="1" customWidth="1"/>
    <col min="15" max="15" width="12.83203125" bestFit="1" customWidth="1"/>
    <col min="16" max="16" width="3" customWidth="1"/>
    <col min="17" max="17" width="10.1640625" bestFit="1" customWidth="1"/>
    <col min="18" max="18" width="9.5" bestFit="1" customWidth="1"/>
  </cols>
  <sheetData>
    <row r="1" spans="1:18" s="3" customFormat="1">
      <c r="A1" s="5" t="str">
        <f>Applicant</f>
        <v>Alberta Electric System Operator</v>
      </c>
      <c r="B1" s="5"/>
      <c r="C1" s="5"/>
      <c r="D1" s="5"/>
      <c r="E1" s="5"/>
      <c r="F1" s="5"/>
      <c r="G1" s="5"/>
      <c r="H1" s="5"/>
      <c r="I1" s="5"/>
      <c r="J1" s="5"/>
      <c r="O1" s="4" t="str">
        <f ca="1">TablePrefix&amp;TRIM(MID(CELL("filename",A1),FIND("]",CELL("filename",A1))+1,4))&amp;TableSuffix</f>
        <v>Table B-4</v>
      </c>
    </row>
    <row r="2" spans="1:18" s="3" customFormat="1">
      <c r="A2" s="5" t="str">
        <f>Application</f>
        <v>2024 ISO Tariff Update Application</v>
      </c>
      <c r="B2" s="5"/>
      <c r="C2" s="5"/>
      <c r="D2" s="5"/>
      <c r="E2" s="5"/>
      <c r="F2" s="5"/>
      <c r="G2" s="5"/>
      <c r="H2" s="5"/>
      <c r="I2" s="5"/>
      <c r="J2" s="5"/>
      <c r="O2" s="4" t="str">
        <f>TableDate</f>
        <v>November 16, 2023</v>
      </c>
    </row>
    <row r="3" spans="1:18">
      <c r="L3" s="134"/>
    </row>
    <row r="4" spans="1:18">
      <c r="A4" s="254" t="str">
        <f>TableGroup1</f>
        <v>Appendix B — 2024 Rate Calculations</v>
      </c>
      <c r="B4" s="6"/>
      <c r="C4" s="6"/>
      <c r="D4" s="6"/>
      <c r="E4" s="6"/>
      <c r="F4" s="6"/>
      <c r="G4" s="6"/>
      <c r="H4" s="6"/>
      <c r="I4" s="6"/>
      <c r="J4" s="6"/>
      <c r="K4" s="6"/>
      <c r="L4" s="6"/>
    </row>
    <row r="5" spans="1:18">
      <c r="A5" s="6" t="s">
        <v>9</v>
      </c>
      <c r="B5" s="6"/>
      <c r="C5" s="6"/>
      <c r="D5" s="6"/>
      <c r="E5" s="6"/>
      <c r="F5" s="6"/>
      <c r="G5" s="6"/>
      <c r="H5" s="6"/>
      <c r="I5" s="6"/>
      <c r="J5" s="6"/>
      <c r="K5" s="6"/>
      <c r="L5" s="6"/>
    </row>
    <row r="6" spans="1:18" ht="12.95" customHeight="1">
      <c r="I6" s="71"/>
      <c r="Q6" s="627"/>
      <c r="R6" s="627"/>
    </row>
    <row r="7" spans="1:18" s="195" customFormat="1">
      <c r="F7" s="135" t="s">
        <v>35</v>
      </c>
      <c r="H7" s="135" t="s">
        <v>36</v>
      </c>
      <c r="I7" s="135" t="s">
        <v>37</v>
      </c>
      <c r="K7" s="135" t="s">
        <v>38</v>
      </c>
      <c r="L7" s="135" t="s">
        <v>119</v>
      </c>
      <c r="N7" s="135" t="s">
        <v>120</v>
      </c>
      <c r="O7" s="135" t="s">
        <v>121</v>
      </c>
      <c r="Q7" s="627"/>
      <c r="R7" s="627"/>
    </row>
    <row r="8" spans="1:18">
      <c r="Q8" s="627"/>
      <c r="R8" s="627"/>
    </row>
    <row r="9" spans="1:18" s="33" customFormat="1">
      <c r="F9" s="47"/>
      <c r="H9" s="34" t="s">
        <v>176</v>
      </c>
      <c r="I9" s="34"/>
      <c r="K9" s="34" t="s">
        <v>177</v>
      </c>
      <c r="L9" s="34"/>
      <c r="N9" s="626" t="s">
        <v>200</v>
      </c>
      <c r="O9" s="626"/>
      <c r="Q9" s="33" t="s">
        <v>201</v>
      </c>
      <c r="R9" s="411" t="s">
        <v>202</v>
      </c>
    </row>
    <row r="10" spans="1:18" s="36" customFormat="1" ht="29.45" customHeight="1">
      <c r="A10" s="35"/>
      <c r="C10" s="37" t="s">
        <v>42</v>
      </c>
      <c r="D10" s="37"/>
      <c r="F10" s="35" t="s">
        <v>179</v>
      </c>
      <c r="H10" s="35" t="s">
        <v>180</v>
      </c>
      <c r="I10" s="322" t="s">
        <v>181</v>
      </c>
      <c r="K10" s="35" t="s">
        <v>180</v>
      </c>
      <c r="L10" s="322" t="s">
        <v>181</v>
      </c>
      <c r="N10" s="362" t="s">
        <v>203</v>
      </c>
      <c r="O10" s="361" t="s">
        <v>204</v>
      </c>
      <c r="Q10" s="410" t="s">
        <v>205</v>
      </c>
      <c r="R10" s="412" t="s">
        <v>206</v>
      </c>
    </row>
    <row r="11" spans="1:18" ht="18.95" customHeight="1">
      <c r="A11" s="7">
        <v>1</v>
      </c>
      <c r="C11" s="2" t="s">
        <v>207</v>
      </c>
      <c r="D11" s="2"/>
      <c r="F11" s="26"/>
      <c r="H11" s="27"/>
      <c r="I11" s="306"/>
      <c r="K11" s="27"/>
      <c r="L11" s="26"/>
      <c r="N11" s="363"/>
      <c r="O11" s="358"/>
      <c r="Q11" s="413"/>
    </row>
    <row r="12" spans="1:18">
      <c r="A12" s="7">
        <f>A11+1</f>
        <v>2</v>
      </c>
      <c r="C12" t="s">
        <v>208</v>
      </c>
      <c r="F12" s="66">
        <v>-1.1866399999999999</v>
      </c>
      <c r="H12" s="27">
        <v>1</v>
      </c>
      <c r="I12" s="108">
        <f>F12</f>
        <v>-1.1866399999999999</v>
      </c>
      <c r="K12" s="27"/>
      <c r="L12" s="28"/>
      <c r="N12" s="442">
        <v>2966.6</v>
      </c>
      <c r="O12" s="436">
        <v>400</v>
      </c>
      <c r="Q12" s="414">
        <f>-N12*O12/1000000</f>
        <v>-1.1866399999999999</v>
      </c>
      <c r="R12" s="269">
        <f>Q12-F12</f>
        <v>0</v>
      </c>
    </row>
    <row r="13" spans="1:18">
      <c r="A13" s="7">
        <f>A12+1</f>
        <v>3</v>
      </c>
      <c r="C13" t="s">
        <v>209</v>
      </c>
      <c r="F13" s="429"/>
      <c r="H13" s="27"/>
      <c r="I13" s="108">
        <f t="shared" ref="I13:I28" si="0">F13</f>
        <v>0</v>
      </c>
      <c r="K13" s="27"/>
      <c r="L13" s="31"/>
      <c r="N13" s="443">
        <v>0</v>
      </c>
      <c r="O13" s="358"/>
      <c r="Q13" s="414"/>
      <c r="R13" s="269"/>
    </row>
    <row r="14" spans="1:18" ht="13.5">
      <c r="A14" s="7"/>
      <c r="D14" s="357" t="s">
        <v>204</v>
      </c>
      <c r="F14" s="429">
        <v>-0.4035484853027046</v>
      </c>
      <c r="H14" s="27">
        <v>1</v>
      </c>
      <c r="I14" s="108">
        <f t="shared" si="0"/>
        <v>-0.4035484853027046</v>
      </c>
      <c r="K14" s="27"/>
      <c r="L14" s="31"/>
      <c r="N14" s="444">
        <v>49621.998917500008</v>
      </c>
      <c r="O14" s="360">
        <f>'B-11 Other Rates'!L26</f>
        <v>8.1324512132941642</v>
      </c>
      <c r="Q14" s="414">
        <f>-N14*O14/1000000</f>
        <v>-0.4035484853027046</v>
      </c>
      <c r="R14" s="269">
        <f>Q14-F14</f>
        <v>0</v>
      </c>
    </row>
    <row r="15" spans="1:18" ht="13.5">
      <c r="A15" s="7"/>
      <c r="D15" s="357" t="s">
        <v>210</v>
      </c>
      <c r="F15" s="429">
        <v>-4.4999999999999997E-3</v>
      </c>
      <c r="H15" s="27">
        <v>1</v>
      </c>
      <c r="I15" s="108">
        <f t="shared" si="0"/>
        <v>-4.4999999999999997E-3</v>
      </c>
      <c r="K15" s="27"/>
      <c r="L15" s="31"/>
      <c r="N15" s="444">
        <v>9</v>
      </c>
      <c r="O15" s="436">
        <v>500</v>
      </c>
      <c r="Q15" s="414">
        <f>-N15*O15/1000000</f>
        <v>-4.4999999999999997E-3</v>
      </c>
      <c r="R15" s="269">
        <f>Q15-F15</f>
        <v>0</v>
      </c>
    </row>
    <row r="16" spans="1:18">
      <c r="A16" s="7">
        <f>A13+1</f>
        <v>4</v>
      </c>
      <c r="C16" t="s">
        <v>211</v>
      </c>
      <c r="F16" s="66"/>
      <c r="H16" s="27"/>
      <c r="I16" s="108">
        <f t="shared" si="0"/>
        <v>0</v>
      </c>
      <c r="K16" s="27"/>
      <c r="L16" s="30"/>
      <c r="N16" s="426">
        <v>0</v>
      </c>
      <c r="O16" s="358"/>
      <c r="Q16" s="414"/>
      <c r="R16" s="269"/>
    </row>
    <row r="17" spans="1:22" ht="13.5">
      <c r="A17" s="7"/>
      <c r="D17" s="357" t="s">
        <v>204</v>
      </c>
      <c r="F17" s="66">
        <v>-14.693978773817092</v>
      </c>
      <c r="H17" s="27">
        <v>1</v>
      </c>
      <c r="I17" s="108">
        <f t="shared" si="0"/>
        <v>-14.693978773817092</v>
      </c>
      <c r="K17" s="27"/>
      <c r="L17" s="30"/>
      <c r="N17" s="442">
        <v>1612445.0678240249</v>
      </c>
      <c r="O17" s="360">
        <f>'B-11 Other Rates'!L34</f>
        <v>9.1128554187873423</v>
      </c>
      <c r="Q17" s="414">
        <f>-N17*O17/1000000</f>
        <v>-14.693978773817088</v>
      </c>
      <c r="R17" s="269">
        <f>Q17-F17</f>
        <v>0</v>
      </c>
    </row>
    <row r="18" spans="1:22" ht="13.5">
      <c r="A18" s="7"/>
      <c r="D18" s="357" t="s">
        <v>210</v>
      </c>
      <c r="F18" s="66">
        <v>-6.8500000000000005E-2</v>
      </c>
      <c r="H18" s="27">
        <v>1</v>
      </c>
      <c r="I18" s="108">
        <f t="shared" si="0"/>
        <v>-6.8500000000000005E-2</v>
      </c>
      <c r="K18" s="27"/>
      <c r="L18" s="30"/>
      <c r="N18" s="437">
        <v>137</v>
      </c>
      <c r="O18" s="436">
        <v>500</v>
      </c>
      <c r="Q18" s="414">
        <f>-N18*O18/1000000</f>
        <v>-6.8500000000000005E-2</v>
      </c>
      <c r="R18" s="269">
        <f>Q18-F18</f>
        <v>0</v>
      </c>
    </row>
    <row r="19" spans="1:22">
      <c r="A19" s="7">
        <f>A16+1</f>
        <v>5</v>
      </c>
      <c r="C19" t="s">
        <v>212</v>
      </c>
      <c r="F19" s="430">
        <v>2.8665546100000001</v>
      </c>
      <c r="H19" s="27">
        <v>1</v>
      </c>
      <c r="I19" s="108">
        <f t="shared" si="0"/>
        <v>2.8665546100000001</v>
      </c>
      <c r="K19" s="27"/>
      <c r="L19" s="30"/>
      <c r="N19" s="426" t="s">
        <v>150</v>
      </c>
      <c r="O19" s="358" t="s">
        <v>150</v>
      </c>
      <c r="Q19" s="414">
        <v>2.8665546100000001</v>
      </c>
      <c r="R19" s="269">
        <f>Q19-F19</f>
        <v>0</v>
      </c>
    </row>
    <row r="20" spans="1:22">
      <c r="A20" s="7">
        <f>A19+1</f>
        <v>6</v>
      </c>
      <c r="C20" t="s">
        <v>213</v>
      </c>
      <c r="F20" s="431"/>
      <c r="H20" s="27"/>
      <c r="I20" s="108">
        <f t="shared" si="0"/>
        <v>0</v>
      </c>
      <c r="K20" s="27"/>
      <c r="L20" s="30"/>
      <c r="N20" s="426">
        <v>0</v>
      </c>
      <c r="O20" s="358"/>
      <c r="Q20" s="414"/>
      <c r="R20" s="269"/>
    </row>
    <row r="21" spans="1:22" ht="13.5">
      <c r="A21" s="7"/>
      <c r="D21" s="356" t="s">
        <v>214</v>
      </c>
      <c r="F21" s="431">
        <v>2.844181874759999</v>
      </c>
      <c r="H21" s="27">
        <v>1</v>
      </c>
      <c r="I21" s="108">
        <f t="shared" si="0"/>
        <v>2.844181874759999</v>
      </c>
      <c r="K21" s="27"/>
      <c r="L21" s="30"/>
      <c r="N21" s="442">
        <v>245.90885999999992</v>
      </c>
      <c r="O21" s="409">
        <f>'B-8 DTS Rate'!V19</f>
        <v>11566</v>
      </c>
      <c r="Q21" s="414">
        <f>N21*O21/1000000</f>
        <v>2.844181874759999</v>
      </c>
      <c r="R21" s="269">
        <f t="shared" ref="R21:R28" si="1">Q21-F21</f>
        <v>0</v>
      </c>
    </row>
    <row r="22" spans="1:22" ht="13.5">
      <c r="A22" s="7"/>
      <c r="D22" s="357" t="s">
        <v>215</v>
      </c>
      <c r="F22" s="431">
        <v>6.4009834044631564</v>
      </c>
      <c r="H22" s="27">
        <v>1</v>
      </c>
      <c r="I22" s="108">
        <f t="shared" si="0"/>
        <v>6.4009834044631564</v>
      </c>
      <c r="K22" s="27"/>
      <c r="L22" s="30"/>
      <c r="N22" s="442">
        <v>1681.3720526564634</v>
      </c>
      <c r="O22" s="409">
        <f>'B-8 DTS Rate'!V20</f>
        <v>3807</v>
      </c>
      <c r="Q22" s="414">
        <f>N22*O22/1000000</f>
        <v>6.4009834044631564</v>
      </c>
      <c r="R22" s="269">
        <f t="shared" si="1"/>
        <v>0</v>
      </c>
    </row>
    <row r="23" spans="1:22" ht="13.5">
      <c r="A23" s="7"/>
      <c r="D23" s="356" t="s">
        <v>216</v>
      </c>
      <c r="F23" s="431">
        <v>3.931014143834306</v>
      </c>
      <c r="H23" s="27">
        <v>1</v>
      </c>
      <c r="I23" s="108">
        <f t="shared" si="0"/>
        <v>3.931014143834306</v>
      </c>
      <c r="K23" s="27"/>
      <c r="L23" s="30"/>
      <c r="N23" s="442">
        <v>1740.9274330532799</v>
      </c>
      <c r="O23" s="409">
        <f>'B-8 DTS Rate'!V21</f>
        <v>2258</v>
      </c>
      <c r="Q23" s="414">
        <f>N23*O23/1000000</f>
        <v>3.931014143834306</v>
      </c>
      <c r="R23" s="269">
        <f t="shared" si="1"/>
        <v>0</v>
      </c>
    </row>
    <row r="24" spans="1:22" ht="13.5">
      <c r="A24" s="7"/>
      <c r="D24" s="356" t="s">
        <v>217</v>
      </c>
      <c r="F24" s="431">
        <v>5.0831464151588168</v>
      </c>
      <c r="H24" s="27">
        <v>1</v>
      </c>
      <c r="I24" s="108">
        <f t="shared" si="0"/>
        <v>5.0831464151588168</v>
      </c>
      <c r="K24" s="27"/>
      <c r="L24" s="30"/>
      <c r="N24" s="442">
        <v>3364.0942522560003</v>
      </c>
      <c r="O24" s="409">
        <f>'B-8 DTS Rate'!V22</f>
        <v>1511</v>
      </c>
      <c r="Q24" s="414">
        <f>N24*O24/1000000</f>
        <v>5.0831464151588168</v>
      </c>
      <c r="R24" s="269">
        <f t="shared" si="1"/>
        <v>0</v>
      </c>
    </row>
    <row r="25" spans="1:22" ht="13.5">
      <c r="A25" s="7"/>
      <c r="D25" s="356" t="s">
        <v>218</v>
      </c>
      <c r="F25" s="431">
        <v>20.463222685466754</v>
      </c>
      <c r="H25" s="27">
        <v>1</v>
      </c>
      <c r="I25" s="108">
        <f t="shared" si="0"/>
        <v>20.463222685466754</v>
      </c>
      <c r="K25" s="27"/>
      <c r="L25" s="30"/>
      <c r="N25" s="442">
        <v>17371.156778834258</v>
      </c>
      <c r="O25" s="409">
        <f>'B-8 DTS Rate'!V23</f>
        <v>1178</v>
      </c>
      <c r="Q25" s="414">
        <f>N25*O25/1000000</f>
        <v>20.463222685466754</v>
      </c>
      <c r="R25" s="269">
        <f t="shared" si="1"/>
        <v>0</v>
      </c>
    </row>
    <row r="26" spans="1:22">
      <c r="A26" s="7">
        <f>A20+1</f>
        <v>7</v>
      </c>
      <c r="C26" t="s">
        <v>219</v>
      </c>
      <c r="F26" s="66">
        <v>0</v>
      </c>
      <c r="H26" s="27">
        <v>1</v>
      </c>
      <c r="I26" s="108">
        <f t="shared" si="0"/>
        <v>0</v>
      </c>
      <c r="K26" s="27"/>
      <c r="L26" s="30"/>
      <c r="N26" s="442">
        <v>0</v>
      </c>
      <c r="O26" s="436">
        <v>0</v>
      </c>
      <c r="Q26" s="414">
        <v>0</v>
      </c>
      <c r="R26" s="269">
        <f t="shared" si="1"/>
        <v>0</v>
      </c>
      <c r="V26" t="s">
        <v>220</v>
      </c>
    </row>
    <row r="27" spans="1:22">
      <c r="A27" s="7">
        <f t="shared" ref="A27:A32" si="2">A26+1</f>
        <v>8</v>
      </c>
      <c r="C27" t="s">
        <v>221</v>
      </c>
      <c r="F27" s="66">
        <v>-2.0079214266377385</v>
      </c>
      <c r="H27" s="27">
        <v>1</v>
      </c>
      <c r="I27" s="108">
        <f t="shared" si="0"/>
        <v>-2.0079214266377385</v>
      </c>
      <c r="K27" s="27"/>
      <c r="L27" s="30"/>
      <c r="N27" s="474" t="s">
        <v>150</v>
      </c>
      <c r="O27" s="358" t="s">
        <v>150</v>
      </c>
      <c r="Q27" s="414">
        <f>-'B-14 FTS Rate'!Q25/1000</f>
        <v>-2.0079214266377385</v>
      </c>
      <c r="R27" s="269">
        <f t="shared" si="1"/>
        <v>0</v>
      </c>
    </row>
    <row r="28" spans="1:22">
      <c r="A28" s="7">
        <f t="shared" si="2"/>
        <v>9</v>
      </c>
      <c r="C28" t="s">
        <v>222</v>
      </c>
      <c r="F28" s="414">
        <v>-0.52435799999999999</v>
      </c>
      <c r="H28" s="27">
        <v>1</v>
      </c>
      <c r="I28" s="108">
        <f t="shared" si="0"/>
        <v>-0.52435799999999999</v>
      </c>
      <c r="K28" s="27"/>
      <c r="L28" s="30"/>
      <c r="N28" s="426" t="s">
        <v>150</v>
      </c>
      <c r="O28" s="427" t="s">
        <v>150</v>
      </c>
      <c r="Q28" s="414">
        <f>-(318654+4745*12+1737*12+10660*12)/1000000</f>
        <v>-0.52435799999999999</v>
      </c>
      <c r="R28" s="415">
        <f t="shared" si="1"/>
        <v>0</v>
      </c>
    </row>
    <row r="29" spans="1:22" s="9" customFormat="1" ht="18.95" customHeight="1">
      <c r="A29" s="8">
        <f t="shared" si="2"/>
        <v>10</v>
      </c>
      <c r="C29" s="12" t="s">
        <v>223</v>
      </c>
      <c r="D29" s="12"/>
      <c r="E29" s="12"/>
      <c r="F29" s="562">
        <f>SUM(F12:F28)</f>
        <v>22.699656447925495</v>
      </c>
      <c r="G29" s="12"/>
      <c r="H29" s="561">
        <v>1</v>
      </c>
      <c r="I29" s="562">
        <f>SUM(I12:I28)</f>
        <v>22.699656447925495</v>
      </c>
      <c r="J29" s="12"/>
      <c r="K29" s="561">
        <f>L29/F29</f>
        <v>0</v>
      </c>
      <c r="L29" s="560">
        <f>SUM(L12:L28)</f>
        <v>0</v>
      </c>
      <c r="N29" s="565"/>
      <c r="O29" s="358"/>
      <c r="Q29" s="566">
        <f>SUM(Q12:Q28)</f>
        <v>22.699656447925495</v>
      </c>
      <c r="R29" s="269"/>
    </row>
    <row r="30" spans="1:22" ht="18.95" customHeight="1">
      <c r="A30" s="7">
        <f t="shared" si="2"/>
        <v>11</v>
      </c>
      <c r="C30" s="2" t="s">
        <v>224</v>
      </c>
      <c r="D30" s="2"/>
      <c r="F30" s="66"/>
      <c r="H30" s="27"/>
      <c r="I30" s="306"/>
      <c r="K30" s="27"/>
      <c r="L30" s="26"/>
      <c r="N30" s="359"/>
      <c r="O30" s="358"/>
      <c r="Q30" s="416"/>
      <c r="R30" s="269"/>
    </row>
    <row r="31" spans="1:22">
      <c r="A31" s="7">
        <f t="shared" si="2"/>
        <v>12</v>
      </c>
      <c r="C31" t="s">
        <v>225</v>
      </c>
      <c r="F31" s="66">
        <v>-1.3246294879033123E-2</v>
      </c>
      <c r="H31" s="27"/>
      <c r="I31" s="108"/>
      <c r="K31" s="27">
        <f>1-H31</f>
        <v>1</v>
      </c>
      <c r="L31" s="28">
        <f>F31*K31</f>
        <v>-1.3246294879033123E-2</v>
      </c>
      <c r="N31" s="442">
        <v>49621.998917500008</v>
      </c>
      <c r="O31" s="519">
        <v>3.2000000000000002E-3</v>
      </c>
      <c r="Q31" s="414">
        <f>-N31*O31*'B-12 Determinants'!$J$20/1000000</f>
        <v>-1.3246294879033123E-2</v>
      </c>
      <c r="R31" s="269">
        <f>Q31-F31</f>
        <v>0</v>
      </c>
    </row>
    <row r="32" spans="1:22">
      <c r="A32" s="7">
        <f t="shared" si="2"/>
        <v>13</v>
      </c>
      <c r="C32" t="s">
        <v>226</v>
      </c>
      <c r="F32" s="429"/>
      <c r="H32" s="27"/>
      <c r="I32" s="108"/>
      <c r="K32" s="27"/>
      <c r="L32" s="28"/>
      <c r="N32" s="445"/>
      <c r="O32" s="358"/>
      <c r="Q32" s="416"/>
      <c r="R32" s="269"/>
    </row>
    <row r="33" spans="1:18" ht="13.5">
      <c r="A33" s="7"/>
      <c r="D33" s="357" t="s">
        <v>227</v>
      </c>
      <c r="F33" s="429">
        <v>-0.81776690024849996</v>
      </c>
      <c r="H33" s="27"/>
      <c r="I33" s="108"/>
      <c r="K33" s="27">
        <f>1-H33</f>
        <v>1</v>
      </c>
      <c r="L33" s="28">
        <f>F33*K33</f>
        <v>-0.81776690024849996</v>
      </c>
      <c r="N33" s="442">
        <v>1420725.75</v>
      </c>
      <c r="O33" s="527">
        <v>6.8999999999999999E-3</v>
      </c>
      <c r="Q33" s="416">
        <f>-N33*O33*'B-12 Determinants'!$J$20/1000000</f>
        <v>-0.81776690024849996</v>
      </c>
      <c r="R33" s="269">
        <f>Q33-F33</f>
        <v>0</v>
      </c>
    </row>
    <row r="34" spans="1:18" ht="13.5">
      <c r="A34" s="7"/>
      <c r="D34" s="357" t="s">
        <v>228</v>
      </c>
      <c r="F34" s="429">
        <v>-6.76142728715E-2</v>
      </c>
      <c r="H34" s="27"/>
      <c r="I34" s="108"/>
      <c r="K34" s="27">
        <f>1-H34</f>
        <v>1</v>
      </c>
      <c r="L34" s="28">
        <f>F34*K34</f>
        <v>-6.76142728715E-2</v>
      </c>
      <c r="N34" s="442">
        <v>35394.25</v>
      </c>
      <c r="O34" s="520">
        <v>2.29E-2</v>
      </c>
      <c r="Q34" s="416">
        <f>-N34*O34*'B-12 Determinants'!$J$20/1000000</f>
        <v>-6.76142728715E-2</v>
      </c>
      <c r="R34" s="269">
        <f>Q34-F34</f>
        <v>0</v>
      </c>
    </row>
    <row r="35" spans="1:18">
      <c r="A35" s="7">
        <f>A32+1</f>
        <v>14</v>
      </c>
      <c r="C35" t="s">
        <v>229</v>
      </c>
      <c r="F35" s="66"/>
      <c r="H35" s="27"/>
      <c r="I35" s="108"/>
      <c r="K35" s="27"/>
      <c r="L35" s="28"/>
      <c r="N35" s="446"/>
      <c r="O35" s="406"/>
      <c r="Q35" s="416"/>
      <c r="R35" s="269"/>
    </row>
    <row r="36" spans="1:18" ht="13.5">
      <c r="A36" s="7"/>
      <c r="D36" s="357" t="s">
        <v>227</v>
      </c>
      <c r="F36" s="66">
        <v>-1.91919922688</v>
      </c>
      <c r="H36" s="27"/>
      <c r="I36" s="108"/>
      <c r="K36" s="27">
        <f>1-H36</f>
        <v>1</v>
      </c>
      <c r="L36" s="28">
        <f>F36*K36</f>
        <v>-1.91919922688</v>
      </c>
      <c r="N36" s="442">
        <v>898690</v>
      </c>
      <c r="O36" s="520">
        <v>2.5600000000000001E-2</v>
      </c>
      <c r="Q36" s="416">
        <f>-N36*O36*'B-12 Determinants'!$J$20/1000000</f>
        <v>-1.91919922688</v>
      </c>
      <c r="R36" s="269">
        <f>Q36-F36</f>
        <v>0</v>
      </c>
    </row>
    <row r="37" spans="1:18" ht="13.5">
      <c r="A37" s="7"/>
      <c r="D37" s="357" t="s">
        <v>230</v>
      </c>
      <c r="F37" s="66">
        <v>-4.4514478284985861</v>
      </c>
      <c r="H37" s="27"/>
      <c r="I37" s="108"/>
      <c r="K37" s="27">
        <f>1-H37</f>
        <v>1</v>
      </c>
      <c r="L37" s="28">
        <f>F37*K37</f>
        <v>-4.4514478284985861</v>
      </c>
      <c r="N37" s="442">
        <v>884939.92685389996</v>
      </c>
      <c r="O37" s="520">
        <v>6.0299999999999999E-2</v>
      </c>
      <c r="Q37" s="416">
        <f>-N37*O37*'B-12 Determinants'!$J$20/1000000</f>
        <v>-4.4514478284985861</v>
      </c>
      <c r="R37" s="269">
        <f>Q37-F37</f>
        <v>0</v>
      </c>
    </row>
    <row r="38" spans="1:18" ht="13.5">
      <c r="A38" s="7"/>
      <c r="D38" s="357" t="s">
        <v>228</v>
      </c>
      <c r="F38" s="66">
        <v>-3.3822673035359996</v>
      </c>
      <c r="H38" s="27"/>
      <c r="I38" s="108"/>
      <c r="K38" s="27">
        <f>1-H38</f>
        <v>1</v>
      </c>
      <c r="L38" s="28">
        <f>F38*K38</f>
        <v>-3.3822673035359996</v>
      </c>
      <c r="N38" s="442">
        <v>722728</v>
      </c>
      <c r="O38" s="520">
        <v>5.6100000000000004E-2</v>
      </c>
      <c r="Q38" s="416">
        <f>-N38*O38*'B-12 Determinants'!$J$20/1000000</f>
        <v>-3.382267303536</v>
      </c>
      <c r="R38" s="269">
        <f>Q38-F38</f>
        <v>0</v>
      </c>
    </row>
    <row r="39" spans="1:18" ht="13.5">
      <c r="A39" s="7"/>
      <c r="D39" s="357" t="s">
        <v>231</v>
      </c>
      <c r="F39" s="66">
        <v>-6.4500000000000002E-2</v>
      </c>
      <c r="H39" s="27"/>
      <c r="I39" s="108"/>
      <c r="K39" s="27">
        <v>1</v>
      </c>
      <c r="L39" s="28">
        <f>F39*K39</f>
        <v>-6.4500000000000002E-2</v>
      </c>
      <c r="N39" s="447">
        <v>129</v>
      </c>
      <c r="O39" s="521">
        <v>500</v>
      </c>
      <c r="Q39" s="428">
        <f>-N39*O39/10^6</f>
        <v>-6.4500000000000002E-2</v>
      </c>
      <c r="R39" s="415">
        <f>Q39-F39</f>
        <v>0</v>
      </c>
    </row>
    <row r="40" spans="1:18" s="9" customFormat="1" ht="18.95" customHeight="1">
      <c r="A40" s="8">
        <f>A35+1</f>
        <v>15</v>
      </c>
      <c r="C40" s="12" t="s">
        <v>232</v>
      </c>
      <c r="D40" s="12"/>
      <c r="E40" s="12"/>
      <c r="F40" s="562">
        <f>SUM(F31:F39)</f>
        <v>-10.716041826913619</v>
      </c>
      <c r="G40" s="12"/>
      <c r="H40" s="567">
        <v>0</v>
      </c>
      <c r="I40" s="568">
        <v>0</v>
      </c>
      <c r="J40" s="12"/>
      <c r="K40" s="561">
        <v>1</v>
      </c>
      <c r="L40" s="569">
        <f>F40*K40</f>
        <v>-10.716041826913619</v>
      </c>
      <c r="N40" s="570"/>
      <c r="O40" s="571"/>
      <c r="Q40" s="417">
        <f>SUM(Q31:Q39)</f>
        <v>-10.716041826913621</v>
      </c>
      <c r="R40" s="269"/>
    </row>
    <row r="41" spans="1:18" ht="19.350000000000001" customHeight="1">
      <c r="A41" s="7">
        <f>A40+1</f>
        <v>16</v>
      </c>
      <c r="C41" s="2" t="s">
        <v>233</v>
      </c>
      <c r="D41" s="2"/>
      <c r="E41" s="2"/>
      <c r="F41" s="364">
        <f>F29+F40</f>
        <v>11.983614621011876</v>
      </c>
      <c r="G41" s="2"/>
      <c r="H41" s="563">
        <f>I41/F41</f>
        <v>1.8942245028577842</v>
      </c>
      <c r="I41" s="364">
        <f>SUM(I29,I40)</f>
        <v>22.699656447925495</v>
      </c>
      <c r="J41" s="2"/>
      <c r="K41" s="563">
        <f>L41/F41</f>
        <v>-0.89422450285778421</v>
      </c>
      <c r="L41" s="364">
        <f>SUM(L29,L40)</f>
        <v>-10.716041826913619</v>
      </c>
      <c r="N41" s="358"/>
      <c r="O41" s="358"/>
      <c r="Q41" s="416"/>
      <c r="R41" s="269"/>
    </row>
    <row r="42" spans="1:18" ht="19.350000000000001" customHeight="1">
      <c r="A42" s="7"/>
      <c r="C42" s="2"/>
      <c r="D42" s="2"/>
      <c r="E42" s="2"/>
      <c r="F42" s="84"/>
      <c r="G42" s="2"/>
      <c r="H42" s="2"/>
      <c r="I42" s="350"/>
      <c r="J42" s="2"/>
      <c r="K42" s="2"/>
      <c r="L42" s="84"/>
      <c r="M42" s="135"/>
      <c r="P42" s="135"/>
    </row>
  </sheetData>
  <mergeCells count="2">
    <mergeCell ref="N9:O9"/>
    <mergeCell ref="Q6:R8"/>
  </mergeCells>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7"/>
  <sheetViews>
    <sheetView showGridLines="0" topLeftCell="A7" zoomScaleNormal="100" workbookViewId="0">
      <selection activeCell="I31" sqref="I31"/>
    </sheetView>
  </sheetViews>
  <sheetFormatPr defaultColWidth="9" defaultRowHeight="12.75"/>
  <cols>
    <col min="1" max="1" width="4.83203125" customWidth="1"/>
    <col min="2" max="2" width="1" customWidth="1"/>
    <col min="3" max="3" width="2.83203125" customWidth="1"/>
    <col min="4" max="4" width="28.83203125" customWidth="1"/>
    <col min="5" max="5" width="1" customWidth="1"/>
    <col min="6" max="6" width="10.1640625" customWidth="1"/>
    <col min="7" max="8" width="1" customWidth="1"/>
    <col min="9" max="9" width="9.33203125" customWidth="1"/>
    <col min="10" max="10" width="10.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308" t="str">
        <f ca="1">TablePrefix&amp;TRIM(MID(CELL("filename",AB2),FIND("]",CELL("filename",AB2))+1,4))&amp;TableSuffix</f>
        <v>Table B-5</v>
      </c>
    </row>
    <row r="2" spans="1:29">
      <c r="A2" s="5" t="str">
        <f>Application</f>
        <v>2024 ISO Tariff Update Application</v>
      </c>
      <c r="B2" s="5"/>
      <c r="C2" s="5"/>
      <c r="D2" s="5"/>
      <c r="E2" s="5"/>
      <c r="F2" s="5"/>
      <c r="G2" s="5"/>
      <c r="H2" s="5"/>
      <c r="I2" s="5"/>
      <c r="J2" s="5"/>
      <c r="K2" s="5"/>
      <c r="L2" s="5"/>
      <c r="M2" s="5"/>
      <c r="N2" s="5"/>
      <c r="O2" s="5"/>
      <c r="P2" s="5"/>
      <c r="Q2" s="5"/>
      <c r="R2" s="5"/>
      <c r="S2" s="5"/>
      <c r="T2" s="5"/>
      <c r="U2" s="5"/>
      <c r="V2" s="5"/>
      <c r="W2" s="2"/>
      <c r="Z2" s="308" t="str">
        <f>TableDate</f>
        <v>November 16, 2023</v>
      </c>
    </row>
    <row r="3" spans="1:29">
      <c r="A3" s="134"/>
      <c r="B3" s="134"/>
      <c r="C3" s="134"/>
      <c r="D3" s="134"/>
      <c r="E3" s="134"/>
      <c r="F3" s="134"/>
      <c r="G3" s="134"/>
      <c r="H3" s="134"/>
      <c r="I3" s="134"/>
      <c r="J3" s="134"/>
      <c r="K3" s="134"/>
      <c r="L3" s="134"/>
      <c r="M3" s="134"/>
      <c r="N3" s="134"/>
      <c r="O3" s="134"/>
      <c r="P3" s="134"/>
      <c r="Q3" s="134"/>
      <c r="R3" s="134"/>
      <c r="S3" s="134"/>
      <c r="T3" s="134"/>
      <c r="U3" s="134"/>
      <c r="V3" s="134"/>
      <c r="Z3" s="2"/>
    </row>
    <row r="4" spans="1:29" s="134" customFormat="1">
      <c r="A4" s="254" t="str">
        <f>TableGroup1</f>
        <v>Appendix B — 2024 Rate Calculations</v>
      </c>
      <c r="B4" s="6"/>
      <c r="C4" s="6"/>
      <c r="D4" s="6"/>
      <c r="E4" s="6"/>
      <c r="F4" s="6"/>
      <c r="G4" s="6"/>
      <c r="H4" s="6"/>
      <c r="I4" s="6"/>
      <c r="J4" s="6"/>
      <c r="K4" s="6"/>
      <c r="L4" s="6"/>
      <c r="M4" s="6"/>
      <c r="N4" s="6"/>
      <c r="O4" s="6"/>
      <c r="P4" s="6"/>
      <c r="Q4" s="6"/>
      <c r="R4" s="6"/>
      <c r="S4" s="6"/>
      <c r="T4" s="6"/>
      <c r="U4" s="6"/>
      <c r="V4" s="6"/>
      <c r="W4" s="6"/>
      <c r="X4" s="6"/>
      <c r="Y4" s="6"/>
      <c r="Z4" s="6"/>
    </row>
    <row r="5" spans="1:29" s="134" customFormat="1">
      <c r="A5" s="6" t="s">
        <v>234</v>
      </c>
      <c r="B5" s="6"/>
      <c r="C5" s="6"/>
      <c r="D5" s="6"/>
      <c r="E5" s="6"/>
      <c r="F5" s="6"/>
      <c r="G5" s="6"/>
      <c r="H5" s="6"/>
      <c r="I5" s="6"/>
      <c r="J5" s="6"/>
      <c r="K5" s="6"/>
      <c r="L5" s="6"/>
      <c r="M5" s="6"/>
      <c r="N5" s="6"/>
      <c r="O5" s="6"/>
      <c r="P5" s="6"/>
      <c r="Q5" s="6"/>
      <c r="R5" s="6"/>
      <c r="S5" s="6"/>
      <c r="T5" s="6"/>
      <c r="U5" s="6"/>
      <c r="V5" s="6"/>
      <c r="W5" s="6"/>
      <c r="X5" s="6"/>
      <c r="Y5" s="6"/>
      <c r="Z5" s="6"/>
    </row>
    <row r="6" spans="1:29">
      <c r="I6" s="71"/>
    </row>
    <row r="7" spans="1:29" s="135" customFormat="1">
      <c r="F7" s="135" t="s">
        <v>35</v>
      </c>
      <c r="I7" s="135" t="s">
        <v>36</v>
      </c>
      <c r="J7" s="135" t="s">
        <v>37</v>
      </c>
      <c r="M7" s="135" t="s">
        <v>38</v>
      </c>
      <c r="N7" s="135" t="s">
        <v>119</v>
      </c>
      <c r="Q7" s="135" t="s">
        <v>120</v>
      </c>
      <c r="R7" s="135" t="s">
        <v>121</v>
      </c>
      <c r="U7" s="135" t="s">
        <v>122</v>
      </c>
      <c r="V7" s="135" t="s">
        <v>123</v>
      </c>
      <c r="Y7" s="135" t="s">
        <v>124</v>
      </c>
      <c r="Z7" s="135" t="s">
        <v>125</v>
      </c>
    </row>
    <row r="9" spans="1:29" s="33" customFormat="1" ht="13.5">
      <c r="F9" s="47" t="s">
        <v>235</v>
      </c>
      <c r="H9" s="163"/>
      <c r="I9" s="34" t="s">
        <v>236</v>
      </c>
      <c r="J9" s="34"/>
      <c r="K9" s="34"/>
      <c r="L9" s="34"/>
      <c r="M9" s="34"/>
      <c r="N9" s="34"/>
      <c r="O9" s="34"/>
      <c r="P9" s="34"/>
      <c r="Q9" s="34"/>
      <c r="R9" s="34"/>
      <c r="S9" s="34"/>
      <c r="T9" s="34"/>
      <c r="U9" s="34"/>
      <c r="V9" s="34"/>
      <c r="W9" s="34"/>
      <c r="X9" s="34"/>
      <c r="Y9" s="34"/>
      <c r="Z9" s="34"/>
    </row>
    <row r="10" spans="1:29" s="33" customFormat="1">
      <c r="F10" s="501" t="s">
        <v>237</v>
      </c>
      <c r="H10" s="77"/>
      <c r="I10" s="34" t="s">
        <v>238</v>
      </c>
      <c r="J10" s="34"/>
      <c r="L10" s="77"/>
      <c r="M10" s="34" t="s">
        <v>239</v>
      </c>
      <c r="N10" s="34"/>
      <c r="P10" s="85"/>
      <c r="Q10" s="34" t="s">
        <v>240</v>
      </c>
      <c r="R10" s="34"/>
      <c r="T10" s="85"/>
      <c r="U10" s="34" t="s">
        <v>241</v>
      </c>
      <c r="V10" s="34"/>
      <c r="X10" s="85"/>
      <c r="Y10" s="34" t="s">
        <v>242</v>
      </c>
      <c r="Z10" s="34"/>
    </row>
    <row r="11" spans="1:29" s="47" customFormat="1" ht="25.5">
      <c r="A11" s="309" t="s">
        <v>243</v>
      </c>
      <c r="C11" s="310" t="s">
        <v>42</v>
      </c>
      <c r="D11" s="310"/>
      <c r="F11" s="309" t="s">
        <v>244</v>
      </c>
      <c r="H11" s="125"/>
      <c r="I11" s="309" t="s">
        <v>180</v>
      </c>
      <c r="J11" s="412" t="s">
        <v>181</v>
      </c>
      <c r="L11" s="125"/>
      <c r="M11" s="309" t="s">
        <v>180</v>
      </c>
      <c r="N11" s="412" t="s">
        <v>181</v>
      </c>
      <c r="P11" s="125"/>
      <c r="Q11" s="309" t="s">
        <v>180</v>
      </c>
      <c r="R11" s="412" t="s">
        <v>181</v>
      </c>
      <c r="T11" s="125"/>
      <c r="U11" s="309" t="s">
        <v>180</v>
      </c>
      <c r="V11" s="412" t="s">
        <v>181</v>
      </c>
      <c r="X11" s="125"/>
      <c r="Y11" s="309" t="s">
        <v>180</v>
      </c>
      <c r="Z11" s="412" t="s">
        <v>181</v>
      </c>
    </row>
    <row r="12" spans="1:29" ht="18.95" customHeight="1">
      <c r="A12" s="7">
        <v>1</v>
      </c>
      <c r="C12" s="2" t="s">
        <v>182</v>
      </c>
      <c r="D12" s="2"/>
      <c r="E12" s="2"/>
      <c r="F12" s="99"/>
      <c r="G12" s="21"/>
      <c r="H12" s="89"/>
      <c r="I12" s="502"/>
      <c r="J12" s="103"/>
      <c r="K12" s="21"/>
      <c r="L12" s="89"/>
      <c r="M12" s="502"/>
      <c r="N12" s="103"/>
      <c r="O12" s="21"/>
      <c r="P12" s="89"/>
      <c r="Q12" s="503"/>
      <c r="R12" s="103"/>
      <c r="S12" s="21"/>
      <c r="T12" s="89"/>
      <c r="U12" s="502"/>
      <c r="V12" s="103"/>
      <c r="W12" s="21"/>
      <c r="X12" s="89"/>
      <c r="Y12" s="102"/>
      <c r="Z12" s="103"/>
    </row>
    <row r="13" spans="1:29">
      <c r="A13" s="7">
        <f t="shared" ref="A13:A34" si="0">A12+1</f>
        <v>2</v>
      </c>
      <c r="C13" t="s">
        <v>183</v>
      </c>
      <c r="F13" s="317">
        <f>'B-3 Allocation'!L12</f>
        <v>1004.9601407874445</v>
      </c>
      <c r="G13" s="16"/>
      <c r="H13" s="87"/>
      <c r="I13" s="504">
        <v>0.93446310349533057</v>
      </c>
      <c r="J13" s="439">
        <f>$F13*I13</f>
        <v>939.09817204933972</v>
      </c>
      <c r="K13" s="16"/>
      <c r="L13" s="87"/>
      <c r="M13" s="438">
        <v>0</v>
      </c>
      <c r="N13" s="440">
        <f>$F13*M13</f>
        <v>0</v>
      </c>
      <c r="O13" s="16"/>
      <c r="P13" s="87"/>
      <c r="Q13" s="438">
        <v>6.5536896504669442E-2</v>
      </c>
      <c r="R13" s="439">
        <f>$F13*Q13</f>
        <v>65.861968738104778</v>
      </c>
      <c r="S13" s="16"/>
      <c r="T13" s="87"/>
      <c r="U13" s="438">
        <v>0</v>
      </c>
      <c r="V13" s="311">
        <f>$F13*U13</f>
        <v>0</v>
      </c>
      <c r="W13" s="16"/>
      <c r="X13" s="87"/>
      <c r="Y13" s="305">
        <f>IF(IF(F13=0,0,ABS(1-I13-M13-Q13-U13))&lt;0.0001,0,IF(F13=0,0,1-I13-M13-Q13-U13))</f>
        <v>0</v>
      </c>
      <c r="Z13" s="311">
        <f>$F13*Y13</f>
        <v>0</v>
      </c>
      <c r="AB13" s="349"/>
      <c r="AC13" s="349"/>
    </row>
    <row r="14" spans="1:29">
      <c r="A14" s="7">
        <f t="shared" si="0"/>
        <v>3</v>
      </c>
      <c r="C14" t="s">
        <v>184</v>
      </c>
      <c r="F14" s="312">
        <f>'B-3 Allocation'!L13</f>
        <v>477.9423600092473</v>
      </c>
      <c r="G14" s="16"/>
      <c r="H14" s="87"/>
      <c r="I14" s="438">
        <v>0</v>
      </c>
      <c r="J14" s="440">
        <f>$F14*I14</f>
        <v>0</v>
      </c>
      <c r="K14" s="16"/>
      <c r="L14" s="87"/>
      <c r="M14" s="505">
        <v>0.89543608452322854</v>
      </c>
      <c r="N14" s="440">
        <f>F14*M14</f>
        <v>427.96683547447168</v>
      </c>
      <c r="O14" s="16"/>
      <c r="P14" s="87"/>
      <c r="Q14" s="438">
        <v>0.10456391547677155</v>
      </c>
      <c r="R14" s="440">
        <f>F14*Q14</f>
        <v>49.975524534775651</v>
      </c>
      <c r="S14" s="16"/>
      <c r="T14" s="87"/>
      <c r="U14" s="438">
        <v>0</v>
      </c>
      <c r="V14" s="311">
        <f>$F14*U14</f>
        <v>0</v>
      </c>
      <c r="W14" s="16"/>
      <c r="X14" s="87"/>
      <c r="Y14" s="305">
        <f>IF(IF(F14=0,0,ABS(1-I14-M14-Q14-U14))&lt;0.0001,0,IF(F14=0,0,1-I14-M14-Q14-U14))</f>
        <v>0</v>
      </c>
      <c r="Z14" s="311">
        <f>$F14*Y14</f>
        <v>0</v>
      </c>
      <c r="AB14" s="349"/>
      <c r="AC14" s="349"/>
    </row>
    <row r="15" spans="1:29">
      <c r="A15" s="7">
        <f t="shared" si="0"/>
        <v>4</v>
      </c>
      <c r="C15" t="s">
        <v>185</v>
      </c>
      <c r="F15" s="312">
        <f>'B-3 Allocation'!L14</f>
        <v>461.20367698025069</v>
      </c>
      <c r="G15" s="16"/>
      <c r="H15" s="87"/>
      <c r="I15" s="438">
        <v>0</v>
      </c>
      <c r="J15" s="440">
        <f>$F15*I15</f>
        <v>0</v>
      </c>
      <c r="K15" s="16"/>
      <c r="L15" s="87"/>
      <c r="M15" s="438">
        <f>SUM('B-6 POD Classification'!L19:R19)</f>
        <v>0.8411881121559055</v>
      </c>
      <c r="N15" s="440">
        <f>F15*M15</f>
        <v>387.9590503583791</v>
      </c>
      <c r="O15" s="16"/>
      <c r="P15" s="87"/>
      <c r="Q15" s="438">
        <v>0</v>
      </c>
      <c r="R15" s="440">
        <f>F15*Q15</f>
        <v>0</v>
      </c>
      <c r="S15" s="16"/>
      <c r="T15" s="87"/>
      <c r="U15" s="438">
        <v>0</v>
      </c>
      <c r="V15" s="311"/>
      <c r="W15" s="16"/>
      <c r="X15" s="87"/>
      <c r="Y15" s="313">
        <f>'B-6 POD Classification'!I19</f>
        <v>0.15881188784409456</v>
      </c>
      <c r="Z15" s="311">
        <f>F15*Y15</f>
        <v>73.244626621871589</v>
      </c>
      <c r="AB15" s="314"/>
    </row>
    <row r="16" spans="1:29" s="9" customFormat="1" ht="18.95" customHeight="1">
      <c r="A16" s="8">
        <f t="shared" si="0"/>
        <v>5</v>
      </c>
      <c r="C16" s="12" t="s">
        <v>186</v>
      </c>
      <c r="D16" s="12"/>
      <c r="E16" s="12"/>
      <c r="F16" s="560">
        <f>SUM(F13:F15)</f>
        <v>1944.1061777769426</v>
      </c>
      <c r="G16" s="17"/>
      <c r="H16" s="88"/>
      <c r="I16" s="572">
        <f>J16/$F16</f>
        <v>0.48304880812795159</v>
      </c>
      <c r="J16" s="560">
        <f>SUM(J13:J15)</f>
        <v>939.09817204933972</v>
      </c>
      <c r="K16" s="17"/>
      <c r="L16" s="88"/>
      <c r="M16" s="572">
        <f>N16/$F16</f>
        <v>0.41969203902528118</v>
      </c>
      <c r="N16" s="560">
        <f>SUM(N13:N15)</f>
        <v>815.92588583285078</v>
      </c>
      <c r="O16" s="17"/>
      <c r="P16" s="88"/>
      <c r="Q16" s="572">
        <f>R16/$F16</f>
        <v>5.9583933530492114E-2</v>
      </c>
      <c r="R16" s="560">
        <f>SUM(R13:R15)</f>
        <v>115.83749327288044</v>
      </c>
      <c r="S16" s="17"/>
      <c r="T16" s="88"/>
      <c r="U16" s="572">
        <f>V16/$F16</f>
        <v>0</v>
      </c>
      <c r="V16" s="562">
        <f>SUM(V13:V15)</f>
        <v>0</v>
      </c>
      <c r="W16" s="17"/>
      <c r="X16" s="88"/>
      <c r="Y16" s="572">
        <f>Z16/$F16</f>
        <v>3.7675219316275085E-2</v>
      </c>
      <c r="Z16" s="560">
        <f>SUM(Z13:Z15)</f>
        <v>73.244626621871589</v>
      </c>
    </row>
    <row r="17" spans="1:27" ht="18.95" customHeight="1">
      <c r="A17" s="7">
        <f t="shared" si="0"/>
        <v>6</v>
      </c>
      <c r="C17" s="2" t="s">
        <v>187</v>
      </c>
      <c r="D17" s="2"/>
      <c r="F17" s="315"/>
      <c r="G17" s="16"/>
      <c r="H17" s="87"/>
      <c r="I17" s="316"/>
      <c r="J17" s="317"/>
      <c r="K17" s="16"/>
      <c r="L17" s="87"/>
      <c r="M17" s="316"/>
      <c r="N17" s="317"/>
      <c r="O17" s="16"/>
      <c r="P17" s="87"/>
      <c r="Q17" s="305"/>
      <c r="R17" s="317"/>
      <c r="S17" s="16"/>
      <c r="T17" s="87"/>
      <c r="U17" s="316"/>
      <c r="V17" s="317"/>
      <c r="W17" s="16"/>
      <c r="X17" s="87"/>
      <c r="Y17" s="316"/>
      <c r="Z17" s="317"/>
    </row>
    <row r="18" spans="1:27">
      <c r="A18" s="7">
        <f t="shared" si="0"/>
        <v>7</v>
      </c>
      <c r="C18" t="s">
        <v>68</v>
      </c>
      <c r="F18" s="315">
        <f>'B-3 Allocation'!L17</f>
        <v>308.39188399999995</v>
      </c>
      <c r="G18" s="16"/>
      <c r="H18" s="87"/>
      <c r="I18" s="305">
        <v>0</v>
      </c>
      <c r="J18" s="312">
        <f>$F18*I18</f>
        <v>0</v>
      </c>
      <c r="K18" s="16"/>
      <c r="L18" s="87"/>
      <c r="M18" s="305">
        <v>0</v>
      </c>
      <c r="N18" s="312">
        <f>$F18*M18</f>
        <v>0</v>
      </c>
      <c r="O18" s="16"/>
      <c r="P18" s="87"/>
      <c r="Q18" s="305">
        <v>0</v>
      </c>
      <c r="R18" s="312">
        <f>$F18*Q18</f>
        <v>0</v>
      </c>
      <c r="S18" s="16"/>
      <c r="T18" s="87"/>
      <c r="U18" s="305">
        <v>1</v>
      </c>
      <c r="V18" s="422">
        <f>$F18*U18</f>
        <v>308.39188399999995</v>
      </c>
      <c r="W18" s="16"/>
      <c r="X18" s="87"/>
      <c r="Y18" s="305">
        <f>IF(IF(F18=0,0,ABS(1-I18-M18-Q18-U18))&lt;0.0001,0,IF(F18=0,0,1-I18-M18-Q18-U18))</f>
        <v>0</v>
      </c>
      <c r="Z18" s="312">
        <f>$F18*Y18</f>
        <v>0</v>
      </c>
    </row>
    <row r="19" spans="1:27">
      <c r="A19" s="7">
        <f t="shared" si="0"/>
        <v>8</v>
      </c>
      <c r="C19" t="s">
        <v>78</v>
      </c>
      <c r="F19" s="312"/>
      <c r="G19" s="16"/>
      <c r="H19" s="87"/>
      <c r="I19" s="316"/>
      <c r="J19" s="312"/>
      <c r="K19" s="16"/>
      <c r="L19" s="87"/>
      <c r="M19" s="316"/>
      <c r="N19" s="312"/>
      <c r="O19" s="16"/>
      <c r="P19" s="87"/>
      <c r="Q19" s="316"/>
      <c r="R19" s="312"/>
      <c r="S19" s="16"/>
      <c r="T19" s="87"/>
      <c r="U19" s="316"/>
      <c r="V19" s="312"/>
      <c r="W19" s="16"/>
      <c r="X19" s="87"/>
      <c r="Y19" s="316"/>
      <c r="Z19" s="312"/>
    </row>
    <row r="20" spans="1:27">
      <c r="A20" s="7">
        <f t="shared" si="0"/>
        <v>9</v>
      </c>
      <c r="D20" s="299" t="s">
        <v>79</v>
      </c>
      <c r="F20" s="312">
        <f>'B-3 Allocation'!L19</f>
        <v>2.8393630000000001</v>
      </c>
      <c r="G20" s="16"/>
      <c r="H20" s="87"/>
      <c r="I20" s="305">
        <v>0</v>
      </c>
      <c r="J20" s="312">
        <f t="shared" ref="J20:J25" si="1">$F20*I20</f>
        <v>0</v>
      </c>
      <c r="K20" s="16"/>
      <c r="L20" s="87"/>
      <c r="M20" s="305">
        <v>0</v>
      </c>
      <c r="N20" s="312">
        <f t="shared" ref="N20:N25" si="2">$F20*M20</f>
        <v>0</v>
      </c>
      <c r="O20" s="16"/>
      <c r="P20" s="87"/>
      <c r="Q20" s="305">
        <v>0</v>
      </c>
      <c r="R20" s="312">
        <f>$F20*Q20</f>
        <v>0</v>
      </c>
      <c r="S20" s="16"/>
      <c r="T20" s="87"/>
      <c r="U20" s="305">
        <v>1</v>
      </c>
      <c r="V20" s="312">
        <f t="shared" ref="V20:V25" si="3">$F20*U20</f>
        <v>2.8393630000000001</v>
      </c>
      <c r="W20" s="16"/>
      <c r="X20" s="87"/>
      <c r="Y20" s="305">
        <f t="shared" ref="Y20:Y25" si="4">IF(IF(F20=0,0,ABS(1-I20-M20-Q20-U20))&lt;0.0001,0,IF(F20=0,0,1-I20-M20-Q20-U20))</f>
        <v>0</v>
      </c>
      <c r="Z20" s="312">
        <f t="shared" ref="Z20:Z25" si="5">$F20*Y20</f>
        <v>0</v>
      </c>
    </row>
    <row r="21" spans="1:27">
      <c r="A21" s="7">
        <f t="shared" si="0"/>
        <v>10</v>
      </c>
      <c r="D21" s="299" t="s">
        <v>80</v>
      </c>
      <c r="F21" s="312">
        <f>'B-3 Allocation'!L20</f>
        <v>3.7</v>
      </c>
      <c r="G21" s="16"/>
      <c r="H21" s="87"/>
      <c r="I21" s="305">
        <v>0</v>
      </c>
      <c r="J21" s="312">
        <f t="shared" si="1"/>
        <v>0</v>
      </c>
      <c r="K21" s="16"/>
      <c r="L21" s="87"/>
      <c r="M21" s="305">
        <v>0</v>
      </c>
      <c r="N21" s="312">
        <f t="shared" si="2"/>
        <v>0</v>
      </c>
      <c r="O21" s="16"/>
      <c r="P21" s="87"/>
      <c r="Q21" s="305">
        <v>1</v>
      </c>
      <c r="R21" s="312">
        <f>$F21*Q21</f>
        <v>3.7</v>
      </c>
      <c r="S21" s="16"/>
      <c r="T21" s="87"/>
      <c r="U21" s="305">
        <v>0</v>
      </c>
      <c r="V21" s="312">
        <f t="shared" si="3"/>
        <v>0</v>
      </c>
      <c r="W21" s="16"/>
      <c r="X21" s="87"/>
      <c r="Y21" s="305">
        <f t="shared" si="4"/>
        <v>0</v>
      </c>
      <c r="Z21" s="312">
        <f t="shared" si="5"/>
        <v>0</v>
      </c>
    </row>
    <row r="22" spans="1:27">
      <c r="A22" s="7">
        <f t="shared" si="0"/>
        <v>11</v>
      </c>
      <c r="D22" s="299" t="s">
        <v>188</v>
      </c>
      <c r="F22" s="312">
        <f>'B-3 Allocation'!L21</f>
        <v>38.548216000000004</v>
      </c>
      <c r="G22" s="16"/>
      <c r="H22" s="87"/>
      <c r="I22" s="438">
        <v>0</v>
      </c>
      <c r="J22" s="312">
        <f t="shared" si="1"/>
        <v>0</v>
      </c>
      <c r="K22" s="16"/>
      <c r="L22" s="87"/>
      <c r="M22" s="438">
        <v>0</v>
      </c>
      <c r="N22" s="312">
        <f t="shared" si="2"/>
        <v>0</v>
      </c>
      <c r="O22" s="16"/>
      <c r="P22" s="87"/>
      <c r="Q22" s="438">
        <v>0</v>
      </c>
      <c r="R22" s="312">
        <f>$F22*Q22</f>
        <v>0</v>
      </c>
      <c r="S22" s="16"/>
      <c r="T22" s="87"/>
      <c r="U22" s="438">
        <v>1</v>
      </c>
      <c r="V22" s="312">
        <f t="shared" si="3"/>
        <v>38.548216000000004</v>
      </c>
      <c r="W22" s="16"/>
      <c r="X22" s="87"/>
      <c r="Y22" s="438">
        <f t="shared" si="4"/>
        <v>0</v>
      </c>
      <c r="Z22" s="312">
        <f t="shared" si="5"/>
        <v>0</v>
      </c>
    </row>
    <row r="23" spans="1:27">
      <c r="A23" s="7">
        <f t="shared" si="0"/>
        <v>12</v>
      </c>
      <c r="D23" s="299" t="s">
        <v>82</v>
      </c>
      <c r="F23" s="312">
        <f>'B-3 Allocation'!L22</f>
        <v>2.8571430000000002</v>
      </c>
      <c r="G23" s="16"/>
      <c r="H23" s="87"/>
      <c r="I23" s="305">
        <v>0</v>
      </c>
      <c r="J23" s="312">
        <f t="shared" si="1"/>
        <v>0</v>
      </c>
      <c r="K23" s="16"/>
      <c r="L23" s="87"/>
      <c r="M23" s="305">
        <v>1</v>
      </c>
      <c r="N23" s="312">
        <f t="shared" si="2"/>
        <v>2.8571430000000002</v>
      </c>
      <c r="O23" s="16"/>
      <c r="P23" s="87"/>
      <c r="Q23" s="305">
        <v>0</v>
      </c>
      <c r="R23" s="312">
        <f>$F23*Q23</f>
        <v>0</v>
      </c>
      <c r="S23" s="16"/>
      <c r="T23" s="87"/>
      <c r="U23" s="305">
        <v>0</v>
      </c>
      <c r="V23" s="312">
        <f t="shared" si="3"/>
        <v>0</v>
      </c>
      <c r="W23" s="16"/>
      <c r="X23" s="87"/>
      <c r="Y23" s="305">
        <f t="shared" si="4"/>
        <v>0</v>
      </c>
      <c r="Z23" s="312">
        <f t="shared" si="5"/>
        <v>0</v>
      </c>
    </row>
    <row r="24" spans="1:27">
      <c r="A24" s="532">
        <f t="shared" si="0"/>
        <v>13</v>
      </c>
      <c r="B24" s="533"/>
      <c r="C24" s="533"/>
      <c r="D24" s="530" t="s">
        <v>83</v>
      </c>
      <c r="E24" s="533"/>
      <c r="F24" s="539">
        <f>'B-3 Allocation'!L23</f>
        <v>3.5278740000000002</v>
      </c>
      <c r="G24" s="540"/>
      <c r="H24" s="541"/>
      <c r="I24" s="542">
        <v>0</v>
      </c>
      <c r="J24" s="539">
        <f t="shared" si="1"/>
        <v>0</v>
      </c>
      <c r="K24" s="540"/>
      <c r="L24" s="541"/>
      <c r="M24" s="542">
        <v>1</v>
      </c>
      <c r="N24" s="539">
        <f t="shared" si="2"/>
        <v>3.5278740000000002</v>
      </c>
      <c r="O24" s="540"/>
      <c r="P24" s="541"/>
      <c r="Q24" s="542">
        <v>0</v>
      </c>
      <c r="R24" s="539">
        <v>0</v>
      </c>
      <c r="S24" s="540"/>
      <c r="T24" s="541"/>
      <c r="U24" s="542">
        <v>0</v>
      </c>
      <c r="V24" s="539">
        <f t="shared" si="3"/>
        <v>0</v>
      </c>
      <c r="W24" s="540"/>
      <c r="X24" s="541"/>
      <c r="Y24" s="542">
        <f t="shared" si="4"/>
        <v>0</v>
      </c>
      <c r="Z24" s="539">
        <f t="shared" si="5"/>
        <v>0</v>
      </c>
      <c r="AA24" s="533"/>
    </row>
    <row r="25" spans="1:27">
      <c r="A25" s="7">
        <f t="shared" si="0"/>
        <v>14</v>
      </c>
      <c r="D25" s="299" t="s">
        <v>84</v>
      </c>
      <c r="F25" s="312">
        <f>'B-3 Allocation'!L24</f>
        <v>4</v>
      </c>
      <c r="G25" s="16"/>
      <c r="H25" s="87"/>
      <c r="I25" s="305"/>
      <c r="J25" s="312">
        <f t="shared" si="1"/>
        <v>0</v>
      </c>
      <c r="K25" s="16"/>
      <c r="L25" s="87"/>
      <c r="M25" s="305">
        <f>M13</f>
        <v>0</v>
      </c>
      <c r="N25" s="312">
        <f t="shared" si="2"/>
        <v>0</v>
      </c>
      <c r="O25" s="16"/>
      <c r="P25" s="87"/>
      <c r="Q25" s="305"/>
      <c r="R25" s="312">
        <f>$F25*Q25</f>
        <v>0</v>
      </c>
      <c r="S25" s="16"/>
      <c r="T25" s="87"/>
      <c r="U25" s="305">
        <v>1</v>
      </c>
      <c r="V25" s="312">
        <f t="shared" si="3"/>
        <v>4</v>
      </c>
      <c r="W25" s="16"/>
      <c r="X25" s="87"/>
      <c r="Y25" s="305">
        <f t="shared" si="4"/>
        <v>0</v>
      </c>
      <c r="Z25" s="312">
        <f t="shared" si="5"/>
        <v>0</v>
      </c>
    </row>
    <row r="26" spans="1:27">
      <c r="A26" s="7">
        <f t="shared" si="0"/>
        <v>15</v>
      </c>
      <c r="D26" s="299" t="s">
        <v>85</v>
      </c>
      <c r="F26" s="312">
        <f>'B-3 Allocation'!L25</f>
        <v>0</v>
      </c>
      <c r="G26" s="16"/>
      <c r="H26" s="87"/>
      <c r="I26" s="305">
        <f>I13</f>
        <v>0.93446310349533057</v>
      </c>
      <c r="J26" s="312">
        <f>I26*F26</f>
        <v>0</v>
      </c>
      <c r="K26" s="16"/>
      <c r="L26" s="87"/>
      <c r="M26" s="305"/>
      <c r="N26" s="312">
        <f>M26*F26</f>
        <v>0</v>
      </c>
      <c r="O26" s="16"/>
      <c r="P26" s="87"/>
      <c r="Q26" s="305">
        <f>Q13</f>
        <v>6.5536896504669442E-2</v>
      </c>
      <c r="R26" s="312">
        <f>Q26*F26</f>
        <v>0</v>
      </c>
      <c r="S26" s="16"/>
      <c r="T26" s="87"/>
      <c r="U26" s="305">
        <v>0</v>
      </c>
      <c r="V26" s="312">
        <f>U26*F26</f>
        <v>0</v>
      </c>
      <c r="W26" s="16"/>
      <c r="X26" s="87"/>
      <c r="Y26" s="305">
        <v>0</v>
      </c>
      <c r="Z26" s="312">
        <f>Y26*F26</f>
        <v>0</v>
      </c>
    </row>
    <row r="27" spans="1:27">
      <c r="A27" s="7">
        <f t="shared" si="0"/>
        <v>16</v>
      </c>
      <c r="D27" s="299" t="s">
        <v>189</v>
      </c>
      <c r="F27" s="312">
        <f>'B-3 Allocation'!L26</f>
        <v>0</v>
      </c>
      <c r="G27" s="16"/>
      <c r="H27" s="87"/>
      <c r="I27" s="305"/>
      <c r="J27" s="312"/>
      <c r="K27" s="16"/>
      <c r="L27" s="87"/>
      <c r="M27" s="305"/>
      <c r="N27" s="312"/>
      <c r="O27" s="16"/>
      <c r="P27" s="87"/>
      <c r="Q27" s="305"/>
      <c r="R27" s="312"/>
      <c r="S27" s="16"/>
      <c r="T27" s="87"/>
      <c r="U27" s="305"/>
      <c r="V27" s="312">
        <f>U27*F27</f>
        <v>0</v>
      </c>
      <c r="W27" s="16"/>
      <c r="X27" s="87"/>
      <c r="Y27" s="305"/>
      <c r="Z27" s="312"/>
    </row>
    <row r="28" spans="1:27" s="9" customFormat="1" ht="18.95" customHeight="1">
      <c r="A28" s="7">
        <f t="shared" si="0"/>
        <v>17</v>
      </c>
      <c r="C28" s="12" t="s">
        <v>245</v>
      </c>
      <c r="D28" s="12"/>
      <c r="E28" s="12"/>
      <c r="F28" s="560">
        <f>SUM(F18:F27)</f>
        <v>363.86447999999996</v>
      </c>
      <c r="G28" s="17"/>
      <c r="H28" s="88"/>
      <c r="I28" s="572">
        <f>J28/$F28</f>
        <v>0</v>
      </c>
      <c r="J28" s="562">
        <f>SUM(J18:J26)</f>
        <v>0</v>
      </c>
      <c r="K28" s="17"/>
      <c r="L28" s="88"/>
      <c r="M28" s="572">
        <f>N28/$F28</f>
        <v>1.754778867121078E-2</v>
      </c>
      <c r="N28" s="562">
        <f>SUM(N18:N27)</f>
        <v>6.3850170000000004</v>
      </c>
      <c r="O28" s="17"/>
      <c r="P28" s="88"/>
      <c r="Q28" s="572">
        <f>R28/$F28</f>
        <v>1.0168621020661321E-2</v>
      </c>
      <c r="R28" s="562">
        <f>SUM(R18:R27)</f>
        <v>3.7</v>
      </c>
      <c r="S28" s="17"/>
      <c r="T28" s="88"/>
      <c r="U28" s="572">
        <f>V28/$F28</f>
        <v>0.97228359030812794</v>
      </c>
      <c r="V28" s="562">
        <f>SUM(V18:V27)</f>
        <v>353.77946299999996</v>
      </c>
      <c r="W28" s="17"/>
      <c r="X28" s="88"/>
      <c r="Y28" s="572">
        <f>Z28/$F28</f>
        <v>0</v>
      </c>
      <c r="Z28" s="562">
        <f>SUM(Z18:Z25)</f>
        <v>0</v>
      </c>
    </row>
    <row r="29" spans="1:27" s="10" customFormat="1" ht="25.5" customHeight="1">
      <c r="A29" s="341">
        <f t="shared" si="0"/>
        <v>18</v>
      </c>
      <c r="C29" s="11" t="s">
        <v>191</v>
      </c>
      <c r="D29" s="11"/>
      <c r="E29" s="11"/>
      <c r="F29" s="64">
        <f>'B-3 Allocation'!L28</f>
        <v>0</v>
      </c>
      <c r="G29" s="15"/>
      <c r="H29" s="86"/>
      <c r="I29" s="69">
        <v>0</v>
      </c>
      <c r="J29" s="65">
        <f>$F29*I29</f>
        <v>0</v>
      </c>
      <c r="K29" s="15"/>
      <c r="L29" s="86"/>
      <c r="M29" s="69">
        <v>0</v>
      </c>
      <c r="N29" s="65">
        <f>$F29*M29</f>
        <v>0</v>
      </c>
      <c r="O29" s="15"/>
      <c r="P29" s="86"/>
      <c r="Q29" s="69">
        <v>0</v>
      </c>
      <c r="R29" s="65">
        <f>$F29*Q29</f>
        <v>0</v>
      </c>
      <c r="S29" s="15"/>
      <c r="T29" s="86"/>
      <c r="U29" s="69">
        <v>0</v>
      </c>
      <c r="V29" s="65">
        <f>$F29*U29</f>
        <v>0</v>
      </c>
      <c r="W29" s="15"/>
      <c r="X29" s="86"/>
      <c r="Y29" s="69">
        <f>IF(IF(F29=0,0,ABS(1-I29-M29-Q29-U29))&lt;0.0001,0,IF(F29=0,0,1-I29-M29-Q29-U29))</f>
        <v>0</v>
      </c>
      <c r="Z29" s="65">
        <f>$F29*Y29</f>
        <v>0</v>
      </c>
    </row>
    <row r="30" spans="1:27" s="10" customFormat="1" ht="25.5" customHeight="1">
      <c r="A30" s="341">
        <f t="shared" si="0"/>
        <v>19</v>
      </c>
      <c r="C30" s="11" t="s">
        <v>192</v>
      </c>
      <c r="D30" s="11"/>
      <c r="E30" s="11"/>
      <c r="F30" s="14">
        <f>'B-3 Allocation'!L29</f>
        <v>15.337527000000001</v>
      </c>
      <c r="G30" s="15"/>
      <c r="H30" s="86"/>
      <c r="I30" s="69">
        <f>I16</f>
        <v>0.48304880812795159</v>
      </c>
      <c r="J30" s="22">
        <f>$F30*I30</f>
        <v>7.408774136980278</v>
      </c>
      <c r="K30" s="15"/>
      <c r="L30" s="86"/>
      <c r="M30" s="69">
        <f>M16</f>
        <v>0.41969203902528118</v>
      </c>
      <c r="N30" s="423">
        <f>$F30*M30</f>
        <v>6.4370379802353046</v>
      </c>
      <c r="O30" s="15"/>
      <c r="P30" s="86"/>
      <c r="Q30" s="69">
        <f>Q16</f>
        <v>5.9583933530492114E-2</v>
      </c>
      <c r="R30" s="22">
        <f>$F30*Q30</f>
        <v>0.9138701892901282</v>
      </c>
      <c r="S30" s="15"/>
      <c r="T30" s="86"/>
      <c r="U30" s="69">
        <f>U16</f>
        <v>0</v>
      </c>
      <c r="V30" s="22">
        <f>$F30*U30</f>
        <v>0</v>
      </c>
      <c r="W30" s="15"/>
      <c r="X30" s="86"/>
      <c r="Y30" s="69">
        <f>IF(IF(F30=0,0,ABS(1-I30-M30-Q30-U30))&lt;0.0001,0,IF(F30=0,0,1-I30-M30-Q30-U30))</f>
        <v>3.7675219316275113E-2</v>
      </c>
      <c r="Z30" s="22">
        <f>$F30*Y30</f>
        <v>0.57784469349429113</v>
      </c>
    </row>
    <row r="31" spans="1:27" s="10" customFormat="1" ht="25.5" customHeight="1">
      <c r="A31" s="341">
        <f t="shared" si="0"/>
        <v>20</v>
      </c>
      <c r="C31" s="11" t="s">
        <v>193</v>
      </c>
      <c r="D31" s="11"/>
      <c r="E31" s="11"/>
      <c r="F31" s="14">
        <f>'B-3 Allocation'!L30</f>
        <v>116.09327595544744</v>
      </c>
      <c r="G31" s="15"/>
      <c r="H31" s="86"/>
      <c r="I31" s="69">
        <f>I16</f>
        <v>0.48304880812795159</v>
      </c>
      <c r="J31" s="22">
        <f>$F31*I31</f>
        <v>56.078718581948266</v>
      </c>
      <c r="K31" s="15"/>
      <c r="L31" s="86"/>
      <c r="M31" s="69">
        <f>M16</f>
        <v>0.41969203902528118</v>
      </c>
      <c r="N31" s="22">
        <f>$F31*M31</f>
        <v>48.723423702866384</v>
      </c>
      <c r="O31" s="15"/>
      <c r="P31" s="86"/>
      <c r="Q31" s="69">
        <f>Q16</f>
        <v>5.9583933530492114E-2</v>
      </c>
      <c r="R31" s="22">
        <f>$F31*Q31</f>
        <v>6.9172940378664585</v>
      </c>
      <c r="S31" s="15"/>
      <c r="T31" s="86"/>
      <c r="U31" s="69">
        <f>U16</f>
        <v>0</v>
      </c>
      <c r="V31" s="22">
        <f>$F31*U31</f>
        <v>0</v>
      </c>
      <c r="W31" s="15"/>
      <c r="X31" s="86"/>
      <c r="Y31" s="69">
        <f>IF(IF(F31=0,0,ABS(1-I31-M31-Q31-U31))&lt;0.0001,0,IF(F31=0,0,1-I31-M31-Q31-U31))</f>
        <v>3.7675219316275113E-2</v>
      </c>
      <c r="Z31" s="22">
        <f>$F31*Y31</f>
        <v>4.3738396327663303</v>
      </c>
    </row>
    <row r="32" spans="1:27" ht="18.95" customHeight="1">
      <c r="A32" s="7">
        <f t="shared" si="0"/>
        <v>21</v>
      </c>
      <c r="C32" s="2" t="s">
        <v>194</v>
      </c>
      <c r="D32" s="2"/>
      <c r="E32" s="2"/>
      <c r="F32" s="327">
        <f>SUM(F16,F28:F31)</f>
        <v>2439.4014607323902</v>
      </c>
      <c r="G32" s="21"/>
      <c r="H32" s="89"/>
      <c r="I32" s="573">
        <f>J32/$F32</f>
        <v>0.41099658293524932</v>
      </c>
      <c r="J32" s="364">
        <f>SUM(J16,J28:J31)</f>
        <v>1002.5856647682682</v>
      </c>
      <c r="K32" s="21"/>
      <c r="L32" s="89"/>
      <c r="M32" s="573">
        <f>N32/$F32</f>
        <v>0.35970764904457592</v>
      </c>
      <c r="N32" s="364">
        <f>SUM(N16,N28:N31)</f>
        <v>877.47136451595247</v>
      </c>
      <c r="O32" s="21"/>
      <c r="P32" s="89"/>
      <c r="Q32" s="573">
        <f>R32/$F32</f>
        <v>5.2213077490654888E-2</v>
      </c>
      <c r="R32" s="364">
        <f>SUM(R16,R28:R31)</f>
        <v>127.36865750003702</v>
      </c>
      <c r="S32" s="21"/>
      <c r="T32" s="89"/>
      <c r="U32" s="573">
        <f>V32/$F32</f>
        <v>0.14502715879074021</v>
      </c>
      <c r="V32" s="364">
        <f>SUM(V16,V28:V31)</f>
        <v>353.77946299999996</v>
      </c>
      <c r="W32" s="21"/>
      <c r="X32" s="89"/>
      <c r="Y32" s="573">
        <f>Z32/$F32</f>
        <v>3.2055531738779501E-2</v>
      </c>
      <c r="Z32" s="364">
        <f>SUM(Z16,Z28:Z31)</f>
        <v>78.196310948132208</v>
      </c>
    </row>
    <row r="33" spans="1:26" s="10" customFormat="1">
      <c r="A33" s="7">
        <f t="shared" si="0"/>
        <v>22</v>
      </c>
      <c r="C33" s="10" t="s">
        <v>207</v>
      </c>
      <c r="F33" s="318">
        <f>'B-3 Allocation'!L32</f>
        <v>22.699656447925495</v>
      </c>
      <c r="G33" s="319"/>
      <c r="H33" s="320"/>
      <c r="I33" s="321">
        <f>I16</f>
        <v>0.48304880812795159</v>
      </c>
      <c r="J33" s="312">
        <f>$F33*I33</f>
        <v>10.965041992084382</v>
      </c>
      <c r="K33" s="319"/>
      <c r="L33" s="320"/>
      <c r="M33" s="321">
        <f>M16</f>
        <v>0.41969203902528118</v>
      </c>
      <c r="N33" s="312">
        <f>$F33*M33</f>
        <v>9.5268650998032225</v>
      </c>
      <c r="O33" s="319"/>
      <c r="P33" s="87"/>
      <c r="Q33" s="305">
        <f>Q16</f>
        <v>5.9583933530492114E-2</v>
      </c>
      <c r="R33" s="312">
        <f>$F33*Q33</f>
        <v>1.3525348209581993</v>
      </c>
      <c r="S33" s="16"/>
      <c r="T33" s="87"/>
      <c r="U33" s="305">
        <f>U16</f>
        <v>0</v>
      </c>
      <c r="V33" s="312">
        <f>$F33*U33</f>
        <v>0</v>
      </c>
      <c r="W33" s="16"/>
      <c r="X33" s="87"/>
      <c r="Y33" s="305">
        <f>IF(IF(F33=0,0,ABS(1-I33-M33-Q33-U33))&lt;0.0001,0,IF(F33=0,0,1-I33-M33-Q33-U33))</f>
        <v>3.7675219316275113E-2</v>
      </c>
      <c r="Z33" s="317">
        <f>$F33*Y33</f>
        <v>0.85521453507969158</v>
      </c>
    </row>
    <row r="34" spans="1:26" s="9" customFormat="1" ht="12.75" customHeight="1">
      <c r="A34" s="7">
        <f t="shared" si="0"/>
        <v>23</v>
      </c>
      <c r="C34" s="12" t="s">
        <v>246</v>
      </c>
      <c r="D34" s="12"/>
      <c r="E34" s="12"/>
      <c r="F34" s="564">
        <f>SUM(F32:F33)</f>
        <v>2462.1011171803157</v>
      </c>
      <c r="G34" s="17"/>
      <c r="H34" s="88"/>
      <c r="I34" s="574">
        <f>J34/$F34</f>
        <v>0.41166087764953629</v>
      </c>
      <c r="J34" s="575">
        <f>SUM(J32:J33)</f>
        <v>1013.5507067603526</v>
      </c>
      <c r="K34" s="17"/>
      <c r="L34" s="88"/>
      <c r="M34" s="574">
        <f>N34/$F34</f>
        <v>0.36026068280720214</v>
      </c>
      <c r="N34" s="575">
        <f>SUM(N32:N33)</f>
        <v>886.99822961575569</v>
      </c>
      <c r="O34" s="17"/>
      <c r="P34" s="88"/>
      <c r="Q34" s="574">
        <f>R34/$F34</f>
        <v>5.2281034041530845E-2</v>
      </c>
      <c r="R34" s="575">
        <f>SUM(R32:R33)</f>
        <v>128.72119232099521</v>
      </c>
      <c r="S34" s="17"/>
      <c r="T34" s="88"/>
      <c r="U34" s="574">
        <f>V34/$F34</f>
        <v>0.14369006233389819</v>
      </c>
      <c r="V34" s="575">
        <f>SUM(V32:V33)</f>
        <v>353.77946299999996</v>
      </c>
      <c r="W34" s="17"/>
      <c r="X34" s="88"/>
      <c r="Y34" s="574">
        <f>Z34/$F34</f>
        <v>3.210734316783239E-2</v>
      </c>
      <c r="Z34" s="575">
        <f>SUM(Z32:Z33)</f>
        <v>79.051525483211904</v>
      </c>
    </row>
    <row r="36" spans="1:26">
      <c r="A36" t="s">
        <v>197</v>
      </c>
      <c r="C36" t="s">
        <v>247</v>
      </c>
    </row>
    <row r="37" spans="1:26">
      <c r="C37" t="s">
        <v>199</v>
      </c>
    </row>
  </sheetData>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2.75"/>
  <cols>
    <col min="1" max="1" width="4.83203125" style="3" customWidth="1"/>
    <col min="2" max="2" width="1.83203125" style="3" customWidth="1"/>
    <col min="3" max="3" width="2.83203125" style="3" customWidth="1"/>
    <col min="4" max="4" width="30.83203125" style="3" customWidth="1"/>
    <col min="5" max="5" width="1.83203125" style="3" customWidth="1"/>
    <col min="6" max="6" width="12.83203125" style="3" customWidth="1"/>
    <col min="7" max="8" width="1.83203125" style="3" customWidth="1"/>
    <col min="9" max="9" width="10.83203125" style="3" customWidth="1"/>
    <col min="10" max="11" width="1.83203125" style="3" customWidth="1"/>
    <col min="12" max="12" width="11.83203125" style="3" customWidth="1"/>
    <col min="13" max="13" width="1.83203125" style="3" customWidth="1"/>
    <col min="14" max="14" width="11.83203125" style="3" customWidth="1"/>
    <col min="15" max="15" width="5.1640625" style="3" customWidth="1"/>
    <col min="16" max="16" width="11.83203125" style="3" customWidth="1"/>
    <col min="17" max="17" width="1.83203125" style="3" customWidth="1"/>
    <col min="18" max="18" width="11.83203125" style="3" customWidth="1"/>
    <col min="19" max="20" width="1.83203125" style="3" customWidth="1"/>
    <col min="21" max="21" width="10.83203125" style="3" customWidth="1"/>
    <col min="22" max="16384" width="9" style="3"/>
  </cols>
  <sheetData>
    <row r="1" spans="1:22" s="134" customFormat="1">
      <c r="A1" s="5" t="str">
        <f>Applicant</f>
        <v>Alberta Electric System Operator</v>
      </c>
      <c r="B1" s="5"/>
      <c r="C1" s="5"/>
      <c r="D1" s="5"/>
      <c r="E1" s="5"/>
      <c r="F1" s="5"/>
      <c r="G1" s="5"/>
      <c r="H1" s="5"/>
      <c r="I1" s="5"/>
      <c r="J1" s="5"/>
      <c r="K1" s="5"/>
      <c r="L1" s="5"/>
      <c r="M1" s="5"/>
      <c r="N1" s="5"/>
      <c r="O1" s="5"/>
      <c r="P1" s="164"/>
      <c r="Q1" s="5"/>
      <c r="R1" s="4"/>
      <c r="S1" s="3"/>
      <c r="T1" s="3"/>
      <c r="U1" s="4" t="str">
        <f ca="1">TablePrefix&amp;TRIM(MID(CELL("filename",W2),FIND("]",CELL("filename",W2))+1,4))&amp;TableSuffix</f>
        <v>Table B-6</v>
      </c>
    </row>
    <row r="2" spans="1:22" s="134" customFormat="1">
      <c r="A2" s="5" t="str">
        <f>Application</f>
        <v>2024 ISO Tariff Update Application</v>
      </c>
      <c r="B2" s="5"/>
      <c r="C2" s="5"/>
      <c r="D2" s="5"/>
      <c r="E2" s="5"/>
      <c r="F2" s="5"/>
      <c r="G2" s="5"/>
      <c r="H2" s="5"/>
      <c r="I2" s="5"/>
      <c r="J2" s="5"/>
      <c r="K2" s="5"/>
      <c r="L2" s="5"/>
      <c r="M2" s="5"/>
      <c r="N2" s="5"/>
      <c r="O2" s="5"/>
      <c r="P2" s="164"/>
      <c r="Q2" s="5"/>
      <c r="R2" s="4"/>
      <c r="S2" s="3"/>
      <c r="T2" s="3"/>
      <c r="U2" s="4" t="str">
        <f>TableDate</f>
        <v>November 16, 2023</v>
      </c>
    </row>
    <row r="3" spans="1:22" s="134" customFormat="1">
      <c r="P3" s="164"/>
      <c r="R3" s="4"/>
    </row>
    <row r="4" spans="1:22" s="134" customFormat="1">
      <c r="A4" s="254" t="str">
        <f>TableGroup1</f>
        <v>Appendix B — 2024 Rate Calculations</v>
      </c>
      <c r="B4" s="6"/>
      <c r="C4" s="6"/>
      <c r="D4" s="6"/>
      <c r="E4" s="6"/>
      <c r="F4" s="6"/>
      <c r="G4" s="6"/>
      <c r="H4" s="6"/>
      <c r="I4" s="6"/>
      <c r="J4" s="6"/>
      <c r="K4" s="6"/>
      <c r="L4" s="6"/>
      <c r="M4" s="6"/>
      <c r="N4" s="6"/>
      <c r="O4" s="6"/>
      <c r="P4" s="6"/>
      <c r="Q4" s="6"/>
      <c r="R4" s="6"/>
      <c r="S4" s="6"/>
      <c r="T4" s="6"/>
      <c r="U4" s="6"/>
    </row>
    <row r="5" spans="1:22" s="134" customFormat="1">
      <c r="A5" s="6" t="s">
        <v>13</v>
      </c>
      <c r="B5" s="6"/>
      <c r="C5" s="6"/>
      <c r="D5" s="6"/>
      <c r="E5" s="6"/>
      <c r="F5" s="6"/>
      <c r="G5" s="6"/>
      <c r="H5" s="6"/>
      <c r="I5" s="6"/>
      <c r="J5" s="6"/>
      <c r="K5" s="6"/>
      <c r="L5" s="6"/>
      <c r="M5" s="6"/>
      <c r="N5" s="6"/>
      <c r="O5" s="6"/>
      <c r="P5" s="6"/>
      <c r="Q5" s="6"/>
      <c r="R5" s="6"/>
      <c r="S5" s="6"/>
      <c r="T5" s="6"/>
      <c r="U5" s="6"/>
    </row>
    <row r="6" spans="1:22">
      <c r="I6" s="133"/>
    </row>
    <row r="7" spans="1:22" s="195" customFormat="1">
      <c r="I7" s="195" t="s">
        <v>35</v>
      </c>
      <c r="L7" s="195" t="s">
        <v>36</v>
      </c>
      <c r="N7" s="195" t="s">
        <v>37</v>
      </c>
      <c r="P7" s="195" t="s">
        <v>38</v>
      </c>
      <c r="R7" s="195" t="s">
        <v>119</v>
      </c>
      <c r="U7" s="195" t="s">
        <v>120</v>
      </c>
    </row>
    <row r="8" spans="1:22">
      <c r="A8" s="3" t="s">
        <v>248</v>
      </c>
    </row>
    <row r="9" spans="1:22" s="36" customFormat="1">
      <c r="A9" s="35" t="s">
        <v>41</v>
      </c>
      <c r="C9" s="37" t="s">
        <v>42</v>
      </c>
      <c r="D9" s="37"/>
      <c r="F9" s="35" t="s">
        <v>249</v>
      </c>
      <c r="H9" s="78"/>
      <c r="I9" s="37" t="s">
        <v>242</v>
      </c>
      <c r="J9" s="165"/>
      <c r="K9" s="166"/>
      <c r="L9" s="37" t="s">
        <v>250</v>
      </c>
      <c r="M9" s="37"/>
      <c r="N9" s="37"/>
      <c r="O9" s="37"/>
      <c r="P9" s="37"/>
      <c r="Q9" s="37"/>
      <c r="R9" s="37"/>
      <c r="T9" s="78"/>
      <c r="U9" s="37" t="s">
        <v>251</v>
      </c>
    </row>
    <row r="10" spans="1:22" s="19" customFormat="1" ht="25.5" customHeight="1">
      <c r="A10" s="18">
        <v>1</v>
      </c>
      <c r="C10" s="629" t="s">
        <v>252</v>
      </c>
      <c r="D10" s="629"/>
      <c r="F10" s="289" t="s">
        <v>253</v>
      </c>
      <c r="G10" s="190"/>
      <c r="H10" s="96"/>
      <c r="I10" s="628" t="s">
        <v>254</v>
      </c>
      <c r="J10" s="628"/>
      <c r="K10" s="628"/>
      <c r="L10" s="441">
        <v>2.9582999999999999</v>
      </c>
      <c r="M10" s="10" t="s">
        <v>255</v>
      </c>
      <c r="N10" s="10" t="s">
        <v>256</v>
      </c>
      <c r="O10" s="343">
        <v>0.52349999999999997</v>
      </c>
      <c r="P10" s="343"/>
      <c r="S10" s="190"/>
      <c r="T10" s="96"/>
      <c r="V10" s="10"/>
    </row>
    <row r="11" spans="1:22" ht="19.350000000000001" customHeight="1">
      <c r="A11" s="145">
        <v>2</v>
      </c>
      <c r="C11" s="3" t="s">
        <v>257</v>
      </c>
      <c r="F11" s="135" t="s">
        <v>258</v>
      </c>
      <c r="G11" s="191"/>
      <c r="H11" s="175"/>
      <c r="I11" s="185">
        <v>1.5</v>
      </c>
      <c r="L11" s="185">
        <v>7.5</v>
      </c>
      <c r="N11" s="186">
        <v>17</v>
      </c>
      <c r="P11" s="186">
        <v>40</v>
      </c>
      <c r="R11" s="185">
        <v>122.8</v>
      </c>
      <c r="S11" s="191"/>
      <c r="T11" s="175"/>
      <c r="V11"/>
    </row>
    <row r="12" spans="1:22" s="24" customFormat="1" ht="19.350000000000001" customHeight="1">
      <c r="A12" s="23">
        <v>3</v>
      </c>
      <c r="C12" s="24" t="s">
        <v>259</v>
      </c>
      <c r="F12" s="196" t="s">
        <v>260</v>
      </c>
      <c r="G12" s="192"/>
      <c r="H12" s="178"/>
      <c r="I12" s="194">
        <f>$L$10*(I11^$O$10)</f>
        <v>3.6578508047460767</v>
      </c>
      <c r="J12" s="194">
        <f t="shared" ref="J12:R12" si="0">$L$10*(J11^$O$10)</f>
        <v>0</v>
      </c>
      <c r="K12" s="194">
        <f t="shared" si="0"/>
        <v>0</v>
      </c>
      <c r="L12" s="194">
        <f>$L$10*(L11^$O$10)</f>
        <v>8.494479740966991</v>
      </c>
      <c r="M12" s="194">
        <f t="shared" si="0"/>
        <v>0</v>
      </c>
      <c r="N12" s="194">
        <f t="shared" si="0"/>
        <v>13.037136836510088</v>
      </c>
      <c r="O12" s="194"/>
      <c r="P12" s="194">
        <f t="shared" si="0"/>
        <v>20.404249199495844</v>
      </c>
      <c r="Q12" s="194">
        <f t="shared" si="0"/>
        <v>0</v>
      </c>
      <c r="R12" s="194">
        <f t="shared" si="0"/>
        <v>36.706042113322781</v>
      </c>
      <c r="S12" s="192"/>
      <c r="T12" s="178"/>
    </row>
    <row r="13" spans="1:22" s="36" customFormat="1" ht="19.350000000000001" customHeight="1">
      <c r="E13"/>
      <c r="F13"/>
      <c r="G13" s="193"/>
      <c r="H13" s="78"/>
      <c r="J13" s="165"/>
      <c r="K13" s="166"/>
      <c r="L13" s="34" t="s">
        <v>250</v>
      </c>
      <c r="M13" s="34"/>
      <c r="N13" s="34"/>
      <c r="O13" s="34"/>
      <c r="P13" s="34"/>
      <c r="Q13" s="34"/>
      <c r="R13" s="34"/>
      <c r="S13" s="193"/>
      <c r="T13" s="78"/>
    </row>
    <row r="14" spans="1:22" s="36" customFormat="1">
      <c r="A14" s="145"/>
      <c r="B14"/>
      <c r="C14" s="2"/>
      <c r="D14"/>
      <c r="E14"/>
      <c r="F14"/>
      <c r="H14" s="78"/>
      <c r="I14" s="73" t="s">
        <v>242</v>
      </c>
      <c r="J14" s="165"/>
      <c r="K14" s="78"/>
      <c r="N14" s="36" t="s">
        <v>261</v>
      </c>
      <c r="P14" s="36" t="s">
        <v>262</v>
      </c>
      <c r="T14" s="78"/>
    </row>
    <row r="15" spans="1:22">
      <c r="A15" s="145"/>
      <c r="B15"/>
      <c r="C15" s="2" t="s">
        <v>263</v>
      </c>
      <c r="D15"/>
      <c r="E15" s="150"/>
      <c r="F15" s="58"/>
      <c r="G15" s="150"/>
      <c r="H15" s="151"/>
      <c r="I15" s="187" t="s">
        <v>264</v>
      </c>
      <c r="J15" s="168"/>
      <c r="K15" s="167"/>
      <c r="L15" s="188" t="s">
        <v>265</v>
      </c>
      <c r="M15" s="189"/>
      <c r="N15" s="188" t="s">
        <v>266</v>
      </c>
      <c r="O15" s="189"/>
      <c r="P15" s="188" t="s">
        <v>267</v>
      </c>
      <c r="Q15" s="189"/>
      <c r="R15" s="139" t="s">
        <v>268</v>
      </c>
      <c r="S15" s="150"/>
      <c r="T15" s="151"/>
      <c r="U15" s="34" t="s">
        <v>251</v>
      </c>
    </row>
    <row r="16" spans="1:22">
      <c r="A16" s="145">
        <f>A12+1</f>
        <v>4</v>
      </c>
      <c r="C16" s="3" t="s">
        <v>269</v>
      </c>
      <c r="E16" s="150"/>
      <c r="F16" s="195" t="s">
        <v>270</v>
      </c>
      <c r="G16" s="150"/>
      <c r="H16" s="172"/>
      <c r="I16" s="169">
        <f>ROUND(L12-(L11*((L12-I12)/(L11-I11))),3)</f>
        <v>2.4489999999999998</v>
      </c>
      <c r="J16" s="20"/>
      <c r="K16" s="90"/>
      <c r="L16" s="169">
        <f>ROUND((L12-I12)/(L11-I11),3)</f>
        <v>0.80600000000000005</v>
      </c>
      <c r="M16" s="20"/>
      <c r="N16" s="169">
        <f>ROUND((N12-L12)/(N11-L11),3)</f>
        <v>0.47799999999999998</v>
      </c>
      <c r="O16" s="20"/>
      <c r="P16" s="169">
        <f>ROUND((P12-N12)/(P11-N11),3)</f>
        <v>0.32</v>
      </c>
      <c r="Q16" s="156"/>
      <c r="R16" s="169">
        <f>ROUND((R12-P12)/(R11-P11),3)</f>
        <v>0.19700000000000001</v>
      </c>
      <c r="S16" s="150"/>
      <c r="T16" s="172"/>
      <c r="U16" s="173"/>
    </row>
    <row r="17" spans="1:21">
      <c r="A17" s="145">
        <f>A16+1</f>
        <v>5</v>
      </c>
      <c r="C17" s="19" t="s">
        <v>271</v>
      </c>
      <c r="E17" s="19"/>
      <c r="F17" s="330" t="s">
        <v>272</v>
      </c>
      <c r="G17" s="150"/>
      <c r="H17" s="172"/>
      <c r="I17" s="106">
        <f>'B-12 Determinants'!F19</f>
        <v>5399.2447429544081</v>
      </c>
      <c r="J17" s="20"/>
      <c r="K17" s="90"/>
      <c r="L17" s="106">
        <f>'B-12 Determinants'!F13</f>
        <v>37012.580966429217</v>
      </c>
      <c r="M17" s="20"/>
      <c r="N17" s="157">
        <f>'B-12 Determinants'!F14</f>
        <v>35260.890947382941</v>
      </c>
      <c r="O17" s="20"/>
      <c r="P17" s="157">
        <f>'B-12 Determinants'!F15</f>
        <v>45248.475050063505</v>
      </c>
      <c r="Q17" s="156"/>
      <c r="R17" s="157">
        <f>'B-12 Determinants'!F16</f>
        <v>45032.22629943322</v>
      </c>
      <c r="S17" s="150"/>
      <c r="T17" s="172"/>
      <c r="U17" s="156"/>
    </row>
    <row r="18" spans="1:21">
      <c r="A18" s="145">
        <f>A17+1</f>
        <v>6</v>
      </c>
      <c r="C18" s="19" t="s">
        <v>273</v>
      </c>
      <c r="E18" s="19"/>
      <c r="F18" s="330" t="s">
        <v>274</v>
      </c>
      <c r="G18" s="150"/>
      <c r="H18" s="172"/>
      <c r="I18" s="170">
        <f>I16*I17</f>
        <v>13222.750375495345</v>
      </c>
      <c r="J18" s="20"/>
      <c r="K18" s="90"/>
      <c r="L18" s="170">
        <f>L16*L17</f>
        <v>29832.140258941952</v>
      </c>
      <c r="M18" s="20"/>
      <c r="N18" s="170">
        <f>N16*N17</f>
        <v>16854.705872849045</v>
      </c>
      <c r="O18" s="20"/>
      <c r="P18" s="170">
        <f>P16*P17</f>
        <v>14479.512016020322</v>
      </c>
      <c r="Q18" s="156"/>
      <c r="R18" s="170">
        <f>R16*R17</f>
        <v>8871.3485809883441</v>
      </c>
      <c r="S18" s="150"/>
      <c r="T18" s="172"/>
      <c r="U18" s="170">
        <f>SUM(I18,L18,N18,P18,R18)</f>
        <v>83260.457104295012</v>
      </c>
    </row>
    <row r="19" spans="1:21" s="24" customFormat="1">
      <c r="A19" s="23">
        <f>A18+1</f>
        <v>7</v>
      </c>
      <c r="C19" s="24" t="s">
        <v>275</v>
      </c>
      <c r="E19" s="114"/>
      <c r="F19" s="326" t="s">
        <v>276</v>
      </c>
      <c r="G19" s="17"/>
      <c r="H19" s="88"/>
      <c r="I19" s="171">
        <f>I18/$U$18</f>
        <v>0.15881188784409456</v>
      </c>
      <c r="J19" s="171"/>
      <c r="K19" s="171"/>
      <c r="L19" s="171">
        <f t="shared" ref="L19:R19" si="1">L18/$U$18</f>
        <v>0.35829902088542648</v>
      </c>
      <c r="M19" s="171"/>
      <c r="N19" s="171">
        <f>N18/$U$18</f>
        <v>0.20243350155688239</v>
      </c>
      <c r="O19" s="171"/>
      <c r="P19" s="171">
        <f t="shared" si="1"/>
        <v>0.17390622775326312</v>
      </c>
      <c r="Q19" s="171"/>
      <c r="R19" s="171">
        <f t="shared" si="1"/>
        <v>0.10654936196033343</v>
      </c>
      <c r="S19" s="17"/>
      <c r="T19" s="88"/>
      <c r="U19" s="171">
        <f>SUM(I19:R19)</f>
        <v>1</v>
      </c>
    </row>
    <row r="21" spans="1:21">
      <c r="A21" s="3" t="s">
        <v>197</v>
      </c>
      <c r="C21" s="133" t="s">
        <v>277</v>
      </c>
      <c r="D21" t="s">
        <v>278</v>
      </c>
    </row>
    <row r="22" spans="1:21">
      <c r="C22" s="71"/>
      <c r="D22" t="s">
        <v>279</v>
      </c>
    </row>
    <row r="23" spans="1:21">
      <c r="C23" s="71" t="s">
        <v>280</v>
      </c>
      <c r="D23" t="s">
        <v>281</v>
      </c>
    </row>
    <row r="24" spans="1:21">
      <c r="C24" s="71" t="s">
        <v>282</v>
      </c>
      <c r="D24" t="s">
        <v>283</v>
      </c>
    </row>
    <row r="25" spans="1:21">
      <c r="D25" s="3" t="s">
        <v>284</v>
      </c>
    </row>
  </sheetData>
  <mergeCells count="2">
    <mergeCell ref="I10:K10"/>
    <mergeCell ref="C10:D10"/>
  </mergeCells>
  <phoneticPr fontId="14" type="noConversion"/>
  <printOptions horizontalCentered="1"/>
  <pageMargins left="0.75" right="0.5" top="0.75" bottom="0.5" header="0.5" footer="0.5"/>
  <pageSetup scale="80"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4"/>
  <sheetViews>
    <sheetView showGridLines="0" topLeftCell="A10" zoomScaleNormal="100" workbookViewId="0">
      <selection activeCell="O29" sqref="O29"/>
    </sheetView>
  </sheetViews>
  <sheetFormatPr defaultRowHeight="12.75"/>
  <cols>
    <col min="1" max="1" width="4.83203125" customWidth="1"/>
    <col min="2" max="2" width="1.83203125" customWidth="1"/>
    <col min="3" max="3" width="2.83203125" customWidth="1"/>
    <col min="4" max="4" width="34.33203125" customWidth="1"/>
    <col min="5" max="5" width="1.83203125" customWidth="1"/>
    <col min="6" max="6" width="11.33203125" customWidth="1"/>
    <col min="7" max="8" width="1.83203125" customWidth="1"/>
    <col min="9" max="9" width="12.83203125" customWidth="1"/>
    <col min="10" max="11" width="1.83203125" customWidth="1"/>
    <col min="12" max="12" width="12.83203125" customWidth="1"/>
    <col min="13" max="14" width="1.83203125" customWidth="1"/>
    <col min="15" max="15" width="12.83203125" customWidth="1"/>
    <col min="16" max="17" width="1.83203125" customWidth="1"/>
    <col min="18" max="18" width="12.83203125" customWidth="1"/>
    <col min="19" max="20" width="1.83203125" customWidth="1"/>
    <col min="21" max="21" width="12.83203125" customWidth="1"/>
    <col min="22" max="23" width="1.8320312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B-7</v>
      </c>
    </row>
    <row r="2" spans="1:24" s="3" customFormat="1">
      <c r="A2" s="5" t="str">
        <f>Application</f>
        <v>2024 ISO Tariff Update Application</v>
      </c>
      <c r="B2" s="5"/>
      <c r="C2" s="5"/>
      <c r="D2" s="5"/>
      <c r="E2" s="5"/>
      <c r="F2" s="5"/>
      <c r="G2" s="5"/>
      <c r="H2" s="5"/>
      <c r="I2" s="5"/>
      <c r="J2" s="5"/>
      <c r="K2" s="5"/>
      <c r="L2" s="5"/>
      <c r="M2" s="5"/>
      <c r="N2" s="5"/>
      <c r="O2" s="5"/>
      <c r="P2" s="5"/>
      <c r="Q2" s="5"/>
      <c r="R2" s="5"/>
      <c r="S2" s="5"/>
      <c r="T2" s="5"/>
      <c r="U2" s="4"/>
      <c r="X2" s="4" t="str">
        <f>TableDate</f>
        <v>November 16, 2023</v>
      </c>
    </row>
    <row r="3" spans="1:24">
      <c r="U3" s="4"/>
    </row>
    <row r="4" spans="1:24">
      <c r="A4" s="254" t="str">
        <f>TableGroup1</f>
        <v>Appendix B — 2024 Rate Calculations</v>
      </c>
      <c r="B4" s="6"/>
      <c r="C4" s="6"/>
      <c r="D4" s="6"/>
      <c r="E4" s="6"/>
      <c r="F4" s="6"/>
      <c r="G4" s="6"/>
      <c r="H4" s="6"/>
      <c r="I4" s="6"/>
      <c r="J4" s="6"/>
      <c r="K4" s="6"/>
      <c r="L4" s="6"/>
      <c r="M4" s="6"/>
      <c r="N4" s="6"/>
      <c r="O4" s="6"/>
      <c r="P4" s="6"/>
      <c r="Q4" s="6"/>
      <c r="R4" s="6"/>
      <c r="S4" s="6"/>
      <c r="T4" s="6"/>
      <c r="U4" s="6"/>
      <c r="V4" s="6"/>
      <c r="W4" s="6"/>
      <c r="X4" s="6"/>
    </row>
    <row r="5" spans="1:24">
      <c r="A5" s="6" t="s">
        <v>15</v>
      </c>
      <c r="B5" s="6"/>
      <c r="C5" s="6"/>
      <c r="D5" s="6"/>
      <c r="E5" s="6"/>
      <c r="F5" s="6"/>
      <c r="G5" s="6"/>
      <c r="H5" s="6"/>
      <c r="I5" s="6"/>
      <c r="J5" s="6"/>
      <c r="K5" s="6"/>
      <c r="L5" s="6"/>
      <c r="M5" s="6"/>
      <c r="N5" s="6"/>
      <c r="O5" s="6"/>
      <c r="P5" s="6"/>
      <c r="Q5" s="6"/>
      <c r="R5" s="6"/>
      <c r="S5" s="6"/>
      <c r="T5" s="6"/>
      <c r="U5" s="6"/>
      <c r="V5" s="6"/>
      <c r="W5" s="6"/>
      <c r="X5" s="6"/>
    </row>
    <row r="6" spans="1:24">
      <c r="I6" s="71"/>
    </row>
    <row r="7" spans="1:24" s="195" customFormat="1">
      <c r="I7" s="195" t="s">
        <v>35</v>
      </c>
      <c r="L7" s="195" t="s">
        <v>36</v>
      </c>
      <c r="O7" s="195" t="s">
        <v>37</v>
      </c>
      <c r="R7" s="195" t="s">
        <v>38</v>
      </c>
      <c r="U7" s="195" t="s">
        <v>119</v>
      </c>
      <c r="X7" s="195" t="s">
        <v>120</v>
      </c>
    </row>
    <row r="9" spans="1:24">
      <c r="G9" s="33"/>
      <c r="H9" s="77"/>
      <c r="I9" s="73" t="s">
        <v>285</v>
      </c>
      <c r="J9" s="33"/>
      <c r="K9" s="77"/>
      <c r="L9" s="73" t="s">
        <v>286</v>
      </c>
      <c r="M9" s="33"/>
      <c r="N9" s="77"/>
      <c r="O9" s="73" t="s">
        <v>287</v>
      </c>
      <c r="P9" s="33"/>
      <c r="Q9" s="77"/>
      <c r="R9" s="73" t="s">
        <v>288</v>
      </c>
      <c r="S9" s="33"/>
      <c r="T9" s="77"/>
      <c r="U9" s="73"/>
      <c r="V9" s="33"/>
      <c r="W9" s="77"/>
      <c r="X9" s="73"/>
    </row>
    <row r="10" spans="1:24" s="33" customFormat="1">
      <c r="F10" s="38"/>
      <c r="H10" s="77"/>
      <c r="I10" s="34" t="s">
        <v>250</v>
      </c>
      <c r="K10" s="77"/>
      <c r="L10" s="34" t="s">
        <v>250</v>
      </c>
      <c r="N10" s="77"/>
      <c r="O10" s="34" t="s">
        <v>289</v>
      </c>
      <c r="Q10" s="77"/>
      <c r="R10" s="34" t="s">
        <v>289</v>
      </c>
      <c r="T10" s="77"/>
      <c r="U10" s="34" t="s">
        <v>242</v>
      </c>
      <c r="W10" s="77"/>
      <c r="X10" s="34" t="s">
        <v>251</v>
      </c>
    </row>
    <row r="11" spans="1:24" s="36" customFormat="1" ht="38.25">
      <c r="A11" s="35" t="s">
        <v>243</v>
      </c>
      <c r="C11" s="37" t="s">
        <v>42</v>
      </c>
      <c r="D11" s="37"/>
      <c r="F11" s="309" t="s">
        <v>290</v>
      </c>
      <c r="H11" s="78"/>
      <c r="I11" s="412" t="s">
        <v>291</v>
      </c>
      <c r="K11" s="78"/>
      <c r="L11" s="412" t="s">
        <v>292</v>
      </c>
      <c r="N11" s="78"/>
      <c r="O11" s="412" t="s">
        <v>293</v>
      </c>
      <c r="Q11" s="78"/>
      <c r="R11" s="412" t="s">
        <v>294</v>
      </c>
      <c r="T11" s="78"/>
      <c r="U11" s="412" t="s">
        <v>295</v>
      </c>
      <c r="W11" s="78"/>
      <c r="X11" s="322" t="s">
        <v>296</v>
      </c>
    </row>
    <row r="12" spans="1:24" ht="15.6" customHeight="1">
      <c r="A12" s="7">
        <v>1</v>
      </c>
      <c r="C12" s="2" t="s">
        <v>297</v>
      </c>
      <c r="D12" s="2"/>
      <c r="E12" s="16"/>
      <c r="F12" s="576"/>
      <c r="G12" s="16"/>
      <c r="H12" s="87"/>
      <c r="I12" s="28"/>
      <c r="J12" s="16"/>
      <c r="K12" s="87"/>
      <c r="L12" s="28"/>
      <c r="M12" s="16"/>
      <c r="N12" s="87"/>
      <c r="O12" s="28"/>
      <c r="P12" s="16"/>
      <c r="Q12" s="87"/>
      <c r="R12" s="28"/>
      <c r="S12" s="16"/>
      <c r="T12" s="87"/>
      <c r="U12" s="28"/>
      <c r="V12" s="16"/>
      <c r="W12" s="87"/>
      <c r="X12" s="28"/>
    </row>
    <row r="13" spans="1:24" s="19" customFormat="1">
      <c r="A13" s="18">
        <f t="shared" ref="A13:A25" si="0">A12+1</f>
        <v>2</v>
      </c>
      <c r="C13" s="19" t="s">
        <v>298</v>
      </c>
      <c r="D13"/>
      <c r="F13" s="55"/>
      <c r="G13" s="20"/>
      <c r="H13" s="90"/>
      <c r="I13" s="62"/>
      <c r="J13" s="20"/>
      <c r="K13" s="90"/>
      <c r="L13" s="62"/>
      <c r="M13" s="20"/>
      <c r="N13" s="90"/>
      <c r="O13" s="32"/>
      <c r="P13" s="20"/>
      <c r="Q13" s="90"/>
      <c r="R13" s="62"/>
      <c r="S13" s="20"/>
      <c r="T13" s="90"/>
      <c r="U13" s="62"/>
      <c r="V13" s="20"/>
      <c r="W13" s="90"/>
      <c r="X13" s="62"/>
    </row>
    <row r="14" spans="1:24" s="19" customFormat="1">
      <c r="A14" s="18">
        <f t="shared" si="0"/>
        <v>3</v>
      </c>
      <c r="D14" t="s">
        <v>183</v>
      </c>
      <c r="F14" s="55" t="s">
        <v>299</v>
      </c>
      <c r="G14" s="20"/>
      <c r="H14" s="90"/>
      <c r="I14" s="140">
        <f>'B-5 DTS Classification'!J13</f>
        <v>939.09817204933972</v>
      </c>
      <c r="J14" s="20"/>
      <c r="K14" s="90"/>
      <c r="L14" s="174">
        <f>'B-5 DTS Classification'!N13</f>
        <v>0</v>
      </c>
      <c r="M14" s="20"/>
      <c r="N14" s="90"/>
      <c r="O14" s="140">
        <f>'B-5 DTS Classification'!R13</f>
        <v>65.861968738104778</v>
      </c>
      <c r="P14" s="20"/>
      <c r="Q14" s="90"/>
      <c r="R14" s="67">
        <f>'B-5 DTS Classification'!V13</f>
        <v>0</v>
      </c>
      <c r="S14" s="20"/>
      <c r="T14" s="90"/>
      <c r="U14" s="67">
        <f>'B-5 DTS Classification'!Z13</f>
        <v>0</v>
      </c>
      <c r="V14" s="20"/>
      <c r="W14" s="90"/>
      <c r="X14" s="32">
        <f>SUM(I14:U14)</f>
        <v>1004.9601407874445</v>
      </c>
    </row>
    <row r="15" spans="1:24" s="19" customFormat="1">
      <c r="A15" s="18">
        <f t="shared" si="0"/>
        <v>4</v>
      </c>
      <c r="D15" t="s">
        <v>184</v>
      </c>
      <c r="F15" s="55" t="s">
        <v>300</v>
      </c>
      <c r="G15" s="20"/>
      <c r="H15" s="90"/>
      <c r="I15" s="62">
        <f>'B-5 DTS Classification'!J14</f>
        <v>0</v>
      </c>
      <c r="J15" s="20"/>
      <c r="K15" s="90"/>
      <c r="L15" s="62">
        <f>'B-5 DTS Classification'!N14</f>
        <v>427.96683547447168</v>
      </c>
      <c r="M15" s="20"/>
      <c r="N15" s="90"/>
      <c r="O15" s="62">
        <f>'B-5 DTS Classification'!R14</f>
        <v>49.975524534775651</v>
      </c>
      <c r="P15" s="20"/>
      <c r="Q15" s="90"/>
      <c r="R15" s="67">
        <f>'B-5 DTS Classification'!V14</f>
        <v>0</v>
      </c>
      <c r="S15" s="20"/>
      <c r="T15" s="90"/>
      <c r="U15" s="67">
        <f>'B-5 DTS Classification'!Z14</f>
        <v>0</v>
      </c>
      <c r="V15" s="20"/>
      <c r="W15" s="90"/>
      <c r="X15" s="32">
        <f t="shared" ref="X15:X21" si="1">SUM(I15:U15)</f>
        <v>477.94236000924735</v>
      </c>
    </row>
    <row r="16" spans="1:24" s="19" customFormat="1">
      <c r="A16" s="18">
        <f t="shared" si="0"/>
        <v>5</v>
      </c>
      <c r="D16" t="s">
        <v>185</v>
      </c>
      <c r="F16" s="55" t="s">
        <v>301</v>
      </c>
      <c r="G16" s="20"/>
      <c r="H16" s="90"/>
      <c r="I16" s="62">
        <f>'B-5 DTS Classification'!J15</f>
        <v>0</v>
      </c>
      <c r="J16" s="20"/>
      <c r="K16" s="90"/>
      <c r="L16" s="62">
        <f>'B-5 DTS Classification'!N15</f>
        <v>387.9590503583791</v>
      </c>
      <c r="M16" s="20"/>
      <c r="N16" s="90"/>
      <c r="O16" s="62">
        <f>'B-5 DTS Classification'!R15</f>
        <v>0</v>
      </c>
      <c r="P16" s="20"/>
      <c r="Q16" s="90"/>
      <c r="R16" s="67">
        <f>'B-5 DTS Classification'!V15</f>
        <v>0</v>
      </c>
      <c r="S16" s="20"/>
      <c r="T16" s="90"/>
      <c r="U16" s="67">
        <f>'B-5 DTS Classification'!Z15</f>
        <v>73.244626621871589</v>
      </c>
      <c r="V16" s="20"/>
      <c r="W16" s="90"/>
      <c r="X16" s="32">
        <f t="shared" si="1"/>
        <v>461.20367698025069</v>
      </c>
    </row>
    <row r="17" spans="1:24" s="19" customFormat="1">
      <c r="A17" s="18">
        <f t="shared" si="0"/>
        <v>6</v>
      </c>
      <c r="C17" s="19" t="s">
        <v>302</v>
      </c>
      <c r="E17" s="20"/>
      <c r="F17" s="56"/>
      <c r="G17" s="20"/>
      <c r="H17" s="91"/>
      <c r="I17" s="62"/>
      <c r="J17" s="62"/>
      <c r="K17" s="91"/>
      <c r="L17" s="62"/>
      <c r="M17" s="62"/>
      <c r="N17" s="91"/>
      <c r="O17" s="62"/>
      <c r="P17" s="62"/>
      <c r="Q17" s="91"/>
      <c r="R17" s="62"/>
      <c r="S17" s="62"/>
      <c r="T17" s="91"/>
      <c r="U17" s="62"/>
      <c r="V17" s="62"/>
      <c r="W17" s="91"/>
      <c r="X17" s="32">
        <f t="shared" si="1"/>
        <v>0</v>
      </c>
    </row>
    <row r="18" spans="1:24" s="19" customFormat="1">
      <c r="A18" s="18">
        <f t="shared" si="0"/>
        <v>7</v>
      </c>
      <c r="D18" s="19" t="s">
        <v>303</v>
      </c>
      <c r="E18" s="20"/>
      <c r="F18" s="546" t="s">
        <v>304</v>
      </c>
      <c r="G18" s="20"/>
      <c r="H18" s="91"/>
      <c r="I18" s="62">
        <f>'B-5 DTS Classification'!J26</f>
        <v>0</v>
      </c>
      <c r="J18" s="62"/>
      <c r="K18" s="91"/>
      <c r="L18" s="62">
        <f>'B-5 DTS Classification'!N26</f>
        <v>0</v>
      </c>
      <c r="M18" s="62"/>
      <c r="N18" s="91"/>
      <c r="O18" s="62">
        <f>'B-5 DTS Classification'!R26</f>
        <v>0</v>
      </c>
      <c r="P18" s="62"/>
      <c r="Q18" s="91"/>
      <c r="R18" s="62">
        <f>'B-5 DTS Classification'!V26</f>
        <v>0</v>
      </c>
      <c r="S18" s="62"/>
      <c r="T18" s="91"/>
      <c r="U18" s="62">
        <f>'B-5 DTS Classification'!Z26</f>
        <v>0</v>
      </c>
      <c r="V18" s="62"/>
      <c r="W18" s="91"/>
      <c r="X18" s="32">
        <f t="shared" si="1"/>
        <v>0</v>
      </c>
    </row>
    <row r="19" spans="1:24" s="19" customFormat="1">
      <c r="A19" s="18">
        <f t="shared" si="0"/>
        <v>8</v>
      </c>
      <c r="D19" s="19" t="s">
        <v>192</v>
      </c>
      <c r="E19" s="20"/>
      <c r="F19" s="546" t="s">
        <v>305</v>
      </c>
      <c r="G19" s="20"/>
      <c r="H19" s="91"/>
      <c r="I19" s="62">
        <f>'B-5 DTS Classification'!J30</f>
        <v>7.408774136980278</v>
      </c>
      <c r="J19" s="62"/>
      <c r="K19" s="91"/>
      <c r="L19" s="62">
        <f>'B-5 DTS Classification'!N30</f>
        <v>6.4370379802353046</v>
      </c>
      <c r="M19" s="62"/>
      <c r="N19" s="91"/>
      <c r="O19" s="62">
        <f>'B-5 DTS Classification'!R30</f>
        <v>0.9138701892901282</v>
      </c>
      <c r="P19" s="62"/>
      <c r="Q19" s="91"/>
      <c r="R19" s="62">
        <f>'B-5 DTS Classification'!V30</f>
        <v>0</v>
      </c>
      <c r="S19" s="62"/>
      <c r="T19" s="91"/>
      <c r="U19" s="62">
        <f>'B-5 DTS Classification'!Z30</f>
        <v>0.57784469349429113</v>
      </c>
      <c r="V19" s="62"/>
      <c r="W19" s="91"/>
      <c r="X19" s="32">
        <f t="shared" si="1"/>
        <v>15.337527000000001</v>
      </c>
    </row>
    <row r="20" spans="1:24" s="19" customFormat="1">
      <c r="A20" s="18">
        <f t="shared" si="0"/>
        <v>9</v>
      </c>
      <c r="D20" s="19" t="s">
        <v>193</v>
      </c>
      <c r="E20" s="20"/>
      <c r="F20" s="546" t="s">
        <v>306</v>
      </c>
      <c r="G20" s="20"/>
      <c r="H20" s="91"/>
      <c r="I20" s="62">
        <f>'B-5 DTS Classification'!J31</f>
        <v>56.078718581948266</v>
      </c>
      <c r="J20" s="62"/>
      <c r="K20" s="91"/>
      <c r="L20" s="62">
        <f>'B-5 DTS Classification'!N31</f>
        <v>48.723423702866384</v>
      </c>
      <c r="M20" s="62"/>
      <c r="N20" s="91"/>
      <c r="O20" s="62">
        <f>'B-5 DTS Classification'!R31</f>
        <v>6.9172940378664585</v>
      </c>
      <c r="P20" s="62"/>
      <c r="Q20" s="91"/>
      <c r="R20" s="62">
        <f>'B-5 DTS Classification'!V31</f>
        <v>0</v>
      </c>
      <c r="S20" s="62"/>
      <c r="T20" s="91"/>
      <c r="U20" s="62">
        <f>'B-5 DTS Classification'!Z31</f>
        <v>4.3738396327663303</v>
      </c>
      <c r="V20" s="62"/>
      <c r="W20" s="91"/>
      <c r="X20" s="32">
        <f t="shared" si="1"/>
        <v>116.09327595544744</v>
      </c>
    </row>
    <row r="21" spans="1:24" s="19" customFormat="1">
      <c r="A21" s="18">
        <f t="shared" si="0"/>
        <v>10</v>
      </c>
      <c r="D21" s="19" t="s">
        <v>207</v>
      </c>
      <c r="E21" s="20"/>
      <c r="F21" s="546" t="s">
        <v>307</v>
      </c>
      <c r="G21" s="20"/>
      <c r="H21" s="91"/>
      <c r="I21" s="62">
        <f>'B-5 DTS Classification'!J33</f>
        <v>10.965041992084382</v>
      </c>
      <c r="J21" s="62"/>
      <c r="K21" s="91"/>
      <c r="L21" s="62">
        <f>'B-5 DTS Classification'!N33</f>
        <v>9.5268650998032225</v>
      </c>
      <c r="M21" s="62"/>
      <c r="N21" s="91"/>
      <c r="O21" s="62">
        <f>'B-5 DTS Classification'!R33</f>
        <v>1.3525348209581993</v>
      </c>
      <c r="P21" s="62"/>
      <c r="Q21" s="91"/>
      <c r="R21" s="62">
        <f>'B-5 DTS Classification'!V33</f>
        <v>0</v>
      </c>
      <c r="S21" s="62"/>
      <c r="T21" s="91"/>
      <c r="U21" s="62">
        <f>'B-5 DTS Classification'!Z33</f>
        <v>0.85521453507969158</v>
      </c>
      <c r="V21" s="62"/>
      <c r="W21" s="91"/>
      <c r="X21" s="32">
        <f t="shared" si="1"/>
        <v>22.699656447925495</v>
      </c>
    </row>
    <row r="22" spans="1:24" s="24" customFormat="1" ht="15.6" customHeight="1">
      <c r="A22" s="23">
        <f t="shared" si="0"/>
        <v>11</v>
      </c>
      <c r="C22" s="12" t="s">
        <v>297</v>
      </c>
      <c r="D22" s="12"/>
      <c r="E22" s="17"/>
      <c r="F22" s="57"/>
      <c r="G22" s="17"/>
      <c r="H22" s="88"/>
      <c r="I22" s="562">
        <f>SUM(I12:I21)</f>
        <v>1013.5507067603526</v>
      </c>
      <c r="J22" s="17"/>
      <c r="K22" s="88"/>
      <c r="L22" s="562">
        <f>SUM(L12:L21)</f>
        <v>880.61321261575574</v>
      </c>
      <c r="M22" s="17"/>
      <c r="N22" s="88"/>
      <c r="O22" s="562">
        <f>SUM(O12:O21)</f>
        <v>125.02119232099521</v>
      </c>
      <c r="P22" s="17"/>
      <c r="Q22" s="88"/>
      <c r="R22" s="577">
        <f>SUM(R12:R21)</f>
        <v>0</v>
      </c>
      <c r="S22" s="17"/>
      <c r="T22" s="88"/>
      <c r="U22" s="562">
        <f>SUM(U12:U21)</f>
        <v>79.051525483211904</v>
      </c>
      <c r="V22" s="17"/>
      <c r="W22" s="88"/>
      <c r="X22" s="562">
        <f>SUM(X12:X21)</f>
        <v>2098.2366371803155</v>
      </c>
    </row>
    <row r="23" spans="1:24" ht="15.6" customHeight="1">
      <c r="A23" s="7">
        <f t="shared" si="0"/>
        <v>12</v>
      </c>
      <c r="C23" s="2" t="s">
        <v>308</v>
      </c>
      <c r="D23" s="2"/>
      <c r="E23" s="16"/>
      <c r="F23" s="58"/>
      <c r="G23" s="16"/>
      <c r="H23" s="87"/>
      <c r="I23" s="28"/>
      <c r="J23" s="16"/>
      <c r="K23" s="87"/>
      <c r="L23" s="28"/>
      <c r="M23" s="16"/>
      <c r="N23" s="87"/>
      <c r="O23" s="28"/>
      <c r="P23" s="16"/>
      <c r="Q23" s="87"/>
      <c r="R23" s="28"/>
      <c r="S23" s="16"/>
      <c r="T23" s="87"/>
      <c r="U23" s="28"/>
      <c r="V23" s="16"/>
      <c r="W23" s="87"/>
      <c r="X23" s="28"/>
    </row>
    <row r="24" spans="1:24">
      <c r="A24" s="7">
        <f t="shared" si="0"/>
        <v>13</v>
      </c>
      <c r="C24" t="s">
        <v>68</v>
      </c>
      <c r="E24" s="16"/>
      <c r="F24" s="58" t="s">
        <v>309</v>
      </c>
      <c r="G24" s="16"/>
      <c r="H24" s="87"/>
      <c r="I24" s="66">
        <f>'B-5 DTS Classification'!J18</f>
        <v>0</v>
      </c>
      <c r="J24" s="16"/>
      <c r="K24" s="87"/>
      <c r="L24" s="66">
        <f>'B-5 DTS Classification'!N18</f>
        <v>0</v>
      </c>
      <c r="M24" s="16"/>
      <c r="N24" s="87"/>
      <c r="O24" s="66">
        <f>'B-5 DTS Classification'!R18</f>
        <v>0</v>
      </c>
      <c r="P24" s="16"/>
      <c r="Q24" s="87"/>
      <c r="R24" s="28">
        <f>'B-5 DTS Classification'!V18</f>
        <v>308.39188399999995</v>
      </c>
      <c r="S24" s="16"/>
      <c r="T24" s="87"/>
      <c r="U24" s="63">
        <f>'B-5 DTS Classification'!Z18</f>
        <v>0</v>
      </c>
      <c r="V24" s="16"/>
      <c r="W24" s="87"/>
      <c r="X24" s="141">
        <f>SUM(I24:U24)</f>
        <v>308.39188399999995</v>
      </c>
    </row>
    <row r="25" spans="1:24">
      <c r="A25" s="7">
        <f t="shared" si="0"/>
        <v>14</v>
      </c>
      <c r="C25" t="s">
        <v>79</v>
      </c>
      <c r="E25" s="16"/>
      <c r="F25" s="528" t="s">
        <v>310</v>
      </c>
      <c r="G25" s="16"/>
      <c r="H25" s="203"/>
      <c r="I25" s="63">
        <f>'B-5 DTS Classification'!J20</f>
        <v>0</v>
      </c>
      <c r="J25" s="63"/>
      <c r="K25" s="203"/>
      <c r="L25" s="63">
        <f>'B-5 DTS Classification'!N20</f>
        <v>0</v>
      </c>
      <c r="M25" s="63"/>
      <c r="N25" s="203"/>
      <c r="O25" s="63">
        <f>'B-5 DTS Classification'!R20</f>
        <v>0</v>
      </c>
      <c r="P25" s="63"/>
      <c r="Q25" s="203"/>
      <c r="R25" s="63">
        <f>'B-5 DTS Classification'!V20</f>
        <v>2.8393630000000001</v>
      </c>
      <c r="S25" s="63"/>
      <c r="T25" s="203"/>
      <c r="U25" s="63">
        <f>'B-5 DTS Classification'!Z20</f>
        <v>0</v>
      </c>
      <c r="V25" s="63"/>
      <c r="W25" s="203"/>
      <c r="X25" s="141">
        <f t="shared" ref="X25:X26" si="2">SUM(I25:U25)</f>
        <v>2.8393630000000001</v>
      </c>
    </row>
    <row r="26" spans="1:24">
      <c r="A26" s="7">
        <f t="shared" ref="A26:A34" si="3">A25+1</f>
        <v>15</v>
      </c>
      <c r="C26" t="s">
        <v>311</v>
      </c>
      <c r="E26" s="16"/>
      <c r="F26" s="337" t="s">
        <v>312</v>
      </c>
      <c r="G26" s="16"/>
      <c r="H26" s="87"/>
      <c r="I26" s="66">
        <v>0</v>
      </c>
      <c r="J26" s="16"/>
      <c r="K26" s="87"/>
      <c r="L26" s="66">
        <v>0</v>
      </c>
      <c r="M26" s="16"/>
      <c r="N26" s="87"/>
      <c r="O26" s="66">
        <v>0</v>
      </c>
      <c r="P26" s="16"/>
      <c r="Q26" s="87"/>
      <c r="R26" s="66">
        <f>'B-5 DTS Classification'!V22</f>
        <v>38.548216000000004</v>
      </c>
      <c r="S26" s="16"/>
      <c r="T26" s="87"/>
      <c r="U26" s="63">
        <v>0</v>
      </c>
      <c r="V26" s="16"/>
      <c r="W26" s="87"/>
      <c r="X26" s="141">
        <f t="shared" si="2"/>
        <v>38.548216000000004</v>
      </c>
    </row>
    <row r="27" spans="1:24" s="24" customFormat="1" ht="15.6" customHeight="1">
      <c r="A27" s="7">
        <f t="shared" si="3"/>
        <v>16</v>
      </c>
      <c r="C27" s="12" t="s">
        <v>308</v>
      </c>
      <c r="D27" s="12"/>
      <c r="E27" s="17"/>
      <c r="F27" s="57"/>
      <c r="G27" s="17"/>
      <c r="H27" s="88"/>
      <c r="I27" s="577">
        <f>SUM(I23:I26)</f>
        <v>0</v>
      </c>
      <c r="J27" s="17"/>
      <c r="K27" s="88"/>
      <c r="L27" s="577">
        <f>SUM(L23:L26)</f>
        <v>0</v>
      </c>
      <c r="M27" s="17"/>
      <c r="N27" s="88"/>
      <c r="O27" s="577">
        <f>SUM(O23:O26)</f>
        <v>0</v>
      </c>
      <c r="P27" s="17"/>
      <c r="Q27" s="88"/>
      <c r="R27" s="562">
        <f>SUM(R23:R26)</f>
        <v>349.77946299999996</v>
      </c>
      <c r="S27" s="17"/>
      <c r="T27" s="88"/>
      <c r="U27" s="577">
        <f>SUM(U23:U26)</f>
        <v>0</v>
      </c>
      <c r="V27" s="17"/>
      <c r="W27" s="88"/>
      <c r="X27" s="562">
        <f>SUM(X23:X26)</f>
        <v>349.77946299999996</v>
      </c>
    </row>
    <row r="28" spans="1:24" s="24" customFormat="1" ht="15.6" customHeight="1">
      <c r="A28" s="7">
        <f t="shared" si="3"/>
        <v>17</v>
      </c>
      <c r="C28" s="12" t="s">
        <v>313</v>
      </c>
      <c r="D28" s="12"/>
      <c r="E28" s="17"/>
      <c r="F28" s="545" t="s">
        <v>314</v>
      </c>
      <c r="G28" s="17"/>
      <c r="H28" s="88"/>
      <c r="I28" s="395">
        <v>0</v>
      </c>
      <c r="J28" s="17"/>
      <c r="K28" s="88"/>
      <c r="L28" s="395">
        <v>0</v>
      </c>
      <c r="M28" s="17"/>
      <c r="N28" s="88"/>
      <c r="O28" s="395">
        <v>0</v>
      </c>
      <c r="P28" s="17"/>
      <c r="Q28" s="88"/>
      <c r="R28" s="40">
        <f>'B-5 DTS Classification'!V25</f>
        <v>4</v>
      </c>
      <c r="S28" s="17"/>
      <c r="T28" s="88"/>
      <c r="U28" s="395"/>
      <c r="V28" s="17"/>
      <c r="W28" s="88"/>
      <c r="X28" s="142">
        <f>SUM(I28:U28)</f>
        <v>4</v>
      </c>
    </row>
    <row r="29" spans="1:24" s="19" customFormat="1" ht="18.95" customHeight="1">
      <c r="A29" s="7">
        <f t="shared" si="3"/>
        <v>18</v>
      </c>
      <c r="C29" s="11" t="s">
        <v>315</v>
      </c>
      <c r="D29" s="11"/>
      <c r="E29" s="15"/>
      <c r="F29" s="330" t="s">
        <v>316</v>
      </c>
      <c r="G29" s="15"/>
      <c r="H29" s="86"/>
      <c r="I29" s="68">
        <f>'B-5 DTS Classification'!J21</f>
        <v>0</v>
      </c>
      <c r="J29" s="15"/>
      <c r="K29" s="86"/>
      <c r="L29" s="68">
        <f>'B-5 DTS Classification'!N21</f>
        <v>0</v>
      </c>
      <c r="M29" s="15"/>
      <c r="N29" s="86"/>
      <c r="O29" s="45">
        <f>'B-5 DTS Classification'!R21</f>
        <v>3.7</v>
      </c>
      <c r="P29" s="15"/>
      <c r="Q29" s="86"/>
      <c r="R29" s="105">
        <f>'B-5 DTS Classification'!V21</f>
        <v>0</v>
      </c>
      <c r="S29" s="15"/>
      <c r="T29" s="86"/>
      <c r="U29" s="105">
        <f>'B-5 DTS Classification'!Z21</f>
        <v>0</v>
      </c>
      <c r="V29" s="15"/>
      <c r="W29" s="86"/>
      <c r="X29" s="142">
        <f>SUM(I29:U29)</f>
        <v>3.7</v>
      </c>
    </row>
    <row r="30" spans="1:24" ht="15.6" customHeight="1">
      <c r="A30" s="7">
        <f t="shared" si="3"/>
        <v>19</v>
      </c>
      <c r="C30" s="2" t="s">
        <v>317</v>
      </c>
      <c r="D30" s="2"/>
      <c r="E30" s="16"/>
      <c r="F30" s="58"/>
      <c r="G30" s="16"/>
      <c r="H30" s="87"/>
      <c r="I30" s="28"/>
      <c r="J30" s="16"/>
      <c r="K30" s="87"/>
      <c r="L30" s="28"/>
      <c r="M30" s="16"/>
      <c r="N30" s="87"/>
      <c r="O30" s="28"/>
      <c r="P30" s="16"/>
      <c r="Q30" s="87"/>
      <c r="R30" s="28"/>
      <c r="S30" s="16"/>
      <c r="T30" s="87"/>
      <c r="U30" s="28"/>
      <c r="V30" s="16"/>
      <c r="W30" s="87"/>
      <c r="X30" s="28"/>
    </row>
    <row r="31" spans="1:24">
      <c r="A31" s="7">
        <f t="shared" si="3"/>
        <v>20</v>
      </c>
      <c r="C31" t="str">
        <f>'B-5 DTS Classification'!D23</f>
        <v>Reliability Services from BC</v>
      </c>
      <c r="E31" s="16"/>
      <c r="F31" s="528" t="s">
        <v>318</v>
      </c>
      <c r="G31" s="16"/>
      <c r="H31" s="203"/>
      <c r="I31" s="63">
        <f>'B-5 DTS Classification'!J23</f>
        <v>0</v>
      </c>
      <c r="J31" s="63"/>
      <c r="K31" s="203"/>
      <c r="L31" s="63">
        <f>'B-5 DTS Classification'!N23</f>
        <v>2.8571430000000002</v>
      </c>
      <c r="M31" s="63"/>
      <c r="N31" s="203"/>
      <c r="O31" s="63">
        <f>'B-5 DTS Classification'!R23</f>
        <v>0</v>
      </c>
      <c r="P31" s="63"/>
      <c r="Q31" s="203"/>
      <c r="R31" s="63">
        <f>'B-5 DTS Classification'!V23</f>
        <v>0</v>
      </c>
      <c r="S31" s="63"/>
      <c r="T31" s="203"/>
      <c r="U31" s="63">
        <f>'B-5 DTS Classification'!Z23</f>
        <v>0</v>
      </c>
      <c r="V31" s="63"/>
      <c r="W31" s="203"/>
      <c r="X31" s="28">
        <f>SUM(I31:U31)</f>
        <v>2.8571430000000002</v>
      </c>
    </row>
    <row r="32" spans="1:24">
      <c r="A32" s="532">
        <f t="shared" si="3"/>
        <v>21</v>
      </c>
      <c r="B32" s="533"/>
      <c r="C32" s="533" t="str">
        <f>'B-5 DTS Classification'!D24</f>
        <v>Transferred Frequency Response</v>
      </c>
      <c r="D32" s="533"/>
      <c r="E32" s="540"/>
      <c r="F32" s="543" t="s">
        <v>319</v>
      </c>
      <c r="G32" s="540"/>
      <c r="H32" s="544"/>
      <c r="I32" s="537">
        <f>'B-5 DTS Classification'!J24</f>
        <v>0</v>
      </c>
      <c r="J32" s="537"/>
      <c r="K32" s="544"/>
      <c r="L32" s="537">
        <f>'B-5 DTS Classification'!N24</f>
        <v>3.5278740000000002</v>
      </c>
      <c r="M32" s="537"/>
      <c r="N32" s="544"/>
      <c r="O32" s="537">
        <f>'B-5 DTS Classification'!R24</f>
        <v>0</v>
      </c>
      <c r="P32" s="537"/>
      <c r="Q32" s="544"/>
      <c r="R32" s="537">
        <f>'B-5 DTS Classification'!V24</f>
        <v>0</v>
      </c>
      <c r="S32" s="537"/>
      <c r="T32" s="544"/>
      <c r="U32" s="537">
        <f>'B-5 DTS Classification'!Z24</f>
        <v>0</v>
      </c>
      <c r="V32" s="537"/>
      <c r="W32" s="544"/>
      <c r="X32" s="549">
        <f>SUM(I32:U32)</f>
        <v>3.5278740000000002</v>
      </c>
    </row>
    <row r="33" spans="1:24" s="24" customFormat="1" ht="15.6" customHeight="1">
      <c r="A33" s="7">
        <f t="shared" si="3"/>
        <v>22</v>
      </c>
      <c r="C33" s="12" t="s">
        <v>320</v>
      </c>
      <c r="D33" s="12"/>
      <c r="E33" s="17"/>
      <c r="F33" s="57"/>
      <c r="G33" s="17"/>
      <c r="H33" s="88"/>
      <c r="I33" s="562">
        <f>SUM(I31)</f>
        <v>0</v>
      </c>
      <c r="J33" s="340"/>
      <c r="K33" s="88"/>
      <c r="L33" s="578">
        <f>SUM(L31:L32)</f>
        <v>6.3850170000000004</v>
      </c>
      <c r="M33" s="340"/>
      <c r="N33" s="88"/>
      <c r="O33" s="577">
        <f>SUM(O31)</f>
        <v>0</v>
      </c>
      <c r="P33" s="340"/>
      <c r="Q33" s="88"/>
      <c r="R33" s="577">
        <f>SUM(R31)</f>
        <v>0</v>
      </c>
      <c r="S33" s="340"/>
      <c r="T33" s="88"/>
      <c r="U33" s="577">
        <f>SUM(U31)</f>
        <v>0</v>
      </c>
      <c r="V33" s="340"/>
      <c r="W33" s="88"/>
      <c r="X33" s="578">
        <f>SUM(X31:X32)</f>
        <v>6.3850170000000004</v>
      </c>
    </row>
    <row r="34" spans="1:24" ht="15.6" customHeight="1">
      <c r="A34" s="7">
        <f t="shared" si="3"/>
        <v>23</v>
      </c>
      <c r="C34" s="2" t="s">
        <v>321</v>
      </c>
      <c r="D34" s="2"/>
      <c r="E34" s="21"/>
      <c r="F34" s="92"/>
      <c r="G34" s="21"/>
      <c r="H34" s="94"/>
      <c r="I34" s="364">
        <f>SUM(I22,I27,I28,I29,I33)</f>
        <v>1013.5507067603526</v>
      </c>
      <c r="J34" s="84">
        <f>SUM(J22,J27,J26,J29,J33)</f>
        <v>0</v>
      </c>
      <c r="K34" s="84">
        <f>SUM(K22,K27,K26,K29,K33)</f>
        <v>0</v>
      </c>
      <c r="L34" s="364">
        <f>SUM(L22,L27,L28,L29,L33)</f>
        <v>886.99822961575569</v>
      </c>
      <c r="M34" s="84">
        <f>SUM(M22,M27,M26,M29,M33)</f>
        <v>0</v>
      </c>
      <c r="N34" s="84">
        <f>SUM(N22,N27,N26,N29,N33)</f>
        <v>0</v>
      </c>
      <c r="O34" s="364">
        <f>SUM(O22,O27,O28,O29,O33)</f>
        <v>128.72119232099521</v>
      </c>
      <c r="P34" s="84">
        <f>SUM(P22,P27,P26,P29,P33)</f>
        <v>0</v>
      </c>
      <c r="Q34" s="84">
        <f>SUM(Q22,Q27,Q26,Q29,Q33)</f>
        <v>0</v>
      </c>
      <c r="R34" s="364">
        <f>SUM(R22,R27,R28,R29,R33)</f>
        <v>353.77946299999996</v>
      </c>
      <c r="S34" s="84">
        <f>SUM(S22,S27,S26,S29,S33)</f>
        <v>0</v>
      </c>
      <c r="T34" s="84">
        <f>SUM(T22,T27,T26,T29,T33)</f>
        <v>0</v>
      </c>
      <c r="U34" s="364">
        <f>SUM(U22,U27,U28,U29,U33)</f>
        <v>79.051525483211904</v>
      </c>
      <c r="V34" s="84">
        <f>SUM(V22,V27,V26,V29,V33)</f>
        <v>0</v>
      </c>
      <c r="W34" s="84">
        <f>SUM(W22,W27,W26,W29,W33)</f>
        <v>0</v>
      </c>
      <c r="X34" s="364">
        <f>SUM(X22,X27,X28,X29,X33)</f>
        <v>2462.1011171803152</v>
      </c>
    </row>
  </sheetData>
  <phoneticPr fontId="14"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7"/>
  <sheetViews>
    <sheetView showGridLines="0" topLeftCell="A18" zoomScale="110" zoomScaleNormal="110" workbookViewId="0">
      <selection activeCell="W29" sqref="W29"/>
    </sheetView>
  </sheetViews>
  <sheetFormatPr defaultRowHeight="12.75"/>
  <cols>
    <col min="1" max="1" width="4.83203125" customWidth="1"/>
    <col min="2" max="2" width="1.83203125" customWidth="1"/>
    <col min="3" max="3" width="2.83203125" customWidth="1"/>
    <col min="4" max="4" width="27.6640625" customWidth="1"/>
    <col min="5" max="5" width="1.83203125" customWidth="1"/>
    <col min="6" max="6" width="9.33203125" customWidth="1"/>
    <col min="7" max="8" width="1.83203125" customWidth="1"/>
    <col min="9" max="9" width="10.33203125" customWidth="1"/>
    <col min="10" max="10" width="9.33203125" customWidth="1"/>
    <col min="11" max="11" width="10.83203125" customWidth="1"/>
    <col min="12" max="13" width="1.83203125" customWidth="1"/>
    <col min="14" max="15" width="12.83203125" customWidth="1"/>
    <col min="16" max="17" width="1.83203125" customWidth="1"/>
    <col min="18" max="18" width="13.1640625" customWidth="1"/>
    <col min="19" max="19" width="11.33203125" customWidth="1"/>
    <col min="20" max="20" width="14" customWidth="1"/>
    <col min="21" max="21" width="11" customWidth="1"/>
    <col min="22" max="22" width="12.5" customWidth="1"/>
    <col min="23" max="23" width="11.164062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B-8</v>
      </c>
    </row>
    <row r="2" spans="1:23" s="3" customFormat="1">
      <c r="A2" s="5" t="str">
        <f>Application</f>
        <v>2024 ISO Tariff Update Application</v>
      </c>
      <c r="B2" s="5"/>
      <c r="C2" s="5"/>
      <c r="D2" s="5"/>
      <c r="E2" s="5"/>
      <c r="F2" s="5"/>
      <c r="G2" s="5"/>
      <c r="H2" s="5"/>
      <c r="I2" s="5"/>
      <c r="J2" s="5"/>
      <c r="K2" s="5"/>
      <c r="L2" s="5"/>
      <c r="M2" s="5"/>
      <c r="N2" s="5"/>
      <c r="O2" s="5"/>
      <c r="P2" s="5"/>
      <c r="Q2" s="5"/>
      <c r="R2" s="5"/>
      <c r="U2" s="4" t="str">
        <f>TableDate</f>
        <v>November 16, 2023</v>
      </c>
    </row>
    <row r="4" spans="1:23">
      <c r="A4" s="254" t="str">
        <f>TableGroup1</f>
        <v>Appendix B — 2024 Rate Calculations</v>
      </c>
      <c r="B4" s="6"/>
      <c r="C4" s="6"/>
      <c r="D4" s="6"/>
      <c r="E4" s="6"/>
      <c r="F4" s="6"/>
      <c r="G4" s="6"/>
      <c r="H4" s="6"/>
      <c r="I4" s="6"/>
      <c r="J4" s="6"/>
      <c r="K4" s="6"/>
      <c r="L4" s="6"/>
      <c r="M4" s="6"/>
      <c r="N4" s="6"/>
      <c r="O4" s="6"/>
      <c r="P4" s="6"/>
      <c r="Q4" s="6"/>
      <c r="R4" s="6"/>
      <c r="S4" s="6"/>
      <c r="T4" s="6"/>
      <c r="U4" s="6"/>
    </row>
    <row r="5" spans="1:23">
      <c r="A5" s="6" t="s">
        <v>17</v>
      </c>
      <c r="B5" s="6"/>
      <c r="C5" s="6"/>
      <c r="D5" s="6"/>
      <c r="E5" s="6"/>
      <c r="F5" s="6"/>
      <c r="G5" s="6"/>
      <c r="H5" s="6"/>
      <c r="I5" s="6"/>
      <c r="J5" s="6"/>
      <c r="K5" s="6"/>
      <c r="L5" s="6"/>
      <c r="M5" s="6"/>
      <c r="N5" s="6"/>
      <c r="O5" s="6"/>
      <c r="P5" s="6"/>
      <c r="Q5" s="6"/>
      <c r="R5" s="6"/>
      <c r="S5" s="6"/>
      <c r="T5" s="6"/>
      <c r="U5" s="6"/>
    </row>
    <row r="6" spans="1:23">
      <c r="I6" s="71"/>
    </row>
    <row r="7" spans="1:23" s="195" customFormat="1">
      <c r="I7" s="195" t="s">
        <v>35</v>
      </c>
      <c r="J7" s="195" t="s">
        <v>36</v>
      </c>
      <c r="K7" s="195" t="s">
        <v>37</v>
      </c>
      <c r="N7" s="195" t="s">
        <v>38</v>
      </c>
      <c r="O7" s="195" t="s">
        <v>119</v>
      </c>
      <c r="R7" s="195" t="s">
        <v>120</v>
      </c>
      <c r="S7" s="195" t="s">
        <v>121</v>
      </c>
      <c r="T7" s="195" t="s">
        <v>122</v>
      </c>
      <c r="U7" s="195" t="s">
        <v>123</v>
      </c>
    </row>
    <row r="8" spans="1:23" s="1" customFormat="1"/>
    <row r="10" spans="1:23" s="47" customFormat="1">
      <c r="F10" s="47" t="s">
        <v>322</v>
      </c>
      <c r="H10" s="125"/>
      <c r="I10" s="34" t="s">
        <v>323</v>
      </c>
      <c r="J10" s="34"/>
      <c r="K10" s="34"/>
      <c r="M10" s="125"/>
      <c r="N10" s="34" t="s">
        <v>324</v>
      </c>
      <c r="O10" s="34"/>
      <c r="Q10" s="125"/>
      <c r="R10" s="34" t="s">
        <v>204</v>
      </c>
      <c r="S10" s="34"/>
      <c r="T10" s="34"/>
      <c r="U10" s="34"/>
    </row>
    <row r="11" spans="1:23" s="36" customFormat="1" ht="12.75" customHeight="1">
      <c r="A11" s="35" t="s">
        <v>41</v>
      </c>
      <c r="C11" s="37" t="s">
        <v>42</v>
      </c>
      <c r="D11" s="37"/>
      <c r="F11" s="35" t="s">
        <v>249</v>
      </c>
      <c r="H11" s="78"/>
      <c r="I11" s="124" t="s">
        <v>298</v>
      </c>
      <c r="J11" s="138" t="s">
        <v>302</v>
      </c>
      <c r="K11" s="124" t="s">
        <v>251</v>
      </c>
      <c r="M11" s="78"/>
      <c r="N11" s="322" t="s">
        <v>325</v>
      </c>
      <c r="O11" s="322" t="s">
        <v>326</v>
      </c>
      <c r="Q11" s="78"/>
      <c r="R11" s="35" t="s">
        <v>298</v>
      </c>
      <c r="S11" s="35" t="s">
        <v>302</v>
      </c>
      <c r="T11" s="35" t="s">
        <v>251</v>
      </c>
      <c r="U11" s="35" t="s">
        <v>326</v>
      </c>
      <c r="V11" s="1"/>
      <c r="W11" s="2"/>
    </row>
    <row r="12" spans="1:23" ht="18.95" customHeight="1">
      <c r="A12" s="7">
        <v>1</v>
      </c>
      <c r="C12" s="2" t="s">
        <v>327</v>
      </c>
      <c r="D12" s="2"/>
      <c r="E12" s="16"/>
      <c r="F12" s="576"/>
      <c r="G12" s="16"/>
      <c r="H12" s="87"/>
      <c r="I12" s="28"/>
      <c r="J12" s="28"/>
      <c r="K12" s="28"/>
      <c r="L12" s="16"/>
      <c r="M12" s="87"/>
      <c r="N12" s="28"/>
      <c r="O12" s="126"/>
      <c r="P12" s="16"/>
      <c r="Q12" s="87"/>
      <c r="R12" s="108"/>
      <c r="S12" s="108"/>
      <c r="T12" s="108"/>
      <c r="U12" s="111"/>
      <c r="W12" s="305"/>
    </row>
    <row r="13" spans="1:23" s="19" customFormat="1">
      <c r="A13" s="18">
        <f t="shared" ref="A13:A32" si="0">A12+1</f>
        <v>2</v>
      </c>
      <c r="C13" t="s">
        <v>328</v>
      </c>
      <c r="E13" s="20"/>
      <c r="F13" s="55" t="s">
        <v>329</v>
      </c>
      <c r="G13" s="20"/>
      <c r="H13" s="90"/>
      <c r="I13" s="170">
        <f>'B-7 DTS Costs'!I14</f>
        <v>939.09817204933972</v>
      </c>
      <c r="J13" s="170">
        <f>SUM('B-7 DTS Costs'!I18:I21)</f>
        <v>74.45253471101293</v>
      </c>
      <c r="K13" s="170">
        <f>SUM(I13:J13)</f>
        <v>1013.5507067603527</v>
      </c>
      <c r="L13" s="20"/>
      <c r="M13" s="90"/>
      <c r="N13" s="62">
        <f>'B-12 Determinants'!F11</f>
        <v>92997.946893436529</v>
      </c>
      <c r="O13" s="107" t="str">
        <f>'B-12 Determinants'!G12</f>
        <v>MW-months</v>
      </c>
      <c r="P13" s="20"/>
      <c r="Q13" s="90"/>
      <c r="R13" s="109">
        <f>ROUND(I13*1000000/$N13,0)</f>
        <v>10098</v>
      </c>
      <c r="S13" s="109">
        <f>ROUND(J13*1000000/$N13,0)</f>
        <v>801</v>
      </c>
      <c r="T13" s="109">
        <f>ROUND(K13*1000000/N13,0)</f>
        <v>10899</v>
      </c>
      <c r="U13" s="110" t="s">
        <v>330</v>
      </c>
      <c r="W13" s="305"/>
    </row>
    <row r="14" spans="1:23" s="24" customFormat="1" ht="13.7" customHeight="1">
      <c r="A14" s="23">
        <f t="shared" si="0"/>
        <v>3</v>
      </c>
      <c r="C14" s="9" t="s">
        <v>331</v>
      </c>
      <c r="E14" s="114"/>
      <c r="F14" s="57" t="s">
        <v>329</v>
      </c>
      <c r="G14" s="114"/>
      <c r="H14" s="115"/>
      <c r="I14" s="116">
        <f>'B-7 DTS Costs'!O14</f>
        <v>65.861968738104778</v>
      </c>
      <c r="J14" s="116">
        <f>SUM('B-7 DTS Costs'!O18:O21)*I14/SUM(I14,I17)</f>
        <v>5.2215952065038858</v>
      </c>
      <c r="K14" s="116">
        <f>SUM(I14:J14)</f>
        <v>71.08356394460867</v>
      </c>
      <c r="L14" s="114"/>
      <c r="M14" s="115"/>
      <c r="N14" s="117">
        <f>'B-12 Determinants'!F18</f>
        <v>58383.461870000021</v>
      </c>
      <c r="O14" s="118" t="str">
        <f>'B-12 Determinants'!G18</f>
        <v>GWh</v>
      </c>
      <c r="P14" s="114"/>
      <c r="Q14" s="115"/>
      <c r="R14" s="332">
        <f>ROUND(I14*1000/$N14,2)</f>
        <v>1.1299999999999999</v>
      </c>
      <c r="S14" s="332">
        <f>ROUND(J14*1000/$N14,2)</f>
        <v>0.09</v>
      </c>
      <c r="T14" s="332">
        <f>ROUND(K14*1000/N14,2)</f>
        <v>1.22</v>
      </c>
      <c r="U14" s="110" t="s">
        <v>332</v>
      </c>
      <c r="W14" s="305"/>
    </row>
    <row r="15" spans="1:23" ht="13.7" customHeight="1">
      <c r="A15" s="7">
        <f t="shared" si="0"/>
        <v>4</v>
      </c>
      <c r="C15" s="2" t="s">
        <v>333</v>
      </c>
      <c r="D15" s="2"/>
      <c r="E15" s="16"/>
      <c r="F15" s="58"/>
      <c r="G15" s="16"/>
      <c r="H15" s="87"/>
      <c r="I15" s="28"/>
      <c r="J15" s="28"/>
      <c r="K15" s="28"/>
      <c r="L15" s="16"/>
      <c r="M15" s="87"/>
      <c r="N15" s="28"/>
      <c r="O15" s="126"/>
      <c r="P15" s="16"/>
      <c r="Q15" s="87"/>
      <c r="R15" s="108"/>
      <c r="S15" s="108"/>
      <c r="T15" s="108"/>
      <c r="U15" s="111"/>
      <c r="W15" s="305"/>
    </row>
    <row r="16" spans="1:23" s="19" customFormat="1">
      <c r="A16" s="18">
        <f t="shared" si="0"/>
        <v>5</v>
      </c>
      <c r="C16" t="s">
        <v>334</v>
      </c>
      <c r="E16" s="20"/>
      <c r="F16" s="55" t="s">
        <v>335</v>
      </c>
      <c r="G16" s="20"/>
      <c r="H16" s="90"/>
      <c r="I16" s="106">
        <f>'B-7 DTS Costs'!L15</f>
        <v>427.96683547447168</v>
      </c>
      <c r="J16" s="106">
        <f>SUM('B-7 DTS Costs'!L18:L21)*I16/SUM(I16,I20:I23)</f>
        <v>33.929589708168848</v>
      </c>
      <c r="K16" s="106">
        <f>SUM(I16:J16)</f>
        <v>461.89642518264054</v>
      </c>
      <c r="L16" s="20"/>
      <c r="M16" s="90"/>
      <c r="N16" s="62">
        <f>'B-12 Determinants'!F12</f>
        <v>162554.17326330891</v>
      </c>
      <c r="O16" s="107" t="str">
        <f>'B-12 Determinants'!G17</f>
        <v>MW-months</v>
      </c>
      <c r="P16" s="20"/>
      <c r="Q16" s="90"/>
      <c r="R16" s="332">
        <f>ROUND(I16*1000000/$N16,0)</f>
        <v>2633</v>
      </c>
      <c r="S16" s="332">
        <f>ROUND(J16*1000000/$N16,0)</f>
        <v>209</v>
      </c>
      <c r="T16" s="332">
        <f>ROUND(K16*1000000/N16,0)</f>
        <v>2841</v>
      </c>
      <c r="U16" s="110" t="s">
        <v>330</v>
      </c>
      <c r="W16" s="305"/>
    </row>
    <row r="17" spans="1:25" s="24" customFormat="1" ht="18.95" customHeight="1">
      <c r="A17" s="23">
        <f t="shared" si="0"/>
        <v>6</v>
      </c>
      <c r="C17" s="9" t="s">
        <v>331</v>
      </c>
      <c r="E17" s="114"/>
      <c r="F17" s="57" t="s">
        <v>335</v>
      </c>
      <c r="G17" s="114"/>
      <c r="H17" s="115"/>
      <c r="I17" s="116">
        <f>'B-7 DTS Costs'!O15</f>
        <v>49.975524534775651</v>
      </c>
      <c r="J17" s="116">
        <f>SUM('B-7 DTS Costs'!O18:O21)*I17/SUM(I14,I17)</f>
        <v>3.9621038416108996</v>
      </c>
      <c r="K17" s="116">
        <f>SUM(I17:J17)</f>
        <v>53.937628376386549</v>
      </c>
      <c r="L17" s="114"/>
      <c r="M17" s="115"/>
      <c r="N17" s="117">
        <f>'B-12 Determinants'!F18</f>
        <v>58383.461870000021</v>
      </c>
      <c r="O17" s="118" t="str">
        <f>'B-12 Determinants'!G18</f>
        <v>GWh</v>
      </c>
      <c r="P17" s="114"/>
      <c r="Q17" s="115"/>
      <c r="R17" s="332">
        <f>ROUND(I17*1000/$N17,2)</f>
        <v>0.86</v>
      </c>
      <c r="S17" s="332">
        <f>ROUND(J17*1000/$N17,2)</f>
        <v>7.0000000000000007E-2</v>
      </c>
      <c r="T17" s="332">
        <f>ROUND(K17*1000/N17,2)</f>
        <v>0.92</v>
      </c>
      <c r="U17" s="110" t="s">
        <v>332</v>
      </c>
    </row>
    <row r="18" spans="1:25" ht="18.95" customHeight="1">
      <c r="A18" s="7">
        <f t="shared" si="0"/>
        <v>7</v>
      </c>
      <c r="C18" s="2" t="s">
        <v>336</v>
      </c>
      <c r="D18" s="2"/>
      <c r="E18" s="16"/>
      <c r="F18" s="58"/>
      <c r="G18" s="16"/>
      <c r="H18" s="87"/>
      <c r="I18" s="113"/>
      <c r="J18" s="113"/>
      <c r="K18" s="113"/>
      <c r="L18" s="16"/>
      <c r="M18" s="87"/>
      <c r="N18" s="28"/>
      <c r="O18" s="126"/>
      <c r="P18" s="16"/>
      <c r="Q18" s="87"/>
      <c r="R18" s="331"/>
      <c r="S18" s="331"/>
      <c r="T18" s="338"/>
      <c r="U18" s="111"/>
      <c r="V18" s="1" t="s">
        <v>337</v>
      </c>
      <c r="W18" s="2"/>
    </row>
    <row r="19" spans="1:25" s="24" customFormat="1" ht="13.7" customHeight="1">
      <c r="A19" s="23">
        <f>A18+1</f>
        <v>8</v>
      </c>
      <c r="C19" s="9" t="s">
        <v>338</v>
      </c>
      <c r="E19" s="114"/>
      <c r="F19" s="57" t="s">
        <v>339</v>
      </c>
      <c r="G19" s="114"/>
      <c r="H19" s="115"/>
      <c r="I19" s="116">
        <f>('B-7 DTS Costs'!X16-'B-7 DTS Costs'!O16)*'B-6 POD Classification'!I19</f>
        <v>73.244626621871589</v>
      </c>
      <c r="J19" s="116">
        <f>SUM('B-7 DTS Costs'!U18:U21)</f>
        <v>5.8068988613403132</v>
      </c>
      <c r="K19" s="116">
        <f>SUM(I19:J19)</f>
        <v>79.051525483211904</v>
      </c>
      <c r="L19" s="114"/>
      <c r="M19" s="115"/>
      <c r="N19" s="24">
        <f>'B-12 Determinants'!F19</f>
        <v>5399.2447429544081</v>
      </c>
      <c r="O19" s="127" t="str">
        <f>'B-12 Determinants'!G19</f>
        <v>customer-months</v>
      </c>
      <c r="P19" s="16"/>
      <c r="Q19" s="87"/>
      <c r="R19" s="344">
        <f>ROUND(I19*1000000/$N19,0)</f>
        <v>13566</v>
      </c>
      <c r="S19" s="332">
        <f>ROUND(J19*1000000/$N19,0)</f>
        <v>1076</v>
      </c>
      <c r="T19" s="332">
        <f>ROUND(K19*1000000/N19,0)</f>
        <v>14641</v>
      </c>
      <c r="U19" s="110" t="s">
        <v>340</v>
      </c>
      <c r="V19" s="344">
        <f>MROUND(0.79*T19,1)</f>
        <v>11566</v>
      </c>
      <c r="W19" s="202"/>
    </row>
    <row r="20" spans="1:25" s="19" customFormat="1">
      <c r="A20" s="18">
        <f>A19+1</f>
        <v>9</v>
      </c>
      <c r="C20" t="s">
        <v>341</v>
      </c>
      <c r="E20" s="20"/>
      <c r="F20" s="55" t="s">
        <v>339</v>
      </c>
      <c r="G20" s="20"/>
      <c r="H20" s="90"/>
      <c r="I20" s="106">
        <f>('B-7 DTS Costs'!X16-'B-7 DTS Costs'!O16)*'B-6 POD Classification'!L19</f>
        <v>165.24882589078234</v>
      </c>
      <c r="J20" s="106">
        <f>SUM('B-7 DTS Costs'!L18:L21)*I20/SUM(I16,I20:I23)</f>
        <v>13.10107325492824</v>
      </c>
      <c r="K20" s="106">
        <f>SUM(I20:J20)</f>
        <v>178.34989914571059</v>
      </c>
      <c r="L20" s="20"/>
      <c r="M20" s="90"/>
      <c r="N20" s="19">
        <f>'B-12 Determinants'!F13</f>
        <v>37012.580966429217</v>
      </c>
      <c r="O20" s="48" t="str">
        <f>'B-12 Determinants'!G13</f>
        <v>MW-months</v>
      </c>
      <c r="P20" s="20"/>
      <c r="Q20" s="90"/>
      <c r="R20" s="332">
        <f t="shared" ref="R20:S23" si="1">ROUND(I20*1000000/$N20,0)</f>
        <v>4465</v>
      </c>
      <c r="S20" s="332">
        <f t="shared" si="1"/>
        <v>354</v>
      </c>
      <c r="T20" s="332">
        <f>ROUND(K20*1000000/N20,0)</f>
        <v>4819</v>
      </c>
      <c r="U20" s="112" t="s">
        <v>330</v>
      </c>
      <c r="V20" s="344">
        <f>MROUND(0.79*T20,1)</f>
        <v>3807</v>
      </c>
      <c r="W20" s="202"/>
      <c r="X20" s="24"/>
      <c r="Y20" s="24"/>
    </row>
    <row r="21" spans="1:25" s="19" customFormat="1">
      <c r="A21" s="18">
        <f t="shared" si="0"/>
        <v>10</v>
      </c>
      <c r="C21" s="9" t="s">
        <v>342</v>
      </c>
      <c r="E21" s="20"/>
      <c r="F21" s="55" t="s">
        <v>339</v>
      </c>
      <c r="G21" s="20"/>
      <c r="H21" s="90"/>
      <c r="I21" s="106">
        <f>('B-7 DTS Costs'!X16-'B-7 DTS Costs'!O16)*'B-6 POD Classification'!N19</f>
        <v>93.363075262021468</v>
      </c>
      <c r="J21" s="106">
        <f>SUM('B-7 DTS Costs'!L18:L21)*I21/SUM(I16,I20:I23)</f>
        <v>7.4019072856925519</v>
      </c>
      <c r="K21" s="106">
        <f>SUM(I21:J21)</f>
        <v>100.76498254771403</v>
      </c>
      <c r="L21" s="20"/>
      <c r="M21" s="90"/>
      <c r="N21" s="19">
        <f>'B-12 Determinants'!F14</f>
        <v>35260.890947382941</v>
      </c>
      <c r="O21" s="48" t="str">
        <f>'B-12 Determinants'!G14</f>
        <v>MW-months</v>
      </c>
      <c r="P21" s="20"/>
      <c r="Q21" s="90"/>
      <c r="R21" s="332">
        <f t="shared" si="1"/>
        <v>2648</v>
      </c>
      <c r="S21" s="332">
        <f t="shared" si="1"/>
        <v>210</v>
      </c>
      <c r="T21" s="332">
        <f>ROUND(K21*1000000/N21,0)</f>
        <v>2858</v>
      </c>
      <c r="U21" s="112" t="s">
        <v>330</v>
      </c>
      <c r="V21" s="344">
        <f>MROUND(0.79*T21,1)</f>
        <v>2258</v>
      </c>
      <c r="W21" s="202"/>
      <c r="X21" s="24"/>
      <c r="Y21" s="24"/>
    </row>
    <row r="22" spans="1:25" s="19" customFormat="1">
      <c r="A22" s="18">
        <f t="shared" si="0"/>
        <v>11</v>
      </c>
      <c r="C22" s="9" t="s">
        <v>343</v>
      </c>
      <c r="E22" s="20"/>
      <c r="F22" s="55" t="s">
        <v>339</v>
      </c>
      <c r="G22" s="20"/>
      <c r="H22" s="90"/>
      <c r="I22" s="106">
        <f>('B-7 DTS Costs'!X16-'B-7 DTS Costs'!O16)*'B-6 POD Classification'!P19</f>
        <v>80.206191689569863</v>
      </c>
      <c r="J22" s="106">
        <f>SUM('B-7 DTS Costs'!L18:L21)*I22/SUM(I16,I20:I23)</f>
        <v>6.358817904814444</v>
      </c>
      <c r="K22" s="106">
        <f>SUM(I22:J22)</f>
        <v>86.565009594384307</v>
      </c>
      <c r="L22" s="20"/>
      <c r="M22" s="90"/>
      <c r="N22" s="19">
        <f>'B-12 Determinants'!F15</f>
        <v>45248.475050063505</v>
      </c>
      <c r="O22" s="48" t="str">
        <f>'B-12 Determinants'!G15</f>
        <v>MW-months</v>
      </c>
      <c r="P22" s="20"/>
      <c r="Q22" s="90"/>
      <c r="R22" s="332">
        <f t="shared" si="1"/>
        <v>1773</v>
      </c>
      <c r="S22" s="332">
        <f t="shared" si="1"/>
        <v>141</v>
      </c>
      <c r="T22" s="332">
        <f>ROUND(K22*1000000/N22,0)</f>
        <v>1913</v>
      </c>
      <c r="U22" s="112" t="s">
        <v>330</v>
      </c>
      <c r="V22" s="344">
        <f>MROUND(0.79*T22,1)</f>
        <v>1511</v>
      </c>
      <c r="W22" s="202"/>
      <c r="X22" s="24"/>
      <c r="Y22" s="24"/>
    </row>
    <row r="23" spans="1:25" s="19" customFormat="1">
      <c r="A23" s="18">
        <f t="shared" si="0"/>
        <v>12</v>
      </c>
      <c r="C23" s="9" t="s">
        <v>344</v>
      </c>
      <c r="E23" s="20"/>
      <c r="F23" s="55" t="s">
        <v>339</v>
      </c>
      <c r="G23" s="20"/>
      <c r="H23" s="90"/>
      <c r="I23" s="106">
        <f>('B-7 DTS Costs'!X16-'B-7 DTS Costs'!O16)*'B-6 POD Classification'!R19</f>
        <v>49.140957516005429</v>
      </c>
      <c r="J23" s="106">
        <f>SUM('B-7 DTS Costs'!L18:L21)*I23/SUM(I16,I20:I23)</f>
        <v>3.8959386293008151</v>
      </c>
      <c r="K23" s="106">
        <f>SUM(I23:J23)</f>
        <v>53.036896145306244</v>
      </c>
      <c r="L23" s="20"/>
      <c r="M23" s="90"/>
      <c r="N23" s="19">
        <f>'B-12 Determinants'!F16</f>
        <v>45032.22629943322</v>
      </c>
      <c r="O23" s="48" t="str">
        <f>'B-12 Determinants'!G16</f>
        <v>MW-months</v>
      </c>
      <c r="P23" s="20"/>
      <c r="Q23" s="90"/>
      <c r="R23" s="332">
        <f t="shared" si="1"/>
        <v>1091</v>
      </c>
      <c r="S23" s="332">
        <f t="shared" si="1"/>
        <v>87</v>
      </c>
      <c r="T23" s="332">
        <f>ROUND(K23*1000000/N23,0)</f>
        <v>1178</v>
      </c>
      <c r="U23" s="112" t="s">
        <v>330</v>
      </c>
      <c r="V23" s="344">
        <f>T23</f>
        <v>1178</v>
      </c>
      <c r="W23" s="202"/>
      <c r="X23" s="24"/>
      <c r="Y23" s="24"/>
    </row>
    <row r="24" spans="1:25" ht="18.95" customHeight="1">
      <c r="A24" s="7">
        <f>A23+1</f>
        <v>13</v>
      </c>
      <c r="C24" s="2" t="s">
        <v>308</v>
      </c>
      <c r="D24" s="2"/>
      <c r="E24" s="16"/>
      <c r="F24" s="58"/>
      <c r="G24" s="16"/>
      <c r="H24" s="87"/>
      <c r="I24" s="63"/>
      <c r="J24" s="63"/>
      <c r="K24" s="63"/>
      <c r="L24" s="16"/>
      <c r="M24" s="87"/>
      <c r="N24" s="28"/>
      <c r="O24" s="126"/>
      <c r="P24" s="16"/>
      <c r="Q24" s="87"/>
      <c r="R24" s="108"/>
      <c r="S24" s="108"/>
      <c r="T24" s="108"/>
      <c r="U24" s="111"/>
    </row>
    <row r="25" spans="1:25" s="9" customFormat="1" ht="18.95" customHeight="1">
      <c r="A25" s="8">
        <f t="shared" si="0"/>
        <v>14</v>
      </c>
      <c r="C25" s="9" t="s">
        <v>345</v>
      </c>
      <c r="E25" s="119"/>
      <c r="F25" s="326" t="s">
        <v>304</v>
      </c>
      <c r="G25" s="342"/>
      <c r="H25" s="120"/>
      <c r="I25" s="552">
        <f>'B-7 DTS Costs'!R27</f>
        <v>349.77946299999996</v>
      </c>
      <c r="J25" s="552">
        <v>0</v>
      </c>
      <c r="K25" s="552">
        <f>SUM(I25:J25)</f>
        <v>349.77946299999996</v>
      </c>
      <c r="L25" s="119"/>
      <c r="M25" s="120"/>
      <c r="N25" s="122">
        <f>'B-12 Determinants'!F18</f>
        <v>58383.461870000021</v>
      </c>
      <c r="O25" s="127" t="str">
        <f>'B-12 Determinants'!G18</f>
        <v>GWh</v>
      </c>
      <c r="P25" s="119"/>
      <c r="Q25" s="120"/>
      <c r="R25" s="553">
        <f>ROUND(I25*1000/(N25*'B-12 Determinants'!$F20),4)</f>
        <v>7.1800000000000003E-2</v>
      </c>
      <c r="S25" s="553">
        <f>ROUND(J25*1000/('B-12 Determinants'!$F18*'B-12 Determinants'!$F20),4)</f>
        <v>0</v>
      </c>
      <c r="T25" s="553">
        <f>ROUND(K25*1000/('B-12 Determinants'!F18*'B-12 Determinants'!F20),4)</f>
        <v>7.1800000000000003E-2</v>
      </c>
      <c r="U25" s="137" t="s">
        <v>346</v>
      </c>
    </row>
    <row r="26" spans="1:25" s="9" customFormat="1" ht="18.95" customHeight="1">
      <c r="A26" s="8">
        <f t="shared" si="0"/>
        <v>15</v>
      </c>
      <c r="C26" s="12" t="s">
        <v>347</v>
      </c>
      <c r="E26" s="119"/>
      <c r="F26" s="326"/>
      <c r="G26" s="119"/>
      <c r="H26" s="120"/>
      <c r="I26" s="121"/>
      <c r="J26" s="121"/>
      <c r="K26" s="121"/>
      <c r="L26" s="119"/>
      <c r="M26" s="120"/>
      <c r="N26" s="122"/>
      <c r="O26" s="127"/>
      <c r="P26" s="119"/>
      <c r="Q26" s="120"/>
      <c r="R26" s="325"/>
      <c r="S26" s="325"/>
      <c r="T26" s="325"/>
      <c r="U26" s="137"/>
    </row>
    <row r="27" spans="1:25" s="9" customFormat="1" ht="18.95" customHeight="1">
      <c r="A27" s="8">
        <f t="shared" si="0"/>
        <v>16</v>
      </c>
      <c r="C27" s="9" t="s">
        <v>348</v>
      </c>
      <c r="E27" s="119"/>
      <c r="F27" s="326" t="s">
        <v>349</v>
      </c>
      <c r="G27" s="119"/>
      <c r="H27" s="120"/>
      <c r="I27" s="121">
        <f>'B-7 DTS Costs'!R28</f>
        <v>4</v>
      </c>
      <c r="J27" s="121">
        <v>0</v>
      </c>
      <c r="K27" s="121">
        <f>SUM(I27:J27)</f>
        <v>4</v>
      </c>
      <c r="L27" s="119"/>
      <c r="M27" s="120"/>
      <c r="N27" s="122">
        <f>'B-12 Determinants'!F18</f>
        <v>58383.461870000021</v>
      </c>
      <c r="O27" s="127" t="str">
        <f>'B-12 Determinants'!G18</f>
        <v>GWh</v>
      </c>
      <c r="P27" s="119"/>
      <c r="Q27" s="120"/>
      <c r="R27" s="418">
        <f>ROUND(I27*1000/$N27,3)</f>
        <v>6.9000000000000006E-2</v>
      </c>
      <c r="S27" s="332">
        <f>ROUND(J27*1000/$N27,2)</f>
        <v>0</v>
      </c>
      <c r="T27" s="418">
        <f>ROUND(K27*1000/N27,3)</f>
        <v>6.9000000000000006E-2</v>
      </c>
      <c r="U27" s="110" t="s">
        <v>332</v>
      </c>
    </row>
    <row r="28" spans="1:25" ht="18.95" customHeight="1">
      <c r="A28" s="8">
        <f t="shared" si="0"/>
        <v>17</v>
      </c>
      <c r="C28" s="2" t="s">
        <v>350</v>
      </c>
      <c r="D28" s="2"/>
      <c r="E28" s="16"/>
      <c r="F28" s="337"/>
      <c r="G28" s="16"/>
      <c r="H28" s="87"/>
      <c r="I28" s="113"/>
      <c r="J28" s="113"/>
      <c r="K28" s="113"/>
      <c r="L28" s="16"/>
      <c r="M28" s="87"/>
      <c r="N28" s="28"/>
      <c r="O28" s="126"/>
      <c r="P28" s="16"/>
      <c r="Q28" s="87"/>
      <c r="R28" s="108"/>
      <c r="S28" s="332"/>
      <c r="T28" s="332"/>
      <c r="U28" s="111"/>
    </row>
    <row r="29" spans="1:25" s="24" customFormat="1" ht="18.95" customHeight="1">
      <c r="A29" s="8">
        <f t="shared" si="0"/>
        <v>18</v>
      </c>
      <c r="C29" s="9" t="s">
        <v>331</v>
      </c>
      <c r="E29" s="114"/>
      <c r="F29" s="326" t="s">
        <v>351</v>
      </c>
      <c r="G29" s="114"/>
      <c r="H29" s="115"/>
      <c r="I29" s="116">
        <f>'B-7 DTS Costs'!O29</f>
        <v>3.7</v>
      </c>
      <c r="J29" s="116">
        <v>0</v>
      </c>
      <c r="K29" s="116">
        <f>SUM(I29:J29)</f>
        <v>3.7</v>
      </c>
      <c r="L29" s="114"/>
      <c r="M29" s="115"/>
      <c r="N29" s="117">
        <f>'B-12 Determinants'!F18</f>
        <v>58383.461870000021</v>
      </c>
      <c r="O29" s="118" t="str">
        <f>'B-12 Determinants'!G18</f>
        <v>GWh</v>
      </c>
      <c r="P29" s="114"/>
      <c r="Q29" s="115"/>
      <c r="R29" s="332">
        <f>ROUND(I29*1000/$N29,2)</f>
        <v>0.06</v>
      </c>
      <c r="S29" s="332">
        <f>ROUND(J29*1000/$N29,2)</f>
        <v>0</v>
      </c>
      <c r="T29" s="418">
        <f>ROUND(K29*1000/N29,2)</f>
        <v>0.06</v>
      </c>
      <c r="U29" s="110" t="s">
        <v>332</v>
      </c>
    </row>
    <row r="30" spans="1:25" ht="18.95" customHeight="1">
      <c r="A30" s="7">
        <f t="shared" si="0"/>
        <v>19</v>
      </c>
      <c r="C30" s="2" t="s">
        <v>317</v>
      </c>
      <c r="D30" s="2"/>
      <c r="E30" s="16"/>
      <c r="F30" s="58"/>
      <c r="G30" s="16"/>
      <c r="H30" s="87"/>
      <c r="I30" s="63"/>
      <c r="J30" s="63"/>
      <c r="K30" s="63"/>
      <c r="L30" s="16"/>
      <c r="M30" s="87"/>
      <c r="N30" s="28"/>
      <c r="O30" s="126"/>
      <c r="P30" s="16"/>
      <c r="Q30" s="87"/>
      <c r="R30" s="331"/>
      <c r="S30" s="331"/>
      <c r="T30" s="331"/>
      <c r="U30" s="111"/>
    </row>
    <row r="31" spans="1:25" s="24" customFormat="1" ht="18.95" customHeight="1">
      <c r="A31" s="8">
        <f t="shared" si="0"/>
        <v>20</v>
      </c>
      <c r="C31" s="9" t="s">
        <v>352</v>
      </c>
      <c r="E31" s="114"/>
      <c r="F31" s="326" t="s">
        <v>353</v>
      </c>
      <c r="G31" s="114"/>
      <c r="H31" s="115"/>
      <c r="I31" s="473">
        <f>'B-7 DTS Costs'!L33</f>
        <v>6.3850170000000004</v>
      </c>
      <c r="J31" s="473">
        <v>0</v>
      </c>
      <c r="K31" s="473">
        <f>SUM(I31:J31)</f>
        <v>6.3850170000000004</v>
      </c>
      <c r="L31" s="114"/>
      <c r="M31" s="115"/>
      <c r="N31" s="550">
        <f>'B-12 Determinants'!F17</f>
        <v>123610.87765083477</v>
      </c>
      <c r="O31" s="551" t="str">
        <f>'B-12 Determinants'!G13</f>
        <v>MW-months</v>
      </c>
      <c r="P31" s="114"/>
      <c r="Q31" s="115"/>
      <c r="R31" s="332">
        <f>ROUND(I31*1000000/$N31,0)</f>
        <v>52</v>
      </c>
      <c r="S31" s="332">
        <f>ROUND(J31*1000000/$N31,0)</f>
        <v>0</v>
      </c>
      <c r="T31" s="332">
        <f>ROUND(K31*1000000/N31,0)</f>
        <v>52</v>
      </c>
      <c r="U31" s="110" t="s">
        <v>330</v>
      </c>
    </row>
    <row r="32" spans="1:25" ht="19.350000000000001" customHeight="1">
      <c r="A32" s="7">
        <f t="shared" si="0"/>
        <v>21</v>
      </c>
      <c r="C32" s="2" t="s">
        <v>354</v>
      </c>
      <c r="D32" s="2"/>
      <c r="E32" s="21"/>
      <c r="F32" s="92"/>
      <c r="G32" s="21"/>
      <c r="H32" s="94"/>
      <c r="I32" s="364">
        <f>SUM(I12:I31)</f>
        <v>2307.9706577769425</v>
      </c>
      <c r="J32" s="364">
        <f>SUM(J12:J31)</f>
        <v>154.13045940337292</v>
      </c>
      <c r="K32" s="364">
        <f>SUM(K12:K31)</f>
        <v>2462.1011171803152</v>
      </c>
      <c r="L32" s="21"/>
      <c r="M32" s="94"/>
      <c r="N32" s="84"/>
      <c r="O32" s="128"/>
      <c r="P32" s="21"/>
      <c r="Q32" s="94"/>
      <c r="R32" s="84"/>
      <c r="S32" s="84"/>
      <c r="T32" s="84"/>
      <c r="U32" s="128"/>
    </row>
    <row r="33" spans="1:21" ht="12.75" customHeight="1">
      <c r="A33" s="7"/>
      <c r="C33" s="2"/>
      <c r="D33" s="2"/>
      <c r="E33" s="21"/>
      <c r="F33" s="92"/>
      <c r="G33" s="21"/>
      <c r="H33" s="93"/>
      <c r="I33" s="84"/>
      <c r="J33" s="84"/>
      <c r="K33" s="84"/>
      <c r="L33" s="21"/>
      <c r="M33" s="93"/>
      <c r="N33" s="84"/>
      <c r="O33" s="84"/>
      <c r="P33" s="21"/>
      <c r="Q33" s="93"/>
      <c r="R33" s="84"/>
      <c r="S33" s="84"/>
      <c r="T33" s="84"/>
      <c r="U33" s="84"/>
    </row>
    <row r="34" spans="1:21">
      <c r="A34" s="43" t="s">
        <v>174</v>
      </c>
      <c r="C34" s="133" t="s">
        <v>277</v>
      </c>
      <c r="D34" t="s">
        <v>355</v>
      </c>
      <c r="F34" s="44"/>
      <c r="I34" s="44"/>
      <c r="J34" s="44"/>
      <c r="K34" s="44"/>
      <c r="N34" s="44"/>
      <c r="O34" s="44"/>
      <c r="U34" s="44"/>
    </row>
    <row r="35" spans="1:21">
      <c r="D35" t="s">
        <v>356</v>
      </c>
    </row>
    <row r="36" spans="1:21">
      <c r="C36" s="133" t="s">
        <v>280</v>
      </c>
      <c r="D36" s="345" t="str">
        <f>"The 2024 ISO Tariff pool price is the 2024 BDP forecast pool price for 2024,  "&amp;DOLLAR('B-12 Determinants'!$J$20,2)&amp;"/MWh"</f>
        <v>The 2024 ISO Tariff pool price is the 2024 BDP forecast pool price for 2024,  $83.42/MWh</v>
      </c>
    </row>
    <row r="37" spans="1:21">
      <c r="C37" s="71"/>
    </row>
  </sheetData>
  <phoneticPr fontId="14"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F9FDBA231E8EE4E8E39B822B6288B86" ma:contentTypeVersion="0" ma:contentTypeDescription="Create a new document." ma:contentTypeScope="" ma:versionID="089f496be4b8b2b16ccc72c71a7387a2">
  <xsd:schema xmlns:xsd="http://www.w3.org/2001/XMLSchema" xmlns:xs="http://www.w3.org/2001/XMLSchema" xmlns:p="http://schemas.microsoft.com/office/2006/metadata/properties" targetNamespace="http://schemas.microsoft.com/office/2006/metadata/properties" ma:root="true" ma:fieldsID="2afd6f794ee9bdb1675d21eda22d2f3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31350-0396-489C-8E2D-194397830CD2}">
  <ds:schemaRefs>
    <ds:schemaRef ds:uri="http://schemas.microsoft.com/sharepoint/events"/>
  </ds:schemaRefs>
</ds:datastoreItem>
</file>

<file path=customXml/itemProps2.xml><?xml version="1.0" encoding="utf-8"?>
<ds:datastoreItem xmlns:ds="http://schemas.openxmlformats.org/officeDocument/2006/customXml" ds:itemID="{65D4656F-8786-4F5E-89F8-A4DBD6475009}">
  <ds:schemaRefs>
    <ds:schemaRef ds:uri="http://schemas.microsoft.com/sharepoint/v3/contenttype/forms"/>
  </ds:schemaRefs>
</ds:datastoreItem>
</file>

<file path=customXml/itemProps3.xml><?xml version="1.0" encoding="utf-8"?>
<ds:datastoreItem xmlns:ds="http://schemas.openxmlformats.org/officeDocument/2006/customXml" ds:itemID="{60657BEE-60F4-4BF0-A3E6-D5A17E1A621E}">
  <ds:schemaRefs>
    <ds:schemaRef ds:uri="http://www.w3.org/XML/1998/namespace"/>
    <ds:schemaRef ds:uri="f6fe1e25-11e1-4e26-9b89-bdb29b4c4011"/>
    <ds:schemaRef ds:uri="http://purl.org/dc/elements/1.1/"/>
    <ds:schemaRef ds:uri="http://schemas.microsoft.com/office/2006/documentManagement/types"/>
    <ds:schemaRef ds:uri="38d0fe5b-0f48-419e-8584-f6021dd4db26"/>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78D908E4-3B42-4560-8BC1-4A96012EE81B}"/>
</file>

<file path=docMetadata/LabelInfo.xml><?xml version="1.0" encoding="utf-8"?>
<clbl:labelList xmlns:clbl="http://schemas.microsoft.com/office/2020/mipLabelMetadata">
  <clbl:label id="{51a5a3c7-ba38-4976-a2eb-9e02a5c891be}" enabled="1" method="Privileged" siteId="{9869aa0d-ebba-4f8c-9399-7dff7665b1d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B-1 Rev Req</vt:lpstr>
      <vt:lpstr>B-2 TFO Rev Req</vt:lpstr>
      <vt:lpstr>B-3 Allocation</vt:lpstr>
      <vt:lpstr>B-4 Offsets</vt:lpstr>
      <vt:lpstr>B-5 DTS Classification</vt:lpstr>
      <vt:lpstr>B-6 POD Classification</vt:lpstr>
      <vt:lpstr>B-7 DTS Costs</vt:lpstr>
      <vt:lpstr>B-8 DTS Rate</vt:lpstr>
      <vt:lpstr>B-9 STS Classification</vt:lpstr>
      <vt:lpstr>B-10 STS Rate</vt:lpstr>
      <vt:lpstr>B-11 Other Rates</vt:lpstr>
      <vt:lpstr>B-12 Determinants</vt:lpstr>
      <vt:lpstr>B-13 Impact</vt:lpstr>
      <vt:lpstr>B-14 FTS Rate</vt:lpstr>
      <vt:lpstr>B-15 FTS Determinants</vt:lpstr>
      <vt:lpstr>B-16 Bill Estimator</vt:lpstr>
      <vt:lpstr>'B-1 Rev Req'!Print_Area</vt:lpstr>
      <vt:lpstr>'B-10 STS Rate'!Print_Area</vt:lpstr>
      <vt:lpstr>'B-11 Other Rates'!Print_Area</vt:lpstr>
      <vt:lpstr>'B-12 Determinants'!Print_Area</vt:lpstr>
      <vt:lpstr>'B-13 Impact'!Print_Area</vt:lpstr>
      <vt:lpstr>'B-14 FTS Rate'!Print_Area</vt:lpstr>
      <vt:lpstr>'B-15 FTS Determinants'!Print_Area</vt:lpstr>
      <vt:lpstr>'B-16 Bill Estimator'!Print_Area</vt:lpstr>
      <vt:lpstr>'B-2 TFO Rev Req'!Print_Area</vt:lpstr>
      <vt:lpstr>'B-3 Allocation'!Print_Area</vt:lpstr>
      <vt:lpstr>'B-4 Offsets'!Print_Area</vt:lpstr>
      <vt:lpstr>'B-5 DTS Classification'!Print_Area</vt:lpstr>
      <vt:lpstr>'B-6 POD Classification'!Print_Area</vt:lpstr>
      <vt:lpstr>'B-7 DTS Costs'!Print_Area</vt:lpstr>
      <vt:lpstr>'B-8 DTS Rate'!Print_Area</vt:lpstr>
      <vt:lpstr>'B-9 STS Classification'!Print_Area</vt:lpstr>
      <vt:lpstr>Contents!Print_Area</vt:lpstr>
      <vt:lpstr>'B-1 Rev Req'!Print_Titles</vt:lpstr>
      <vt:lpstr>'B-16 Bill Estimator'!Print_Titles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2022-11-14T18:10:34Z</dcterms:created>
  <dcterms:modified xsi:type="dcterms:W3CDTF">2023-12-01T01:14:54Z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Description">
    <vt:lpwstr>Appendix B - 2024 Rate Calculations</vt:lpwstr>
  </property>
  <property fmtid="{D5CDD505-2E9C-101B-9397-08002B2CF9AE}" pid="3" name="ProceedingStatus">
    <vt:lpwstr>1341;#Active|898b100d-994d-40ab-964e-65d12fdd6881</vt:lpwstr>
  </property>
  <property fmtid="{D5CDD505-2E9C-101B-9397-08002B2CF9AE}" pid="4" name="EntityType">
    <vt:lpwstr>Application</vt:lpwstr>
  </property>
  <property fmtid="{D5CDD505-2E9C-101B-9397-08002B2CF9AE}" pid="5" name="DocumentTypeTemp">
    <vt:lpwstr>Appendix</vt:lpwstr>
  </property>
  <property fmtid="{D5CDD505-2E9C-101B-9397-08002B2CF9AE}" pid="6" name="DocumentSetDescription">
    <vt:lpwstr/>
  </property>
  <property fmtid="{D5CDD505-2E9C-101B-9397-08002B2CF9AE}" pid="7" name="MediaServiceImageTags">
    <vt:lpwstr/>
  </property>
  <property fmtid="{D5CDD505-2E9C-101B-9397-08002B2CF9AE}" pid="8" name="ContentTypeId">
    <vt:lpwstr>0x0101007F9FDBA231E8EE4E8E39B822B6288B86</vt:lpwstr>
  </property>
  <property fmtid="{D5CDD505-2E9C-101B-9397-08002B2CF9AE}" pid="9" name="CommentsAdded">
    <vt:bool>false</vt:bool>
  </property>
  <property fmtid="{D5CDD505-2E9C-101B-9397-08002B2CF9AE}" pid="10" name="SubmittingPCE">
    <vt:lpwstr>Independent System Operator</vt:lpwstr>
  </property>
  <property fmtid="{D5CDD505-2E9C-101B-9397-08002B2CF9AE}" pid="11" name="Related Proceeding(s)">
    <vt:lpwstr/>
  </property>
  <property fmtid="{D5CDD505-2E9C-101B-9397-08002B2CF9AE}" pid="12" name="Confidentiality Classification">
    <vt:lpwstr>2</vt:lpwstr>
  </property>
  <property fmtid="{D5CDD505-2E9C-101B-9397-08002B2CF9AE}" pid="13" name="Proceeding Sub-Type">
    <vt:lpwstr/>
  </property>
  <property fmtid="{D5CDD505-2E9C-101B-9397-08002B2CF9AE}" pid="14" name="LibraryName">
    <vt:lpwstr>Public</vt:lpwstr>
  </property>
  <property fmtid="{D5CDD505-2E9C-101B-9397-08002B2CF9AE}" pid="15" name="AUCFileName">
    <vt:lpwstr>28627_X0004.01_Appendix B - 2024 Rate Calculations revised_000028.xlsx</vt:lpwstr>
  </property>
  <property fmtid="{D5CDD505-2E9C-101B-9397-08002B2CF9AE}" pid="17" name="ProceedingID">
    <vt:r8>28627</vt:r8>
  </property>
  <property fmtid="{D5CDD505-2E9C-101B-9397-08002B2CF9AE}" pid="18" name="CWRMItemRecordClassification">
    <vt:lpwstr>10</vt:lpwstr>
  </property>
  <property fmtid="{D5CDD505-2E9C-101B-9397-08002B2CF9AE}" pid="19" name="_ExtendedDescription">
    <vt:lpwstr/>
  </property>
  <property fmtid="{D5CDD505-2E9C-101B-9397-08002B2CF9AE}" pid="20" name="Applications">
    <vt:lpwstr>&lt;a href="http&amp;#58;//efiling.auc.ab.ca/Proceeding23065/sitepages/ManageApplications.aspx?AppNumber=23065-A001"&gt;23065-A001&lt;/a&gt;</vt:lpwstr>
  </property>
  <property fmtid="{D5CDD505-2E9C-101B-9397-08002B2CF9AE}" pid="21" name="_docset_NoMedatataSyncRequired">
    <vt:lpwstr>False</vt:lpwstr>
  </property>
  <property fmtid="{D5CDD505-2E9C-101B-9397-08002B2CF9AE}" pid="22" name="LARA File Type">
    <vt:lpwstr/>
  </property>
  <property fmtid="{D5CDD505-2E9C-101B-9397-08002B2CF9AE}" pid="23" name="Proceeding Type">
    <vt:lpwstr>1566;#Tariff - AESO|71517199-512a-4696-b726-f34be08e058c</vt:lpwstr>
  </property>
  <property fmtid="{D5CDD505-2E9C-101B-9397-08002B2CF9AE}" pid="24" name="LARA Category">
    <vt:lpwstr/>
  </property>
  <property fmtid="{D5CDD505-2E9C-101B-9397-08002B2CF9AE}" pid="25" name="DocumentStatus">
    <vt:lpwstr>Active</vt:lpwstr>
  </property>
  <property fmtid="{D5CDD505-2E9C-101B-9397-08002B2CF9AE}" pid="26" name="ApplicationsTemp">
    <vt:lpwstr>28627-A001</vt:lpwstr>
  </property>
  <property fmtid="{D5CDD505-2E9C-101B-9397-08002B2CF9AE}" pid="27" name="OnBehalfOf">
    <vt:lpwstr>Independent System Operator</vt:lpwstr>
  </property>
  <property fmtid="{D5CDD505-2E9C-101B-9397-08002B2CF9AE}" pid="28" name="Name">
    <vt:lpwstr>28627_X0004.01_Appendix B - 2024 Rate Calculations revised_000028.xlsx</vt:lpwstr>
  </property>
  <property fmtid="{D5CDD505-2E9C-101B-9397-08002B2CF9AE}" pid="29" name="AucDocumentId">
    <vt:r8>28</vt:r8>
  </property>
  <property fmtid="{D5CDD505-2E9C-101B-9397-08002B2CF9AE}" pid="30" name="AUC Number">
    <vt:lpwstr>2482;#26980|66246d30-c28c-4ab9-a849-2fd4eb7caff4</vt:lpwstr>
  </property>
  <property fmtid="{D5CDD505-2E9C-101B-9397-08002B2CF9AE}" pid="31" name="_dlc_DocIdItemGuid">
    <vt:lpwstr>dabe2a3d-74cd-4b41-8832-14dad651d212</vt:lpwstr>
  </property>
  <property fmtid="{D5CDD505-2E9C-101B-9397-08002B2CF9AE}" pid="32" name="DocumentType">
    <vt:lpwstr/>
  </property>
  <property fmtid="{D5CDD505-2E9C-101B-9397-08002B2CF9AE}" pid="33" name="DocumentCategory">
    <vt:lpwstr>Application and support</vt:lpwstr>
  </property>
  <property fmtid="{D5CDD505-2E9C-101B-9397-08002B2CF9AE}" pid="34" name="LARA Category0">
    <vt:lpwstr>16</vt:lpwstr>
  </property>
  <property fmtid="{D5CDD505-2E9C-101B-9397-08002B2CF9AE}" pid="35" name="OriginalFilename">
    <vt:lpwstr>Appendix B - 2024 Rate Calculations (revised).xlsx</vt:lpwstr>
  </property>
  <property fmtid="{D5CDD505-2E9C-101B-9397-08002B2CF9AE}" pid="36" name="Requirement Count">
    <vt:lpwstr/>
  </property>
  <property fmtid="{D5CDD505-2E9C-101B-9397-08002B2CF9AE}" pid="39" name="RevisionType">
    <vt:lpwstr>Blackline</vt:lpwstr>
  </property>
  <property fmtid="{D5CDD505-2E9C-101B-9397-08002B2CF9AE}" pid="40" name="RevisionStatus">
    <vt:lpwstr>Latest</vt:lpwstr>
  </property>
  <property fmtid="{D5CDD505-2E9C-101B-9397-08002B2CF9AE}" pid="41" name="fae381d0f82a490fb5506f8d60dd7e7c">
    <vt:lpwstr/>
  </property>
  <property fmtid="{D5CDD505-2E9C-101B-9397-08002B2CF9AE}" pid="42" name="TaxCatchAll">
    <vt:lpwstr/>
  </property>
  <property fmtid="{D5CDD505-2E9C-101B-9397-08002B2CF9AE}" pid="45" name="ExhibitNumberTemp">
    <vt:lpwstr>28627-X0004.01</vt:lpwstr>
  </property>
</Properties>
</file>