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showInkAnnotation="0" codeName="ThisWorkbook" defaultThemeVersion="124226"/>
  <xr:revisionPtr revIDLastSave="114" documentId="8_{4C243FFD-AF7D-41ED-B435-9A764270A8C8}" xr6:coauthVersionLast="47" xr6:coauthVersionMax="47" xr10:uidLastSave="{3CE5EF95-551B-4889-B8CD-1EA6447C7662}"/>
  <bookViews>
    <workbookView xWindow="-98" yWindow="-98" windowWidth="19396" windowHeight="11475" tabRatio="686" xr2:uid="{00000000-000D-0000-FFFF-FFFF00000000}"/>
  </bookViews>
  <sheets>
    <sheet name="A1 Contract" sheetId="1" r:id="rId1"/>
    <sheet name="A2 History" sheetId="39" r:id="rId2"/>
    <sheet name="A3 PILON" sheetId="42" r:id="rId3"/>
    <sheet name="A4 Demands" sheetId="40" r:id="rId4"/>
    <sheet name="A5 DelayCalc" sheetId="49" r:id="rId5"/>
    <sheet name="Rate DTS Charges" sheetId="43" r:id="rId6"/>
    <sheet name="Lookup" sheetId="46" state="hidden" r:id="rId7"/>
  </sheets>
  <definedNames>
    <definedName name="AverageCF" localSheetId="4">#REF!</definedName>
    <definedName name="AverageCF">'A2 History'!$J$49</definedName>
    <definedName name="AverageCoincident">'A2 History'!$I$49</definedName>
    <definedName name="AverageContract">'A2 History'!$F$49</definedName>
    <definedName name="AverageDemand" localSheetId="4">#REF!</definedName>
    <definedName name="AverageDemand">'A2 History'!$H$49</definedName>
    <definedName name="AverageEnergy">'A2 History'!$G$49</definedName>
    <definedName name="AverageLF" localSheetId="4">#REF!</definedName>
    <definedName name="AverageLF">'A2 History'!$K$49</definedName>
    <definedName name="ContractLookup" localSheetId="4">#REF!</definedName>
    <definedName name="ContractLookup">'A1 Contract'!$A$36:$I$45</definedName>
    <definedName name="DiscountRate" localSheetId="4">#REF!</definedName>
    <definedName name="DiscountRate">'A1 Contract'!$F$29</definedName>
    <definedName name="EffectiveSASDate" localSheetId="4">#REF!</definedName>
    <definedName name="EffectiveSASDate">'A1 Contract'!$F$30</definedName>
    <definedName name="EffectiveWithoutPILON" localSheetId="4">#REF!</definedName>
    <definedName name="EffectiveWithoutPILON">'A1 Contract'!$F$28</definedName>
    <definedName name="EffectiveWithPILON" localSheetId="4">#REF!</definedName>
    <definedName name="EffectiveWithPILON">'A1 Contract'!$F$27</definedName>
    <definedName name="HistoryLookup" localSheetId="4">#REF!</definedName>
    <definedName name="HistoryLookup">'A2 History'!$A$25:$K$48</definedName>
    <definedName name="MaxInvestTerm">'A1 Contract'!$F$39</definedName>
    <definedName name="Name_of_Market_Participant">'A2 History'!$C$13</definedName>
    <definedName name="NoticeStartDate" localSheetId="4">#REF!</definedName>
    <definedName name="NoticeStartDate">'A1 Contract'!$F$25</definedName>
    <definedName name="OtherParticipant" localSheetId="4">#REF!</definedName>
    <definedName name="OtherParticipant">'A1 Contract'!$F$20</definedName>
    <definedName name="OverrideCF" localSheetId="4">#REF!</definedName>
    <definedName name="OverrideCF">'A2 History'!$J$50</definedName>
    <definedName name="OverrideLF" localSheetId="4">#REF!</definedName>
    <definedName name="OverrideLF">'A2 History'!$K$50</definedName>
    <definedName name="ParticipantName" localSheetId="4">#REF!</definedName>
    <definedName name="ParticipantName">'A1 Contract'!$C$13</definedName>
    <definedName name="PILONDate" localSheetId="4">#REF!</definedName>
    <definedName name="PILONDate">'A1 Contract'!$F$26</definedName>
    <definedName name="PreparationDate" localSheetId="4">#REF!</definedName>
    <definedName name="PreparationDate">'A1 Contract'!$F$16</definedName>
    <definedName name="PreparerName" localSheetId="4">#REF!</definedName>
    <definedName name="PreparerName">'A1 Contract'!$C$16</definedName>
    <definedName name="_xlnm.Print_Area" localSheetId="0">'A1 Contract'!$A$1:$J$66</definedName>
    <definedName name="_xlnm.Print_Area" localSheetId="1">'A2 History'!$A$1:$K$51</definedName>
    <definedName name="_xlnm.Print_Area" localSheetId="2">'A3 PILON'!$A$1:$J$106</definedName>
    <definedName name="_xlnm.Print_Area" localSheetId="3">'A4 Demands'!$A$1:$K$108</definedName>
    <definedName name="_xlnm.Print_Area" localSheetId="4">'A5 DelayCalc'!$A$1:$J$74</definedName>
    <definedName name="_xlnm.Print_Area" localSheetId="5">'Rate DTS Charges'!$A$1:$P$188</definedName>
    <definedName name="_xlnm.Print_Titles" localSheetId="2">'A3 PILON'!$42:$45</definedName>
    <definedName name="_xlnm.Print_Titles" localSheetId="3">'A4 Demands'!$21:$23</definedName>
    <definedName name="_xlnm.Print_Titles" localSheetId="5">'Rate DTS Charges'!$56:$60</definedName>
    <definedName name="ProjectName" localSheetId="4">#REF!</definedName>
    <definedName name="ProjectName">'A1 Contract'!$C$14</definedName>
    <definedName name="ProjectNumber" localSheetId="4">#REF!</definedName>
    <definedName name="ProjectNumber">'A1 Contract'!$C$15</definedName>
    <definedName name="ProjectType" localSheetId="4">#REF!</definedName>
    <definedName name="ProjectType">'A1 Contract'!$F$15</definedName>
    <definedName name="ReceivePSC" localSheetId="4">#REF!</definedName>
    <definedName name="ReceivePSC">'A1 Contract'!$F$19</definedName>
    <definedName name="ReducedOrTerminated" localSheetId="4">#REF!</definedName>
    <definedName name="ReducedOrTerminated">'A1 Contract'!$F$23</definedName>
    <definedName name="RequestDate" localSheetId="4">#REF!</definedName>
    <definedName name="RequestDate">'A1 Contract'!$F$24</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49" l="1"/>
  <c r="B49" i="49"/>
  <c r="B48" i="49"/>
  <c r="B47" i="49"/>
  <c r="B46" i="49"/>
  <c r="B44" i="49"/>
  <c r="B43" i="49"/>
  <c r="B41" i="49"/>
  <c r="B40" i="49"/>
  <c r="B28" i="49" l="1"/>
  <c r="B27" i="49"/>
  <c r="B23" i="49"/>
  <c r="F14" i="49" s="1"/>
  <c r="E15" i="49"/>
  <c r="E16" i="49" s="1"/>
  <c r="E17" i="49" s="1"/>
  <c r="E18" i="49" s="1"/>
  <c r="E19" i="49" s="1"/>
  <c r="E20" i="49" s="1"/>
  <c r="E21" i="49" s="1"/>
  <c r="E22" i="49" s="1"/>
  <c r="E23" i="49" s="1"/>
  <c r="E24" i="49" s="1"/>
  <c r="E25" i="49" s="1"/>
  <c r="E26" i="49" s="1"/>
  <c r="E27" i="49" s="1"/>
  <c r="E28" i="49" s="1"/>
  <c r="E29" i="49" s="1"/>
  <c r="E30" i="49" s="1"/>
  <c r="E31" i="49" s="1"/>
  <c r="E32" i="49" s="1"/>
  <c r="E33" i="49" s="1"/>
  <c r="E34" i="49" s="1"/>
  <c r="E35" i="49" s="1"/>
  <c r="E36" i="49" s="1"/>
  <c r="E37" i="49" s="1"/>
  <c r="E38" i="49" s="1"/>
  <c r="E39" i="49" s="1"/>
  <c r="E40" i="49" s="1"/>
  <c r="E41" i="49" s="1"/>
  <c r="E42" i="49" s="1"/>
  <c r="E43" i="49" s="1"/>
  <c r="E44" i="49" s="1"/>
  <c r="E45" i="49" s="1"/>
  <c r="E46" i="49" s="1"/>
  <c r="E47" i="49" s="1"/>
  <c r="E48" i="49" s="1"/>
  <c r="E49" i="49" s="1"/>
  <c r="E50" i="49" s="1"/>
  <c r="E51" i="49" s="1"/>
  <c r="E52" i="49" s="1"/>
  <c r="E53" i="49" s="1"/>
  <c r="E54" i="49" s="1"/>
  <c r="E55" i="49" s="1"/>
  <c r="E56" i="49" s="1"/>
  <c r="E57" i="49" s="1"/>
  <c r="E58" i="49" s="1"/>
  <c r="E59" i="49" s="1"/>
  <c r="E60" i="49" s="1"/>
  <c r="E61" i="49" s="1"/>
  <c r="E62" i="49" s="1"/>
  <c r="E63" i="49" s="1"/>
  <c r="E64" i="49" s="1"/>
  <c r="E65" i="49" s="1"/>
  <c r="E66" i="49" s="1"/>
  <c r="E67" i="49" s="1"/>
  <c r="E68" i="49" s="1"/>
  <c r="E69" i="49" s="1"/>
  <c r="E70" i="49" s="1"/>
  <c r="E71" i="49" s="1"/>
  <c r="E72" i="49" s="1"/>
  <c r="E73" i="49" s="1"/>
  <c r="G14" i="49" l="1"/>
  <c r="F15" i="49"/>
  <c r="H14" i="49"/>
  <c r="I14" i="49" l="1"/>
  <c r="G15" i="49"/>
  <c r="F16" i="49"/>
  <c r="H15" i="49"/>
  <c r="I15" i="49" l="1"/>
  <c r="G16" i="49"/>
  <c r="H16" i="49"/>
  <c r="F17" i="49"/>
  <c r="I16" i="49" l="1"/>
  <c r="G17" i="49"/>
  <c r="H17" i="49"/>
  <c r="I17" i="49" s="1"/>
  <c r="F18" i="49"/>
  <c r="G18" i="49" l="1"/>
  <c r="H18" i="49"/>
  <c r="F19" i="49"/>
  <c r="I18" i="49" l="1"/>
  <c r="G19" i="49"/>
  <c r="H19" i="49"/>
  <c r="F20" i="49"/>
  <c r="I19" i="49" l="1"/>
  <c r="G20" i="49"/>
  <c r="F21" i="49"/>
  <c r="H20" i="49"/>
  <c r="I20" i="49" l="1"/>
  <c r="G21" i="49"/>
  <c r="I21" i="49" s="1"/>
  <c r="F22" i="49"/>
  <c r="H21" i="49"/>
  <c r="G22" i="49" l="1"/>
  <c r="I22" i="49"/>
  <c r="H22" i="49"/>
  <c r="F23" i="49"/>
  <c r="G23" i="49" l="1"/>
  <c r="I23" i="49"/>
  <c r="F24" i="49"/>
  <c r="H23" i="49"/>
  <c r="G24" i="49" l="1"/>
  <c r="I24" i="49"/>
  <c r="F25" i="49"/>
  <c r="H24" i="49"/>
  <c r="G25" i="49" l="1"/>
  <c r="I25" i="49"/>
  <c r="F26" i="49"/>
  <c r="H25" i="49"/>
  <c r="G26" i="49" l="1"/>
  <c r="I26" i="49"/>
  <c r="F27" i="49"/>
  <c r="H26" i="49"/>
  <c r="G27" i="49" l="1"/>
  <c r="I27" i="49"/>
  <c r="H27" i="49"/>
  <c r="F28" i="49"/>
  <c r="G28" i="49" l="1"/>
  <c r="I28" i="49"/>
  <c r="H28" i="49"/>
  <c r="F29" i="49"/>
  <c r="G29" i="49" l="1"/>
  <c r="I29" i="49"/>
  <c r="F30" i="49"/>
  <c r="H29" i="49"/>
  <c r="G30" i="49" l="1"/>
  <c r="I30" i="49"/>
  <c r="H30" i="49"/>
  <c r="F31" i="49"/>
  <c r="G31" i="49" l="1"/>
  <c r="I31" i="49"/>
  <c r="H31" i="49"/>
  <c r="F32" i="49"/>
  <c r="G32" i="49" l="1"/>
  <c r="I32" i="49"/>
  <c r="F33" i="49"/>
  <c r="H32" i="49"/>
  <c r="G33" i="49" l="1"/>
  <c r="I33" i="49"/>
  <c r="H33" i="49"/>
  <c r="F34" i="49"/>
  <c r="G34" i="49" l="1"/>
  <c r="I34" i="49"/>
  <c r="F35" i="49"/>
  <c r="H34" i="49"/>
  <c r="G35" i="49" l="1"/>
  <c r="I35" i="49"/>
  <c r="F36" i="49"/>
  <c r="H35" i="49"/>
  <c r="G36" i="49" l="1"/>
  <c r="I36" i="49"/>
  <c r="H36" i="49"/>
  <c r="F37" i="49"/>
  <c r="G37" i="49" l="1"/>
  <c r="I37" i="49"/>
  <c r="F38" i="49"/>
  <c r="H37" i="49"/>
  <c r="G38" i="49" l="1"/>
  <c r="I38" i="49"/>
  <c r="H38" i="49"/>
  <c r="F39" i="49"/>
  <c r="G39" i="49" l="1"/>
  <c r="I39" i="49"/>
  <c r="H39" i="49"/>
  <c r="F40" i="49"/>
  <c r="G40" i="49" l="1"/>
  <c r="I40" i="49"/>
  <c r="F41" i="49"/>
  <c r="H40" i="49"/>
  <c r="G41" i="49" l="1"/>
  <c r="I41" i="49"/>
  <c r="H41" i="49"/>
  <c r="F42" i="49"/>
  <c r="G42" i="49" l="1"/>
  <c r="I42" i="49"/>
  <c r="F43" i="49"/>
  <c r="H42" i="49"/>
  <c r="G43" i="49" l="1"/>
  <c r="I43" i="49"/>
  <c r="F44" i="49"/>
  <c r="H43" i="49"/>
  <c r="G44" i="49" l="1"/>
  <c r="I44" i="49"/>
  <c r="H44" i="49"/>
  <c r="F45" i="49"/>
  <c r="G45" i="49" l="1"/>
  <c r="I45" i="49"/>
  <c r="F46" i="49"/>
  <c r="H45" i="49"/>
  <c r="G46" i="49" l="1"/>
  <c r="I46" i="49"/>
  <c r="H46" i="49"/>
  <c r="F47" i="49"/>
  <c r="G47" i="49" l="1"/>
  <c r="I47" i="49"/>
  <c r="H47" i="49"/>
  <c r="F48" i="49"/>
  <c r="G48" i="49" l="1"/>
  <c r="I48" i="49"/>
  <c r="F49" i="49"/>
  <c r="H48" i="49"/>
  <c r="G49" i="49" l="1"/>
  <c r="I49" i="49"/>
  <c r="F50" i="49"/>
  <c r="H49" i="49"/>
  <c r="G50" i="49" l="1"/>
  <c r="I50" i="49"/>
  <c r="F51" i="49"/>
  <c r="H50" i="49"/>
  <c r="G51" i="49" l="1"/>
  <c r="I51" i="49"/>
  <c r="F52" i="49"/>
  <c r="H51" i="49"/>
  <c r="G52" i="49" l="1"/>
  <c r="I52" i="49"/>
  <c r="H52" i="49"/>
  <c r="F53" i="49"/>
  <c r="G53" i="49" l="1"/>
  <c r="I53" i="49"/>
  <c r="F54" i="49"/>
  <c r="H53" i="49"/>
  <c r="G54" i="49" l="1"/>
  <c r="I54" i="49"/>
  <c r="H54" i="49"/>
  <c r="F55" i="49"/>
  <c r="G55" i="49" l="1"/>
  <c r="I55" i="49"/>
  <c r="H55" i="49"/>
  <c r="F56" i="49"/>
  <c r="G56" i="49" l="1"/>
  <c r="I56" i="49"/>
  <c r="F57" i="49"/>
  <c r="H56" i="49"/>
  <c r="G57" i="49" l="1"/>
  <c r="I57" i="49"/>
  <c r="H57" i="49"/>
  <c r="F58" i="49"/>
  <c r="G58" i="49" l="1"/>
  <c r="I58" i="49"/>
  <c r="F59" i="49"/>
  <c r="H58" i="49"/>
  <c r="G59" i="49" l="1"/>
  <c r="I59" i="49"/>
  <c r="F60" i="49"/>
  <c r="H59" i="49"/>
  <c r="G60" i="49" l="1"/>
  <c r="I60" i="49"/>
  <c r="H60" i="49"/>
  <c r="F61" i="49"/>
  <c r="G61" i="49" l="1"/>
  <c r="I61" i="49"/>
  <c r="F62" i="49"/>
  <c r="H61" i="49"/>
  <c r="G62" i="49" l="1"/>
  <c r="I62" i="49"/>
  <c r="H62" i="49"/>
  <c r="F63" i="49"/>
  <c r="G63" i="49" l="1"/>
  <c r="I63" i="49"/>
  <c r="H63" i="49"/>
  <c r="F64" i="49"/>
  <c r="G64" i="49" l="1"/>
  <c r="I64" i="49"/>
  <c r="F65" i="49"/>
  <c r="H64" i="49"/>
  <c r="G65" i="49" l="1"/>
  <c r="I65" i="49"/>
  <c r="H65" i="49"/>
  <c r="F66" i="49"/>
  <c r="G66" i="49" l="1"/>
  <c r="I66" i="49"/>
  <c r="F67" i="49"/>
  <c r="H66" i="49"/>
  <c r="G67" i="49" l="1"/>
  <c r="I67" i="49"/>
  <c r="F68" i="49"/>
  <c r="H67" i="49"/>
  <c r="G68" i="49" l="1"/>
  <c r="I68" i="49"/>
  <c r="H68" i="49"/>
  <c r="F69" i="49"/>
  <c r="G69" i="49" l="1"/>
  <c r="I69" i="49"/>
  <c r="F70" i="49"/>
  <c r="H69" i="49"/>
  <c r="G70" i="49" l="1"/>
  <c r="I70" i="49"/>
  <c r="H70" i="49"/>
  <c r="F71" i="49"/>
  <c r="G71" i="49" l="1"/>
  <c r="I71" i="49"/>
  <c r="H71" i="49"/>
  <c r="F72" i="49"/>
  <c r="G72" i="49" l="1"/>
  <c r="I72" i="49"/>
  <c r="F73" i="49"/>
  <c r="H72" i="49"/>
  <c r="G73" i="49" l="1"/>
  <c r="I73" i="49"/>
  <c r="B29" i="49" s="1"/>
  <c r="H73" i="49"/>
  <c r="H35" i="1" l="1"/>
  <c r="G35" i="1"/>
  <c r="E35" i="1"/>
  <c r="D35" i="1"/>
  <c r="H54" i="1"/>
  <c r="G54" i="1"/>
  <c r="E54" i="1"/>
  <c r="D54" i="1"/>
  <c r="H55" i="1"/>
  <c r="G55" i="1"/>
  <c r="E55" i="1"/>
  <c r="D55" i="1"/>
  <c r="F26" i="1" l="1"/>
  <c r="C13" i="39" l="1"/>
  <c r="C14" i="39"/>
  <c r="A27" i="39" l="1"/>
  <c r="B27" i="39"/>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A44" i="39"/>
  <c r="B44" i="39"/>
  <c r="A45" i="39"/>
  <c r="B45" i="39"/>
  <c r="A46" i="39"/>
  <c r="B46" i="39"/>
  <c r="A47" i="39"/>
  <c r="B47" i="39"/>
  <c r="A48" i="39"/>
  <c r="B48" i="39"/>
  <c r="B26" i="39"/>
  <c r="A26" i="39"/>
  <c r="B25" i="39"/>
  <c r="A25" i="39"/>
  <c r="F49" i="1" l="1"/>
  <c r="I15" i="1" l="1"/>
  <c r="I14" i="1" l="1"/>
  <c r="J28" i="1" l="1"/>
  <c r="J27" i="1"/>
  <c r="J36" i="1"/>
  <c r="B28" i="1" l="1"/>
  <c r="B27" i="1"/>
  <c r="F54" i="43" l="1"/>
  <c r="B128" i="43" l="1"/>
  <c r="B61" i="43"/>
  <c r="K48" i="39"/>
  <c r="K47" i="39"/>
  <c r="K46" i="39"/>
  <c r="K45" i="39"/>
  <c r="K43" i="39"/>
  <c r="K42" i="39"/>
  <c r="K41" i="39"/>
  <c r="K39" i="39"/>
  <c r="K38" i="39"/>
  <c r="K37" i="39"/>
  <c r="K35" i="39"/>
  <c r="K34" i="39"/>
  <c r="K33" i="39"/>
  <c r="K31" i="39"/>
  <c r="K30" i="39"/>
  <c r="K29" i="39"/>
  <c r="K27" i="39"/>
  <c r="K26" i="39"/>
  <c r="K25" i="39"/>
  <c r="I17" i="43"/>
  <c r="F17" i="43"/>
  <c r="C17" i="43"/>
  <c r="I16" i="43"/>
  <c r="F16" i="43"/>
  <c r="C16" i="43"/>
  <c r="I15" i="43"/>
  <c r="C15" i="43"/>
  <c r="I14" i="43"/>
  <c r="C14" i="43"/>
  <c r="G39" i="42"/>
  <c r="J48" i="39"/>
  <c r="J47" i="39"/>
  <c r="J46" i="39"/>
  <c r="J45" i="39"/>
  <c r="K44" i="39"/>
  <c r="J44" i="39"/>
  <c r="J43" i="39"/>
  <c r="J42" i="39"/>
  <c r="J41" i="39"/>
  <c r="K40" i="39"/>
  <c r="J40" i="39"/>
  <c r="J39" i="39"/>
  <c r="J38" i="39"/>
  <c r="J37" i="39"/>
  <c r="K36" i="39"/>
  <c r="J36" i="39"/>
  <c r="J35" i="39"/>
  <c r="J34" i="39"/>
  <c r="J33" i="39"/>
  <c r="K32" i="39"/>
  <c r="J32" i="39"/>
  <c r="J31" i="39"/>
  <c r="J30" i="39"/>
  <c r="J29" i="39"/>
  <c r="K28" i="39"/>
  <c r="J28" i="39"/>
  <c r="J27" i="39"/>
  <c r="J26" i="39"/>
  <c r="J25" i="39"/>
  <c r="F45" i="43" l="1"/>
  <c r="F43" i="43"/>
  <c r="F42" i="43"/>
  <c r="G40" i="43"/>
  <c r="E37" i="43"/>
  <c r="G39" i="43"/>
  <c r="E36" i="43"/>
  <c r="G38" i="43"/>
  <c r="F49" i="43"/>
  <c r="G37" i="43"/>
  <c r="F47" i="43"/>
  <c r="G36" i="43"/>
  <c r="E40" i="43"/>
  <c r="E39" i="43"/>
  <c r="E38" i="43"/>
  <c r="E33" i="43"/>
  <c r="E31" i="43"/>
  <c r="E34" i="43"/>
  <c r="E30" i="43"/>
  <c r="K49" i="39"/>
  <c r="J49" i="39"/>
  <c r="I49" i="39"/>
  <c r="G49" i="39"/>
  <c r="H49" i="39"/>
  <c r="F49" i="39"/>
  <c r="G38" i="42" l="1"/>
  <c r="F53" i="43"/>
  <c r="G37" i="42"/>
  <c r="F52" i="43"/>
  <c r="J17" i="42"/>
  <c r="G17" i="42"/>
  <c r="C17" i="42"/>
  <c r="J16" i="42"/>
  <c r="G16" i="42"/>
  <c r="C16" i="42"/>
  <c r="J15" i="42"/>
  <c r="C15" i="42"/>
  <c r="J14" i="42"/>
  <c r="C14" i="42"/>
  <c r="C17" i="40"/>
  <c r="C16" i="40"/>
  <c r="C15" i="40"/>
  <c r="C14" i="40"/>
  <c r="F30" i="42" l="1"/>
  <c r="F34" i="42"/>
  <c r="F33" i="42"/>
  <c r="F31" i="42"/>
  <c r="F25" i="1"/>
  <c r="B24" i="40" l="1"/>
  <c r="F28" i="1"/>
  <c r="A20" i="42" s="1"/>
  <c r="B36" i="1"/>
  <c r="J17" i="40"/>
  <c r="F17" i="40"/>
  <c r="J16" i="40"/>
  <c r="F16" i="40"/>
  <c r="J15" i="40"/>
  <c r="J14" i="40"/>
  <c r="F55" i="1"/>
  <c r="I55" i="1"/>
  <c r="B64" i="1"/>
  <c r="H64" i="1" s="1"/>
  <c r="B63" i="1"/>
  <c r="B62" i="1"/>
  <c r="H62" i="1" s="1"/>
  <c r="B61" i="1"/>
  <c r="H61" i="1" s="1"/>
  <c r="B60" i="1"/>
  <c r="H60" i="1" s="1"/>
  <c r="B59" i="1"/>
  <c r="B58" i="1"/>
  <c r="H58" i="1" s="1"/>
  <c r="B57" i="1"/>
  <c r="H57" i="1" s="1"/>
  <c r="A55" i="1"/>
  <c r="B56" i="1"/>
  <c r="H56" i="1" s="1"/>
  <c r="G63" i="1" l="1"/>
  <c r="H63" i="1"/>
  <c r="G59" i="1"/>
  <c r="H59" i="1"/>
  <c r="E64" i="1"/>
  <c r="G64" i="1"/>
  <c r="E61" i="1"/>
  <c r="G61" i="1"/>
  <c r="E62" i="1"/>
  <c r="G62" i="1"/>
  <c r="E60" i="1"/>
  <c r="G60" i="1"/>
  <c r="E57" i="1"/>
  <c r="G57" i="1"/>
  <c r="E58" i="1"/>
  <c r="G58" i="1"/>
  <c r="E56" i="1"/>
  <c r="G56" i="1"/>
  <c r="D63" i="1"/>
  <c r="E63" i="1"/>
  <c r="D59" i="1"/>
  <c r="E59" i="1"/>
  <c r="F64" i="1"/>
  <c r="D64" i="1"/>
  <c r="F60" i="1"/>
  <c r="D60" i="1"/>
  <c r="D61" i="1"/>
  <c r="D57" i="1"/>
  <c r="F58" i="1"/>
  <c r="D58" i="1"/>
  <c r="D62" i="1"/>
  <c r="F56" i="1"/>
  <c r="D56" i="1"/>
  <c r="J24" i="40"/>
  <c r="G24" i="40"/>
  <c r="A20" i="43"/>
  <c r="I24" i="40"/>
  <c r="F59" i="1"/>
  <c r="F63" i="1"/>
  <c r="I60" i="1"/>
  <c r="I64" i="1"/>
  <c r="I56" i="1"/>
  <c r="I61" i="1"/>
  <c r="F57" i="1"/>
  <c r="F61" i="1"/>
  <c r="I58" i="1"/>
  <c r="I62" i="1"/>
  <c r="I57" i="1"/>
  <c r="F62" i="1"/>
  <c r="I59" i="1"/>
  <c r="I63" i="1"/>
  <c r="C16" i="39"/>
  <c r="C15" i="39"/>
  <c r="K16" i="39"/>
  <c r="K15" i="39"/>
  <c r="K14" i="39"/>
  <c r="K13" i="39"/>
  <c r="G16" i="39"/>
  <c r="G15" i="39"/>
  <c r="C36" i="1" l="1"/>
  <c r="C55" i="1" s="1"/>
  <c r="B55" i="1"/>
  <c r="A24" i="40" l="1"/>
  <c r="H24" i="40" s="1"/>
  <c r="B25" i="40"/>
  <c r="J25" i="40" l="1"/>
  <c r="G25" i="40"/>
  <c r="I25" i="40"/>
  <c r="E24" i="40"/>
  <c r="F24" i="40"/>
  <c r="D24" i="40"/>
  <c r="K24" i="40"/>
  <c r="A25" i="40"/>
  <c r="B26" i="40"/>
  <c r="J38" i="1"/>
  <c r="J37" i="1"/>
  <c r="A37" i="1"/>
  <c r="C24" i="40" s="1"/>
  <c r="A44" i="1"/>
  <c r="A45" i="1"/>
  <c r="J19" i="1"/>
  <c r="C25" i="40" l="1"/>
  <c r="G26" i="40"/>
  <c r="J26" i="40"/>
  <c r="H25" i="40"/>
  <c r="K25" i="40"/>
  <c r="E25" i="40"/>
  <c r="F25" i="40"/>
  <c r="D25" i="40"/>
  <c r="I26" i="40"/>
  <c r="B27" i="40"/>
  <c r="A26" i="40"/>
  <c r="C26" i="40" s="1"/>
  <c r="A64" i="1"/>
  <c r="A38" i="1"/>
  <c r="A56" i="1"/>
  <c r="A63" i="1"/>
  <c r="A40" i="1"/>
  <c r="H26" i="40" l="1"/>
  <c r="I27" i="40"/>
  <c r="K26" i="40"/>
  <c r="E26" i="40"/>
  <c r="F26" i="40"/>
  <c r="D26" i="40"/>
  <c r="B28" i="40"/>
  <c r="A27" i="40"/>
  <c r="H27" i="40" s="1"/>
  <c r="J27" i="40" s="1"/>
  <c r="A39" i="1"/>
  <c r="A57" i="1"/>
  <c r="A59" i="1"/>
  <c r="A41" i="1"/>
  <c r="A60" i="1" s="1"/>
  <c r="K27" i="40" l="1"/>
  <c r="E27" i="40"/>
  <c r="F27" i="40"/>
  <c r="D27" i="40"/>
  <c r="G27" i="40" s="1"/>
  <c r="C27" i="40"/>
  <c r="I28" i="40"/>
  <c r="B29" i="40"/>
  <c r="A28" i="40"/>
  <c r="H28" i="40" s="1"/>
  <c r="J28" i="40" s="1"/>
  <c r="A58" i="1"/>
  <c r="A42" i="1"/>
  <c r="A61" i="1" s="1"/>
  <c r="C28" i="40" l="1"/>
  <c r="K28" i="40"/>
  <c r="E28" i="40"/>
  <c r="F28" i="40"/>
  <c r="D28" i="40"/>
  <c r="G28" i="40" s="1"/>
  <c r="I29" i="40"/>
  <c r="B30" i="40"/>
  <c r="A29" i="40"/>
  <c r="A43" i="1"/>
  <c r="A62" i="1" s="1"/>
  <c r="C29" i="40" l="1"/>
  <c r="E29" i="40"/>
  <c r="H29" i="40"/>
  <c r="J29" i="40" s="1"/>
  <c r="I30" i="40"/>
  <c r="K29" i="40"/>
  <c r="F29" i="40"/>
  <c r="D29" i="40"/>
  <c r="B31" i="40"/>
  <c r="A30" i="40"/>
  <c r="C30" i="40" s="1"/>
  <c r="G29" i="40" l="1"/>
  <c r="H30" i="40"/>
  <c r="J30" i="40" s="1"/>
  <c r="I31" i="40"/>
  <c r="K30" i="40"/>
  <c r="E30" i="40"/>
  <c r="F30" i="40"/>
  <c r="D30" i="40"/>
  <c r="B32" i="40"/>
  <c r="A31" i="40"/>
  <c r="H31" i="40" s="1"/>
  <c r="J31" i="40" s="1"/>
  <c r="G30" i="40" l="1"/>
  <c r="K31" i="40"/>
  <c r="E31" i="40"/>
  <c r="F31" i="40"/>
  <c r="D31" i="40"/>
  <c r="G31" i="40" s="1"/>
  <c r="C31" i="40"/>
  <c r="I32" i="40"/>
  <c r="B33" i="40"/>
  <c r="A32" i="40"/>
  <c r="C32" i="40" s="1"/>
  <c r="H32" i="40" l="1"/>
  <c r="J32" i="40" s="1"/>
  <c r="K32" i="40"/>
  <c r="E32" i="40"/>
  <c r="F32" i="40"/>
  <c r="D32" i="40"/>
  <c r="G32" i="40" s="1"/>
  <c r="I33" i="40"/>
  <c r="B34" i="40"/>
  <c r="A33" i="40"/>
  <c r="C33" i="40" s="1"/>
  <c r="H33" i="40" l="1"/>
  <c r="J33" i="40" s="1"/>
  <c r="K33" i="40"/>
  <c r="E33" i="40"/>
  <c r="F33" i="40"/>
  <c r="D33" i="40"/>
  <c r="G33" i="40" s="1"/>
  <c r="I34" i="40"/>
  <c r="B35" i="40"/>
  <c r="A34" i="40"/>
  <c r="C34" i="40" s="1"/>
  <c r="H34" i="40" l="1"/>
  <c r="J34" i="40" s="1"/>
  <c r="K34" i="40"/>
  <c r="E34" i="40"/>
  <c r="F34" i="40"/>
  <c r="D34" i="40"/>
  <c r="G34" i="40" s="1"/>
  <c r="I35" i="40"/>
  <c r="B36" i="40"/>
  <c r="A35" i="40"/>
  <c r="C35" i="40" s="1"/>
  <c r="H35" i="40" l="1"/>
  <c r="J35" i="40" s="1"/>
  <c r="K35" i="40"/>
  <c r="E35" i="40"/>
  <c r="D35" i="40"/>
  <c r="F35" i="40"/>
  <c r="I36" i="40"/>
  <c r="B37" i="40"/>
  <c r="A36" i="40"/>
  <c r="C36" i="40" s="1"/>
  <c r="G35" i="40" l="1"/>
  <c r="H36" i="40"/>
  <c r="J36" i="40" s="1"/>
  <c r="K36" i="40"/>
  <c r="E36" i="40"/>
  <c r="F36" i="40"/>
  <c r="D36" i="40"/>
  <c r="I37" i="40"/>
  <c r="B38" i="40"/>
  <c r="A37" i="40"/>
  <c r="H37" i="40" s="1"/>
  <c r="J37" i="40" s="1"/>
  <c r="G36" i="40" l="1"/>
  <c r="C37" i="40"/>
  <c r="K37" i="40"/>
  <c r="E37" i="40"/>
  <c r="F37" i="40"/>
  <c r="D37" i="40"/>
  <c r="G37" i="40" s="1"/>
  <c r="I38" i="40"/>
  <c r="B39" i="40"/>
  <c r="A38" i="40"/>
  <c r="C38" i="40" s="1"/>
  <c r="H38" i="40" l="1"/>
  <c r="J38" i="40" s="1"/>
  <c r="K38" i="40"/>
  <c r="E38" i="40"/>
  <c r="F38" i="40"/>
  <c r="D38" i="40"/>
  <c r="I39" i="40"/>
  <c r="B40" i="40"/>
  <c r="A39" i="40"/>
  <c r="H39" i="40" s="1"/>
  <c r="J39" i="40" s="1"/>
  <c r="G38" i="40" l="1"/>
  <c r="C39" i="40"/>
  <c r="K39" i="40"/>
  <c r="E39" i="40"/>
  <c r="F39" i="40"/>
  <c r="D39" i="40"/>
  <c r="G39" i="40" s="1"/>
  <c r="I40" i="40"/>
  <c r="B41" i="40"/>
  <c r="A40" i="40"/>
  <c r="C40" i="40" s="1"/>
  <c r="H40" i="40" l="1"/>
  <c r="J40" i="40" s="1"/>
  <c r="K40" i="40"/>
  <c r="E40" i="40"/>
  <c r="F40" i="40"/>
  <c r="D40" i="40"/>
  <c r="I41" i="40"/>
  <c r="B42" i="40"/>
  <c r="A41" i="40"/>
  <c r="H41" i="40" s="1"/>
  <c r="J41" i="40" s="1"/>
  <c r="G40" i="40" l="1"/>
  <c r="C41" i="40"/>
  <c r="K41" i="40"/>
  <c r="E41" i="40"/>
  <c r="F41" i="40"/>
  <c r="D41" i="40"/>
  <c r="G41" i="40" s="1"/>
  <c r="I42" i="40"/>
  <c r="B43" i="40"/>
  <c r="A42" i="40"/>
  <c r="C42" i="40" s="1"/>
  <c r="H42" i="40" l="1"/>
  <c r="J42" i="40" s="1"/>
  <c r="K42" i="40"/>
  <c r="E42" i="40"/>
  <c r="F42" i="40"/>
  <c r="D42" i="40"/>
  <c r="I43" i="40"/>
  <c r="B44" i="40"/>
  <c r="A43" i="40"/>
  <c r="C43" i="40" s="1"/>
  <c r="G42" i="40" l="1"/>
  <c r="H43" i="40"/>
  <c r="J43" i="40" s="1"/>
  <c r="K43" i="40"/>
  <c r="E43" i="40"/>
  <c r="F43" i="40"/>
  <c r="D43" i="40"/>
  <c r="I44" i="40"/>
  <c r="B45" i="40"/>
  <c r="A44" i="40"/>
  <c r="C44" i="40" s="1"/>
  <c r="G43" i="40" l="1"/>
  <c r="H44" i="40"/>
  <c r="J44" i="40" s="1"/>
  <c r="K44" i="40"/>
  <c r="E44" i="40"/>
  <c r="F44" i="40"/>
  <c r="D44" i="40"/>
  <c r="I45" i="40"/>
  <c r="B46" i="40"/>
  <c r="A45" i="40"/>
  <c r="C45" i="40" s="1"/>
  <c r="G44" i="40" l="1"/>
  <c r="H45" i="40"/>
  <c r="J45" i="40" s="1"/>
  <c r="K45" i="40"/>
  <c r="E45" i="40"/>
  <c r="F45" i="40"/>
  <c r="D45" i="40"/>
  <c r="I46" i="40"/>
  <c r="B47" i="40"/>
  <c r="A46" i="40"/>
  <c r="C46" i="40" s="1"/>
  <c r="G45" i="40" l="1"/>
  <c r="H46" i="40"/>
  <c r="J46" i="40" s="1"/>
  <c r="K46" i="40"/>
  <c r="E46" i="40"/>
  <c r="F46" i="40"/>
  <c r="D46" i="40"/>
  <c r="I47" i="40"/>
  <c r="B48" i="40"/>
  <c r="A47" i="40"/>
  <c r="C47" i="40" s="1"/>
  <c r="G46" i="40" l="1"/>
  <c r="H47" i="40"/>
  <c r="J47" i="40" s="1"/>
  <c r="K47" i="40"/>
  <c r="E47" i="40"/>
  <c r="F47" i="40"/>
  <c r="D47" i="40"/>
  <c r="B62" i="43"/>
  <c r="A47" i="42"/>
  <c r="B49" i="40"/>
  <c r="A48" i="40"/>
  <c r="H48" i="40" s="1"/>
  <c r="G47" i="40" l="1"/>
  <c r="O62" i="43"/>
  <c r="O129" i="43"/>
  <c r="E48" i="40"/>
  <c r="A62" i="43"/>
  <c r="B63" i="43"/>
  <c r="C48" i="40"/>
  <c r="B47" i="42" s="1"/>
  <c r="D47" i="42" s="1"/>
  <c r="B129" i="43"/>
  <c r="A48" i="42"/>
  <c r="B50" i="40"/>
  <c r="A49" i="40"/>
  <c r="C49" i="40" s="1"/>
  <c r="H47" i="42" l="1"/>
  <c r="O130" i="43"/>
  <c r="O63" i="43"/>
  <c r="H49" i="40"/>
  <c r="D48" i="40"/>
  <c r="B64" i="43"/>
  <c r="C63" i="43"/>
  <c r="N63" i="43" s="1"/>
  <c r="C130" i="43"/>
  <c r="N130" i="43" s="1"/>
  <c r="A129" i="43"/>
  <c r="G129" i="43" s="1"/>
  <c r="G62" i="43"/>
  <c r="C62" i="43"/>
  <c r="N62" i="43" s="1"/>
  <c r="C129" i="43"/>
  <c r="N129" i="43" s="1"/>
  <c r="I48" i="40"/>
  <c r="J48" i="40" s="1"/>
  <c r="B130" i="43"/>
  <c r="E49" i="40"/>
  <c r="I49" i="40" s="1"/>
  <c r="A63" i="43"/>
  <c r="D49" i="40"/>
  <c r="A49" i="42"/>
  <c r="B48" i="42"/>
  <c r="H48" i="42" s="1"/>
  <c r="B51" i="40"/>
  <c r="A50" i="40"/>
  <c r="H50" i="40" s="1"/>
  <c r="J49" i="40" l="1"/>
  <c r="G49" i="40" s="1"/>
  <c r="D48" i="42"/>
  <c r="F48" i="40"/>
  <c r="D62" i="43" s="1"/>
  <c r="G48" i="40"/>
  <c r="K48" i="40" s="1"/>
  <c r="E50" i="40"/>
  <c r="A64" i="43"/>
  <c r="A130" i="43"/>
  <c r="G130" i="43" s="1"/>
  <c r="G63" i="43"/>
  <c r="B65" i="43"/>
  <c r="E129" i="43"/>
  <c r="L129" i="43" s="1"/>
  <c r="F129" i="43"/>
  <c r="E130" i="43"/>
  <c r="L130" i="43" s="1"/>
  <c r="F130" i="43"/>
  <c r="F49" i="40"/>
  <c r="F62" i="43"/>
  <c r="E62" i="43"/>
  <c r="L62" i="43" s="1"/>
  <c r="E63" i="43"/>
  <c r="L63" i="43" s="1"/>
  <c r="F63" i="43"/>
  <c r="C50" i="40"/>
  <c r="D50" i="40" s="1"/>
  <c r="B131" i="43"/>
  <c r="A50" i="42"/>
  <c r="B52" i="40"/>
  <c r="A51" i="40"/>
  <c r="H51" i="40" s="1"/>
  <c r="K129" i="43" l="1"/>
  <c r="M129" i="43"/>
  <c r="I62" i="43"/>
  <c r="J62" i="43"/>
  <c r="M62" i="43"/>
  <c r="K62" i="43"/>
  <c r="H62" i="43"/>
  <c r="H129" i="43"/>
  <c r="H63" i="43"/>
  <c r="C47" i="42"/>
  <c r="E47" i="42" s="1"/>
  <c r="F47" i="42" s="1"/>
  <c r="H130" i="43"/>
  <c r="M63" i="43"/>
  <c r="K63" i="43"/>
  <c r="M130" i="43"/>
  <c r="K130" i="43"/>
  <c r="G47" i="42"/>
  <c r="I47" i="42" s="1"/>
  <c r="J47" i="42" s="1"/>
  <c r="D129" i="43"/>
  <c r="K49" i="40"/>
  <c r="B49" i="42"/>
  <c r="B66" i="43"/>
  <c r="B132" i="43"/>
  <c r="C64" i="43"/>
  <c r="N64" i="43" s="1"/>
  <c r="C131" i="43"/>
  <c r="N131" i="43" s="1"/>
  <c r="I50" i="40"/>
  <c r="J50" i="40" s="1"/>
  <c r="G50" i="40" s="1"/>
  <c r="A131" i="43"/>
  <c r="G131" i="43" s="1"/>
  <c r="G64" i="43"/>
  <c r="D63" i="43"/>
  <c r="J63" i="43" s="1"/>
  <c r="C48" i="42"/>
  <c r="E48" i="42" s="1"/>
  <c r="F48" i="42" s="1"/>
  <c r="E51" i="40"/>
  <c r="A65" i="43"/>
  <c r="C51" i="40"/>
  <c r="D51" i="40" s="1"/>
  <c r="F50" i="40"/>
  <c r="A51" i="42"/>
  <c r="B53" i="40"/>
  <c r="A52" i="40"/>
  <c r="C52" i="40" s="1"/>
  <c r="P62" i="43" l="1"/>
  <c r="I129" i="43"/>
  <c r="J129" i="43"/>
  <c r="D49" i="42"/>
  <c r="H49" i="42"/>
  <c r="H52" i="40"/>
  <c r="I63" i="43"/>
  <c r="P63" i="43" s="1"/>
  <c r="G48" i="42"/>
  <c r="I48" i="42" s="1"/>
  <c r="J48" i="42" s="1"/>
  <c r="D130" i="43"/>
  <c r="K50" i="40"/>
  <c r="B50" i="42"/>
  <c r="C133" i="43"/>
  <c r="N133" i="43" s="1"/>
  <c r="C66" i="43"/>
  <c r="N66" i="43" s="1"/>
  <c r="F51" i="40"/>
  <c r="B67" i="43"/>
  <c r="C49" i="42"/>
  <c r="E49" i="42" s="1"/>
  <c r="D64" i="43"/>
  <c r="F64" i="43"/>
  <c r="E64" i="43"/>
  <c r="L64" i="43" s="1"/>
  <c r="C132" i="43"/>
  <c r="N132" i="43" s="1"/>
  <c r="C65" i="43"/>
  <c r="N65" i="43" s="1"/>
  <c r="I51" i="40"/>
  <c r="J51" i="40" s="1"/>
  <c r="G51" i="40" s="1"/>
  <c r="B133" i="43"/>
  <c r="E52" i="40"/>
  <c r="I52" i="40" s="1"/>
  <c r="A66" i="43"/>
  <c r="D52" i="40"/>
  <c r="A132" i="43"/>
  <c r="G132" i="43" s="1"/>
  <c r="G65" i="43"/>
  <c r="F131" i="43"/>
  <c r="E131" i="43"/>
  <c r="L131" i="43" s="1"/>
  <c r="B51" i="42"/>
  <c r="D51" i="42" s="1"/>
  <c r="A52" i="42"/>
  <c r="B54" i="40"/>
  <c r="A53" i="40"/>
  <c r="H53" i="40" s="1"/>
  <c r="P129" i="43" l="1"/>
  <c r="J64" i="43"/>
  <c r="O64" i="43"/>
  <c r="F49" i="42"/>
  <c r="H51" i="42"/>
  <c r="H64" i="43"/>
  <c r="H131" i="43"/>
  <c r="J52" i="40"/>
  <c r="G52" i="40" s="1"/>
  <c r="M64" i="43"/>
  <c r="K64" i="43"/>
  <c r="D50" i="42"/>
  <c r="H50" i="42"/>
  <c r="I64" i="43"/>
  <c r="M131" i="43"/>
  <c r="K131" i="43"/>
  <c r="J130" i="43"/>
  <c r="I130" i="43"/>
  <c r="G49" i="42"/>
  <c r="I49" i="42" s="1"/>
  <c r="J49" i="42" s="1"/>
  <c r="D131" i="43"/>
  <c r="O131" i="43" s="1"/>
  <c r="K51" i="40"/>
  <c r="B68" i="43"/>
  <c r="E65" i="43"/>
  <c r="L65" i="43" s="1"/>
  <c r="F65" i="43"/>
  <c r="D65" i="43"/>
  <c r="C50" i="42"/>
  <c r="E50" i="42" s="1"/>
  <c r="E53" i="40"/>
  <c r="A67" i="43"/>
  <c r="E132" i="43"/>
  <c r="L132" i="43" s="1"/>
  <c r="F132" i="43"/>
  <c r="C53" i="40"/>
  <c r="B52" i="42" s="1"/>
  <c r="H52" i="42" s="1"/>
  <c r="F52" i="40"/>
  <c r="B134" i="43"/>
  <c r="E66" i="43"/>
  <c r="L66" i="43" s="1"/>
  <c r="F66" i="43"/>
  <c r="A133" i="43"/>
  <c r="G133" i="43" s="1"/>
  <c r="G66" i="43"/>
  <c r="E133" i="43"/>
  <c r="L133" i="43" s="1"/>
  <c r="F133" i="43"/>
  <c r="A53" i="42"/>
  <c r="B55" i="40"/>
  <c r="A54" i="40"/>
  <c r="H54" i="40" s="1"/>
  <c r="J65" i="43" l="1"/>
  <c r="O65" i="43"/>
  <c r="H132" i="43"/>
  <c r="P130" i="43"/>
  <c r="H133" i="43"/>
  <c r="H66" i="43"/>
  <c r="F50" i="42"/>
  <c r="P64" i="43"/>
  <c r="D52" i="42"/>
  <c r="K133" i="43"/>
  <c r="M133" i="43"/>
  <c r="M66" i="43"/>
  <c r="K66" i="43"/>
  <c r="M132" i="43"/>
  <c r="K132" i="43"/>
  <c r="I65" i="43"/>
  <c r="H65" i="43"/>
  <c r="K65" i="43"/>
  <c r="M65" i="43"/>
  <c r="I131" i="43"/>
  <c r="J131" i="43"/>
  <c r="D53" i="40"/>
  <c r="F53" i="40" s="1"/>
  <c r="G50" i="42"/>
  <c r="I50" i="42" s="1"/>
  <c r="J50" i="42" s="1"/>
  <c r="D132" i="43"/>
  <c r="O132" i="43" s="1"/>
  <c r="K52" i="40"/>
  <c r="G51" i="42" s="1"/>
  <c r="I51" i="42" s="1"/>
  <c r="J51" i="42" s="1"/>
  <c r="C51" i="42"/>
  <c r="E51" i="42" s="1"/>
  <c r="F51" i="42" s="1"/>
  <c r="D66" i="43"/>
  <c r="E54" i="40"/>
  <c r="A68" i="43"/>
  <c r="B69" i="43"/>
  <c r="A134" i="43"/>
  <c r="G134" i="43" s="1"/>
  <c r="G67" i="43"/>
  <c r="C54" i="40"/>
  <c r="D54" i="40" s="1"/>
  <c r="C67" i="43"/>
  <c r="N67" i="43" s="1"/>
  <c r="C134" i="43"/>
  <c r="N134" i="43" s="1"/>
  <c r="I53" i="40"/>
  <c r="J53" i="40" s="1"/>
  <c r="B135" i="43"/>
  <c r="A54" i="42"/>
  <c r="B56" i="40"/>
  <c r="A55" i="40"/>
  <c r="C55" i="40" s="1"/>
  <c r="J66" i="43" l="1"/>
  <c r="O66" i="43"/>
  <c r="G53" i="40"/>
  <c r="K53" i="40" s="1"/>
  <c r="P65" i="43"/>
  <c r="H55" i="40"/>
  <c r="I66" i="43"/>
  <c r="J132" i="43"/>
  <c r="I132" i="43"/>
  <c r="P131" i="43"/>
  <c r="D133" i="43"/>
  <c r="O133" i="43" s="1"/>
  <c r="C136" i="43"/>
  <c r="N136" i="43" s="1"/>
  <c r="C69" i="43"/>
  <c r="N69" i="43" s="1"/>
  <c r="F54" i="40"/>
  <c r="B70" i="43"/>
  <c r="C52" i="42"/>
  <c r="E52" i="42" s="1"/>
  <c r="F52" i="42" s="1"/>
  <c r="D67" i="43"/>
  <c r="E67" i="43"/>
  <c r="L67" i="43" s="1"/>
  <c r="F67" i="43"/>
  <c r="C68" i="43"/>
  <c r="N68" i="43" s="1"/>
  <c r="C135" i="43"/>
  <c r="N135" i="43" s="1"/>
  <c r="I54" i="40"/>
  <c r="J54" i="40" s="1"/>
  <c r="G54" i="40" s="1"/>
  <c r="E55" i="40"/>
  <c r="I55" i="40" s="1"/>
  <c r="A69" i="43"/>
  <c r="D55" i="40"/>
  <c r="B53" i="42"/>
  <c r="E134" i="43"/>
  <c r="L134" i="43" s="1"/>
  <c r="F134" i="43"/>
  <c r="B136" i="43"/>
  <c r="A135" i="43"/>
  <c r="G135" i="43" s="1"/>
  <c r="G68" i="43"/>
  <c r="B54" i="42"/>
  <c r="H54" i="42" s="1"/>
  <c r="A55" i="42"/>
  <c r="B57" i="40"/>
  <c r="A56" i="40"/>
  <c r="C56" i="40" s="1"/>
  <c r="J67" i="43" l="1"/>
  <c r="O67" i="43"/>
  <c r="P132" i="43"/>
  <c r="H134" i="43"/>
  <c r="J55" i="40"/>
  <c r="G55" i="40" s="1"/>
  <c r="H67" i="43"/>
  <c r="I67" i="43"/>
  <c r="M134" i="43"/>
  <c r="K134" i="43"/>
  <c r="D54" i="42"/>
  <c r="H53" i="42"/>
  <c r="D53" i="42"/>
  <c r="K67" i="43"/>
  <c r="M67" i="43"/>
  <c r="P66" i="43"/>
  <c r="H56" i="40"/>
  <c r="J133" i="43"/>
  <c r="I133" i="43"/>
  <c r="C137" i="43"/>
  <c r="N137" i="43" s="1"/>
  <c r="C70" i="43"/>
  <c r="N70" i="43" s="1"/>
  <c r="A136" i="43"/>
  <c r="G136" i="43" s="1"/>
  <c r="G69" i="43"/>
  <c r="F135" i="43"/>
  <c r="E135" i="43"/>
  <c r="L135" i="43" s="1"/>
  <c r="B71" i="43"/>
  <c r="K54" i="40"/>
  <c r="D135" i="43" s="1"/>
  <c r="O135" i="43" s="1"/>
  <c r="F68" i="43"/>
  <c r="E68" i="43"/>
  <c r="L68" i="43" s="1"/>
  <c r="F55" i="40"/>
  <c r="B137" i="43"/>
  <c r="F69" i="43"/>
  <c r="E69" i="43"/>
  <c r="L69" i="43" s="1"/>
  <c r="E56" i="40"/>
  <c r="I56" i="40" s="1"/>
  <c r="A70" i="43"/>
  <c r="D56" i="40"/>
  <c r="D68" i="43"/>
  <c r="C53" i="42"/>
  <c r="E53" i="42" s="1"/>
  <c r="E136" i="43"/>
  <c r="L136" i="43" s="1"/>
  <c r="F136" i="43"/>
  <c r="G52" i="42"/>
  <c r="I52" i="42" s="1"/>
  <c r="J52" i="42" s="1"/>
  <c r="D134" i="43"/>
  <c r="O134" i="43" s="1"/>
  <c r="B55" i="42"/>
  <c r="H55" i="42" s="1"/>
  <c r="A56" i="42"/>
  <c r="B58" i="40"/>
  <c r="A57" i="40"/>
  <c r="C57" i="40" s="1"/>
  <c r="J68" i="43" l="1"/>
  <c r="O68" i="43"/>
  <c r="F53" i="42"/>
  <c r="P133" i="43"/>
  <c r="P67" i="43"/>
  <c r="M136" i="43"/>
  <c r="K136" i="43"/>
  <c r="H57" i="40"/>
  <c r="I68" i="43"/>
  <c r="M69" i="43"/>
  <c r="K69" i="43"/>
  <c r="M68" i="43"/>
  <c r="K68" i="43"/>
  <c r="K135" i="43"/>
  <c r="M135" i="43"/>
  <c r="D55" i="42"/>
  <c r="H136" i="43"/>
  <c r="H69" i="43"/>
  <c r="H68" i="43"/>
  <c r="H135" i="43"/>
  <c r="J56" i="40"/>
  <c r="G56" i="40" s="1"/>
  <c r="I135" i="43"/>
  <c r="J135" i="43"/>
  <c r="J134" i="43"/>
  <c r="I134" i="43"/>
  <c r="K55" i="40"/>
  <c r="D136" i="43" s="1"/>
  <c r="O136" i="43" s="1"/>
  <c r="G53" i="42"/>
  <c r="I53" i="42" s="1"/>
  <c r="J53" i="42" s="1"/>
  <c r="C71" i="43"/>
  <c r="N71" i="43" s="1"/>
  <c r="C138" i="43"/>
  <c r="N138" i="43" s="1"/>
  <c r="A137" i="43"/>
  <c r="G137" i="43" s="1"/>
  <c r="G70" i="43"/>
  <c r="B138" i="43"/>
  <c r="D69" i="43"/>
  <c r="C54" i="42"/>
  <c r="E54" i="42" s="1"/>
  <c r="F54" i="42" s="1"/>
  <c r="B72" i="43"/>
  <c r="F56" i="40"/>
  <c r="F70" i="43"/>
  <c r="E70" i="43"/>
  <c r="L70" i="43" s="1"/>
  <c r="E57" i="40"/>
  <c r="I57" i="40" s="1"/>
  <c r="A71" i="43"/>
  <c r="D57" i="40"/>
  <c r="E137" i="43"/>
  <c r="L137" i="43" s="1"/>
  <c r="F137" i="43"/>
  <c r="B56" i="42"/>
  <c r="D56" i="42" s="1"/>
  <c r="A57" i="42"/>
  <c r="B59" i="40"/>
  <c r="A58" i="40"/>
  <c r="H58" i="40" s="1"/>
  <c r="J69" i="43" l="1"/>
  <c r="O69" i="43"/>
  <c r="H137" i="43"/>
  <c r="P68" i="43"/>
  <c r="J57" i="40"/>
  <c r="G57" i="40" s="1"/>
  <c r="H56" i="42"/>
  <c r="M137" i="43"/>
  <c r="K137" i="43"/>
  <c r="K70" i="43"/>
  <c r="M70" i="43"/>
  <c r="H70" i="43"/>
  <c r="I69" i="43"/>
  <c r="P134" i="43"/>
  <c r="J136" i="43"/>
  <c r="I136" i="43"/>
  <c r="P135" i="43"/>
  <c r="G54" i="42"/>
  <c r="I54" i="42" s="1"/>
  <c r="J54" i="42" s="1"/>
  <c r="F57" i="40"/>
  <c r="D71" i="43" s="1"/>
  <c r="K56" i="40"/>
  <c r="E58" i="40"/>
  <c r="A72" i="43"/>
  <c r="A138" i="43"/>
  <c r="G138" i="43" s="1"/>
  <c r="G71" i="43"/>
  <c r="B139" i="43"/>
  <c r="C55" i="42"/>
  <c r="E55" i="42" s="1"/>
  <c r="F55" i="42" s="1"/>
  <c r="D70" i="43"/>
  <c r="F138" i="43"/>
  <c r="E138" i="43"/>
  <c r="L138" i="43" s="1"/>
  <c r="B73" i="43"/>
  <c r="C58" i="40"/>
  <c r="D58" i="40" s="1"/>
  <c r="F71" i="43"/>
  <c r="E71" i="43"/>
  <c r="L71" i="43" s="1"/>
  <c r="A58" i="42"/>
  <c r="B60" i="40"/>
  <c r="A59" i="40"/>
  <c r="H59" i="40" s="1"/>
  <c r="O71" i="43" l="1"/>
  <c r="J70" i="43"/>
  <c r="O70" i="43"/>
  <c r="C56" i="42"/>
  <c r="E56" i="42" s="1"/>
  <c r="F56" i="42" s="1"/>
  <c r="J71" i="43"/>
  <c r="P69" i="43"/>
  <c r="H71" i="43"/>
  <c r="K138" i="43"/>
  <c r="M138" i="43"/>
  <c r="I71" i="43"/>
  <c r="H138" i="43"/>
  <c r="M71" i="43"/>
  <c r="K71" i="43"/>
  <c r="I70" i="43"/>
  <c r="P136" i="43"/>
  <c r="F58" i="40"/>
  <c r="D72" i="43" s="1"/>
  <c r="G55" i="42"/>
  <c r="I55" i="42" s="1"/>
  <c r="J55" i="42" s="1"/>
  <c r="D137" i="43"/>
  <c r="O137" i="43" s="1"/>
  <c r="B57" i="42"/>
  <c r="E59" i="40"/>
  <c r="A73" i="43"/>
  <c r="C59" i="40"/>
  <c r="B74" i="43"/>
  <c r="B140" i="43"/>
  <c r="A139" i="43"/>
  <c r="G139" i="43" s="1"/>
  <c r="G72" i="43"/>
  <c r="C72" i="43"/>
  <c r="N72" i="43" s="1"/>
  <c r="C139" i="43"/>
  <c r="N139" i="43" s="1"/>
  <c r="I58" i="40"/>
  <c r="J58" i="40" s="1"/>
  <c r="G58" i="40" s="1"/>
  <c r="K57" i="40"/>
  <c r="A59" i="42"/>
  <c r="B61" i="40"/>
  <c r="A60" i="40"/>
  <c r="H60" i="40" s="1"/>
  <c r="O72" i="43" l="1"/>
  <c r="D59" i="40"/>
  <c r="F59" i="40" s="1"/>
  <c r="C58" i="42" s="1"/>
  <c r="I59" i="40"/>
  <c r="C57" i="42"/>
  <c r="E57" i="42" s="1"/>
  <c r="J72" i="43"/>
  <c r="P70" i="43"/>
  <c r="P71" i="43"/>
  <c r="H57" i="42"/>
  <c r="D57" i="42"/>
  <c r="I137" i="43"/>
  <c r="J137" i="43"/>
  <c r="B58" i="42"/>
  <c r="B141" i="43"/>
  <c r="F139" i="43"/>
  <c r="E139" i="43"/>
  <c r="L139" i="43" s="1"/>
  <c r="C73" i="43"/>
  <c r="N73" i="43" s="1"/>
  <c r="C140" i="43"/>
  <c r="N140" i="43" s="1"/>
  <c r="E60" i="40"/>
  <c r="A74" i="43"/>
  <c r="F72" i="43"/>
  <c r="E72" i="43"/>
  <c r="L72" i="43" s="1"/>
  <c r="C60" i="40"/>
  <c r="B75" i="43"/>
  <c r="A140" i="43"/>
  <c r="G140" i="43" s="1"/>
  <c r="G73" i="43"/>
  <c r="G56" i="42"/>
  <c r="I56" i="42" s="1"/>
  <c r="J56" i="42" s="1"/>
  <c r="D138" i="43"/>
  <c r="O138" i="43" s="1"/>
  <c r="K58" i="40"/>
  <c r="A60" i="42"/>
  <c r="B62" i="40"/>
  <c r="A61" i="40"/>
  <c r="C61" i="40" s="1"/>
  <c r="I61" i="40" s="1"/>
  <c r="C37" i="1"/>
  <c r="D73" i="43" l="1"/>
  <c r="J59" i="40"/>
  <c r="G59" i="40" s="1"/>
  <c r="K59" i="40" s="1"/>
  <c r="B59" i="42"/>
  <c r="H59" i="42" s="1"/>
  <c r="I60" i="40"/>
  <c r="J60" i="40" s="1"/>
  <c r="H61" i="40"/>
  <c r="F57" i="42"/>
  <c r="E58" i="42"/>
  <c r="K72" i="43"/>
  <c r="M72" i="43"/>
  <c r="H72" i="43"/>
  <c r="H58" i="42"/>
  <c r="D58" i="42"/>
  <c r="K139" i="43"/>
  <c r="M139" i="43"/>
  <c r="H139" i="43"/>
  <c r="I72" i="43"/>
  <c r="J138" i="43"/>
  <c r="I138" i="43"/>
  <c r="P137" i="43"/>
  <c r="A141" i="43"/>
  <c r="G141" i="43" s="1"/>
  <c r="G74" i="43"/>
  <c r="F73" i="43"/>
  <c r="E73" i="43"/>
  <c r="L73" i="43" s="1"/>
  <c r="C75" i="43"/>
  <c r="N75" i="43" s="1"/>
  <c r="C142" i="43"/>
  <c r="N142" i="43" s="1"/>
  <c r="E61" i="40"/>
  <c r="A75" i="43"/>
  <c r="D61" i="40"/>
  <c r="B76" i="43"/>
  <c r="I62" i="40"/>
  <c r="B142" i="43"/>
  <c r="C74" i="43"/>
  <c r="N74" i="43" s="1"/>
  <c r="C141" i="43"/>
  <c r="N141" i="43" s="1"/>
  <c r="D60" i="40"/>
  <c r="F60" i="40" s="1"/>
  <c r="F140" i="43"/>
  <c r="E140" i="43"/>
  <c r="L140" i="43" s="1"/>
  <c r="G57" i="42"/>
  <c r="I57" i="42" s="1"/>
  <c r="J57" i="42" s="1"/>
  <c r="D139" i="43"/>
  <c r="O139" i="43" s="1"/>
  <c r="B60" i="42"/>
  <c r="H60" i="42" s="1"/>
  <c r="A61" i="42"/>
  <c r="B63" i="40"/>
  <c r="A62" i="40"/>
  <c r="C62" i="40" s="1"/>
  <c r="C38" i="1"/>
  <c r="C57" i="1" s="1"/>
  <c r="C56" i="1"/>
  <c r="J73" i="43" l="1"/>
  <c r="O73" i="43"/>
  <c r="J61" i="40"/>
  <c r="G61" i="40" s="1"/>
  <c r="D59" i="42"/>
  <c r="F58" i="42"/>
  <c r="H73" i="43"/>
  <c r="P138" i="43"/>
  <c r="G60" i="40"/>
  <c r="K60" i="40" s="1"/>
  <c r="M140" i="43"/>
  <c r="K140" i="43"/>
  <c r="D60" i="42"/>
  <c r="H140" i="43"/>
  <c r="K73" i="43"/>
  <c r="M73" i="43"/>
  <c r="I73" i="43"/>
  <c r="P72" i="43"/>
  <c r="H62" i="40"/>
  <c r="J62" i="40" s="1"/>
  <c r="I139" i="43"/>
  <c r="J139" i="43"/>
  <c r="F61" i="40"/>
  <c r="D75" i="43" s="1"/>
  <c r="C143" i="43"/>
  <c r="N143" i="43" s="1"/>
  <c r="C76" i="43"/>
  <c r="N76" i="43" s="1"/>
  <c r="E75" i="43"/>
  <c r="L75" i="43" s="1"/>
  <c r="F75" i="43"/>
  <c r="C59" i="42"/>
  <c r="E59" i="42" s="1"/>
  <c r="D74" i="43"/>
  <c r="E62" i="40"/>
  <c r="A76" i="43"/>
  <c r="D62" i="40"/>
  <c r="E141" i="43"/>
  <c r="L141" i="43" s="1"/>
  <c r="F141" i="43"/>
  <c r="B143" i="43"/>
  <c r="A142" i="43"/>
  <c r="G142" i="43" s="1"/>
  <c r="G75" i="43"/>
  <c r="B77" i="43"/>
  <c r="E74" i="43"/>
  <c r="L74" i="43" s="1"/>
  <c r="F74" i="43"/>
  <c r="F142" i="43"/>
  <c r="E142" i="43"/>
  <c r="L142" i="43" s="1"/>
  <c r="G58" i="42"/>
  <c r="I58" i="42" s="1"/>
  <c r="J58" i="42" s="1"/>
  <c r="D140" i="43"/>
  <c r="O140" i="43" s="1"/>
  <c r="B61" i="42"/>
  <c r="D61" i="42" s="1"/>
  <c r="A62" i="42"/>
  <c r="C39" i="1"/>
  <c r="C40" i="1" s="1"/>
  <c r="B64" i="40"/>
  <c r="A63" i="40"/>
  <c r="C63" i="40" s="1"/>
  <c r="I63" i="40" s="1"/>
  <c r="O75" i="43" l="1"/>
  <c r="J74" i="43"/>
  <c r="O74" i="43"/>
  <c r="F59" i="42"/>
  <c r="J75" i="43"/>
  <c r="P73" i="43"/>
  <c r="C60" i="42"/>
  <c r="E60" i="42" s="1"/>
  <c r="F60" i="42" s="1"/>
  <c r="H141" i="43"/>
  <c r="K74" i="43"/>
  <c r="M74" i="43"/>
  <c r="I75" i="43"/>
  <c r="K75" i="43"/>
  <c r="M75" i="43"/>
  <c r="K142" i="43"/>
  <c r="M142" i="43"/>
  <c r="I74" i="43"/>
  <c r="H61" i="42"/>
  <c r="H142" i="43"/>
  <c r="G62" i="40"/>
  <c r="H74" i="43"/>
  <c r="K141" i="43"/>
  <c r="M141" i="43"/>
  <c r="H75" i="43"/>
  <c r="H63" i="40"/>
  <c r="J63" i="40" s="1"/>
  <c r="J140" i="43"/>
  <c r="I140" i="43"/>
  <c r="P139" i="43"/>
  <c r="F76" i="43"/>
  <c r="E76" i="43"/>
  <c r="L76" i="43" s="1"/>
  <c r="B62" i="42"/>
  <c r="H62" i="42" s="1"/>
  <c r="E63" i="40"/>
  <c r="A77" i="43"/>
  <c r="D63" i="40"/>
  <c r="B144" i="43"/>
  <c r="F62" i="40"/>
  <c r="F143" i="43"/>
  <c r="E143" i="43"/>
  <c r="L143" i="43" s="1"/>
  <c r="C144" i="43"/>
  <c r="N144" i="43" s="1"/>
  <c r="C77" i="43"/>
  <c r="N77" i="43" s="1"/>
  <c r="B78" i="43"/>
  <c r="A143" i="43"/>
  <c r="G143" i="43" s="1"/>
  <c r="G76" i="43"/>
  <c r="G59" i="42"/>
  <c r="I59" i="42" s="1"/>
  <c r="J59" i="42" s="1"/>
  <c r="D141" i="43"/>
  <c r="O141" i="43" s="1"/>
  <c r="K61" i="40"/>
  <c r="A63" i="42"/>
  <c r="C58" i="1"/>
  <c r="C59" i="1"/>
  <c r="C41" i="1"/>
  <c r="C60" i="1" s="1"/>
  <c r="B65" i="40"/>
  <c r="A64" i="40"/>
  <c r="H64" i="40" s="1"/>
  <c r="D62" i="42" l="1"/>
  <c r="M143" i="43"/>
  <c r="K143" i="43"/>
  <c r="K76" i="43"/>
  <c r="M76" i="43"/>
  <c r="H143" i="43"/>
  <c r="H76" i="43"/>
  <c r="G63" i="40"/>
  <c r="P75" i="43"/>
  <c r="P74" i="43"/>
  <c r="P140" i="43"/>
  <c r="I141" i="43"/>
  <c r="J141" i="43"/>
  <c r="E64" i="40"/>
  <c r="A78" i="43"/>
  <c r="C64" i="40"/>
  <c r="F77" i="43"/>
  <c r="E77" i="43"/>
  <c r="L77" i="43" s="1"/>
  <c r="E144" i="43"/>
  <c r="L144" i="43" s="1"/>
  <c r="F144" i="43"/>
  <c r="F63" i="40"/>
  <c r="D76" i="43"/>
  <c r="C61" i="42"/>
  <c r="E61" i="42" s="1"/>
  <c r="F61" i="42" s="1"/>
  <c r="B79" i="43"/>
  <c r="B145" i="43"/>
  <c r="A144" i="43"/>
  <c r="G144" i="43" s="1"/>
  <c r="G77" i="43"/>
  <c r="G60" i="42"/>
  <c r="I60" i="42" s="1"/>
  <c r="J60" i="42" s="1"/>
  <c r="D142" i="43"/>
  <c r="O142" i="43" s="1"/>
  <c r="A64" i="42"/>
  <c r="K62" i="40"/>
  <c r="C42" i="1"/>
  <c r="C61" i="1" s="1"/>
  <c r="B66" i="40"/>
  <c r="A65" i="40"/>
  <c r="C65" i="40" s="1"/>
  <c r="I65" i="40" s="1"/>
  <c r="J76" i="43" l="1"/>
  <c r="O76" i="43"/>
  <c r="D64" i="40"/>
  <c r="F64" i="40" s="1"/>
  <c r="C63" i="42" s="1"/>
  <c r="I64" i="40"/>
  <c r="J64" i="40" s="1"/>
  <c r="H144" i="43"/>
  <c r="K144" i="43"/>
  <c r="M144" i="43"/>
  <c r="I76" i="43"/>
  <c r="K77" i="43"/>
  <c r="M77" i="43"/>
  <c r="H77" i="43"/>
  <c r="H65" i="40"/>
  <c r="J142" i="43"/>
  <c r="I142" i="43"/>
  <c r="P141" i="43"/>
  <c r="B63" i="42"/>
  <c r="C79" i="43"/>
  <c r="N79" i="43" s="1"/>
  <c r="C146" i="43"/>
  <c r="N146" i="43" s="1"/>
  <c r="C78" i="43"/>
  <c r="N78" i="43" s="1"/>
  <c r="C145" i="43"/>
  <c r="N145" i="43" s="1"/>
  <c r="B80" i="43"/>
  <c r="A145" i="43"/>
  <c r="G145" i="43" s="1"/>
  <c r="G78" i="43"/>
  <c r="B64" i="42"/>
  <c r="D64" i="42" s="1"/>
  <c r="E65" i="40"/>
  <c r="A79" i="43"/>
  <c r="D65" i="40"/>
  <c r="B146" i="43"/>
  <c r="C62" i="42"/>
  <c r="E62" i="42" s="1"/>
  <c r="F62" i="42" s="1"/>
  <c r="D77" i="43"/>
  <c r="G61" i="42"/>
  <c r="I61" i="42" s="1"/>
  <c r="J61" i="42" s="1"/>
  <c r="D143" i="43"/>
  <c r="O143" i="43" s="1"/>
  <c r="K63" i="40"/>
  <c r="A65" i="42"/>
  <c r="C43" i="1"/>
  <c r="C62" i="1" s="1"/>
  <c r="B67" i="40"/>
  <c r="A66" i="40"/>
  <c r="H66" i="40" s="1"/>
  <c r="J77" i="43" l="1"/>
  <c r="O77" i="43"/>
  <c r="J65" i="40"/>
  <c r="G65" i="40" s="1"/>
  <c r="G64" i="40"/>
  <c r="K64" i="40" s="1"/>
  <c r="E63" i="42"/>
  <c r="H64" i="42"/>
  <c r="P76" i="43"/>
  <c r="D78" i="43"/>
  <c r="H63" i="42"/>
  <c r="D63" i="42"/>
  <c r="I77" i="43"/>
  <c r="P142" i="43"/>
  <c r="I143" i="43"/>
  <c r="J143" i="43"/>
  <c r="F65" i="40"/>
  <c r="C64" i="42" s="1"/>
  <c r="E64" i="42" s="1"/>
  <c r="F64" i="42" s="1"/>
  <c r="B81" i="43"/>
  <c r="B147" i="43"/>
  <c r="E145" i="43"/>
  <c r="L145" i="43" s="1"/>
  <c r="F145" i="43"/>
  <c r="F146" i="43"/>
  <c r="E146" i="43"/>
  <c r="L146" i="43" s="1"/>
  <c r="E66" i="40"/>
  <c r="A80" i="43"/>
  <c r="A146" i="43"/>
  <c r="G146" i="43" s="1"/>
  <c r="G79" i="43"/>
  <c r="C66" i="40"/>
  <c r="I66" i="40" s="1"/>
  <c r="J66" i="40" s="1"/>
  <c r="E78" i="43"/>
  <c r="L78" i="43" s="1"/>
  <c r="F78" i="43"/>
  <c r="E79" i="43"/>
  <c r="L79" i="43" s="1"/>
  <c r="F79" i="43"/>
  <c r="G62" i="42"/>
  <c r="I62" i="42" s="1"/>
  <c r="J62" i="42" s="1"/>
  <c r="D144" i="43"/>
  <c r="O144" i="43" s="1"/>
  <c r="C44" i="1"/>
  <c r="C63" i="1" s="1"/>
  <c r="A66" i="42"/>
  <c r="B68" i="40"/>
  <c r="A67" i="40"/>
  <c r="C67" i="40" s="1"/>
  <c r="I67" i="40" s="1"/>
  <c r="J78" i="43" l="1"/>
  <c r="O78" i="43"/>
  <c r="F63" i="42"/>
  <c r="D79" i="43"/>
  <c r="I78" i="43"/>
  <c r="H79" i="43"/>
  <c r="P77" i="43"/>
  <c r="M79" i="43"/>
  <c r="K79" i="43"/>
  <c r="M146" i="43"/>
  <c r="K146" i="43"/>
  <c r="H78" i="43"/>
  <c r="H146" i="43"/>
  <c r="K145" i="43"/>
  <c r="M145" i="43"/>
  <c r="H67" i="40"/>
  <c r="J67" i="40" s="1"/>
  <c r="K78" i="43"/>
  <c r="M78" i="43"/>
  <c r="H145" i="43"/>
  <c r="J144" i="43"/>
  <c r="I144" i="43"/>
  <c r="P143" i="43"/>
  <c r="C45" i="1"/>
  <c r="C64" i="1" s="1"/>
  <c r="C65" i="1" s="1"/>
  <c r="C147" i="43"/>
  <c r="N147" i="43" s="1"/>
  <c r="C80" i="43"/>
  <c r="N80" i="43" s="1"/>
  <c r="A147" i="43"/>
  <c r="G147" i="43" s="1"/>
  <c r="G80" i="43"/>
  <c r="C81" i="43"/>
  <c r="N81" i="43" s="1"/>
  <c r="C148" i="43"/>
  <c r="N148" i="43" s="1"/>
  <c r="E67" i="40"/>
  <c r="A81" i="43"/>
  <c r="D67" i="40"/>
  <c r="B82" i="43"/>
  <c r="I68" i="40"/>
  <c r="B65" i="42"/>
  <c r="D66" i="40"/>
  <c r="B148" i="43"/>
  <c r="G63" i="42"/>
  <c r="I63" i="42" s="1"/>
  <c r="J63" i="42" s="1"/>
  <c r="D145" i="43"/>
  <c r="O145" i="43" s="1"/>
  <c r="K65" i="40"/>
  <c r="A67" i="42"/>
  <c r="B69" i="40"/>
  <c r="A68" i="40"/>
  <c r="C68" i="40" s="1"/>
  <c r="I79" i="43" l="1"/>
  <c r="O79" i="43"/>
  <c r="J79" i="43"/>
  <c r="F66" i="40"/>
  <c r="C65" i="42" s="1"/>
  <c r="E65" i="42" s="1"/>
  <c r="G66" i="40"/>
  <c r="K66" i="40" s="1"/>
  <c r="C46" i="1"/>
  <c r="P78" i="43"/>
  <c r="H65" i="42"/>
  <c r="D65" i="42"/>
  <c r="P144" i="43"/>
  <c r="G67" i="40"/>
  <c r="H68" i="40"/>
  <c r="J68" i="40" s="1"/>
  <c r="I145" i="43"/>
  <c r="J145" i="43"/>
  <c r="F67" i="40"/>
  <c r="C66" i="42" s="1"/>
  <c r="B83" i="43"/>
  <c r="C82" i="43"/>
  <c r="N82" i="43" s="1"/>
  <c r="C149" i="43"/>
  <c r="N149" i="43" s="1"/>
  <c r="E148" i="43"/>
  <c r="L148" i="43" s="1"/>
  <c r="F148" i="43"/>
  <c r="A148" i="43"/>
  <c r="G148" i="43" s="1"/>
  <c r="G81" i="43"/>
  <c r="F81" i="43"/>
  <c r="E81" i="43"/>
  <c r="L81" i="43" s="1"/>
  <c r="B149" i="43"/>
  <c r="E80" i="43"/>
  <c r="L80" i="43" s="1"/>
  <c r="F80" i="43"/>
  <c r="E68" i="40"/>
  <c r="A82" i="43"/>
  <c r="D68" i="40"/>
  <c r="F147" i="43"/>
  <c r="E147" i="43"/>
  <c r="L147" i="43" s="1"/>
  <c r="G64" i="42"/>
  <c r="I64" i="42" s="1"/>
  <c r="J64" i="42" s="1"/>
  <c r="D146" i="43"/>
  <c r="O146" i="43" s="1"/>
  <c r="B66" i="42"/>
  <c r="B67" i="42"/>
  <c r="D67" i="42" s="1"/>
  <c r="A68" i="42"/>
  <c r="B70" i="40"/>
  <c r="A69" i="40"/>
  <c r="C69" i="40" s="1"/>
  <c r="I69" i="40" s="1"/>
  <c r="P79" i="43" l="1"/>
  <c r="D80" i="43"/>
  <c r="F65" i="42"/>
  <c r="H147" i="43"/>
  <c r="H67" i="42"/>
  <c r="H148" i="43"/>
  <c r="E66" i="42"/>
  <c r="K81" i="43"/>
  <c r="M81" i="43"/>
  <c r="H80" i="43"/>
  <c r="H81" i="43"/>
  <c r="M148" i="43"/>
  <c r="K148" i="43"/>
  <c r="H66" i="42"/>
  <c r="D66" i="42"/>
  <c r="K147" i="43"/>
  <c r="M147" i="43"/>
  <c r="K80" i="43"/>
  <c r="M80" i="43"/>
  <c r="D81" i="43"/>
  <c r="G68" i="40"/>
  <c r="H69" i="40"/>
  <c r="J69" i="40" s="1"/>
  <c r="J146" i="43"/>
  <c r="I146" i="43"/>
  <c r="P145" i="43"/>
  <c r="F68" i="40"/>
  <c r="D82" i="43" s="1"/>
  <c r="C83" i="43"/>
  <c r="N83" i="43" s="1"/>
  <c r="C150" i="43"/>
  <c r="N150" i="43" s="1"/>
  <c r="F82" i="43"/>
  <c r="E82" i="43"/>
  <c r="L82" i="43" s="1"/>
  <c r="E69" i="40"/>
  <c r="A83" i="43"/>
  <c r="D69" i="40"/>
  <c r="B84" i="43"/>
  <c r="A149" i="43"/>
  <c r="G149" i="43" s="1"/>
  <c r="G82" i="43"/>
  <c r="F149" i="43"/>
  <c r="E149" i="43"/>
  <c r="L149" i="43" s="1"/>
  <c r="B150" i="43"/>
  <c r="G65" i="42"/>
  <c r="I65" i="42" s="1"/>
  <c r="J65" i="42" s="1"/>
  <c r="D147" i="43"/>
  <c r="O147" i="43" s="1"/>
  <c r="K67" i="40"/>
  <c r="B68" i="42"/>
  <c r="D68" i="42" s="1"/>
  <c r="A69" i="42"/>
  <c r="B71" i="40"/>
  <c r="A70" i="40"/>
  <c r="C70" i="40" s="1"/>
  <c r="I70" i="40" s="1"/>
  <c r="O82" i="43" l="1"/>
  <c r="J81" i="43"/>
  <c r="O81" i="43"/>
  <c r="J80" i="43"/>
  <c r="O80" i="43"/>
  <c r="I80" i="43"/>
  <c r="C67" i="42"/>
  <c r="E67" i="42" s="1"/>
  <c r="F67" i="42" s="1"/>
  <c r="G69" i="40"/>
  <c r="J82" i="43"/>
  <c r="P146" i="43"/>
  <c r="F66" i="42"/>
  <c r="H68" i="42"/>
  <c r="M82" i="43"/>
  <c r="K82" i="43"/>
  <c r="I82" i="43"/>
  <c r="M149" i="43"/>
  <c r="K149" i="43"/>
  <c r="I81" i="43"/>
  <c r="H70" i="40"/>
  <c r="J70" i="40" s="1"/>
  <c r="H149" i="43"/>
  <c r="H82" i="43"/>
  <c r="I147" i="43"/>
  <c r="J147" i="43"/>
  <c r="C151" i="43"/>
  <c r="N151" i="43" s="1"/>
  <c r="C84" i="43"/>
  <c r="N84" i="43" s="1"/>
  <c r="B85" i="43"/>
  <c r="A150" i="43"/>
  <c r="G150" i="43" s="1"/>
  <c r="G83" i="43"/>
  <c r="F150" i="43"/>
  <c r="E150" i="43"/>
  <c r="L150" i="43" s="1"/>
  <c r="E70" i="40"/>
  <c r="A84" i="43"/>
  <c r="D70" i="40"/>
  <c r="B151" i="43"/>
  <c r="F69" i="40"/>
  <c r="F83" i="43"/>
  <c r="E83" i="43"/>
  <c r="L83" i="43" s="1"/>
  <c r="G66" i="42"/>
  <c r="I66" i="42" s="1"/>
  <c r="J66" i="42" s="1"/>
  <c r="D148" i="43"/>
  <c r="O148" i="43" s="1"/>
  <c r="K68" i="40"/>
  <c r="B69" i="42"/>
  <c r="H69" i="42" s="1"/>
  <c r="A70" i="42"/>
  <c r="B72" i="40"/>
  <c r="A71" i="40"/>
  <c r="H71" i="40" s="1"/>
  <c r="P80" i="43" l="1"/>
  <c r="P81" i="43"/>
  <c r="P82" i="43"/>
  <c r="G70" i="40"/>
  <c r="K70" i="40" s="1"/>
  <c r="H83" i="43"/>
  <c r="D69" i="42"/>
  <c r="M150" i="43"/>
  <c r="K150" i="43"/>
  <c r="M83" i="43"/>
  <c r="K83" i="43"/>
  <c r="H150" i="43"/>
  <c r="J148" i="43"/>
  <c r="I148" i="43"/>
  <c r="P147" i="43"/>
  <c r="B152" i="43"/>
  <c r="F70" i="40"/>
  <c r="A151" i="43"/>
  <c r="G151" i="43" s="1"/>
  <c r="G84" i="43"/>
  <c r="E84" i="43"/>
  <c r="L84" i="43" s="1"/>
  <c r="F84" i="43"/>
  <c r="B86" i="43"/>
  <c r="I72" i="40"/>
  <c r="E71" i="40"/>
  <c r="A85" i="43"/>
  <c r="C68" i="42"/>
  <c r="E68" i="42" s="1"/>
  <c r="F68" i="42" s="1"/>
  <c r="D83" i="43"/>
  <c r="C71" i="40"/>
  <c r="F151" i="43"/>
  <c r="E151" i="43"/>
  <c r="L151" i="43" s="1"/>
  <c r="G67" i="42"/>
  <c r="I67" i="42" s="1"/>
  <c r="J67" i="42" s="1"/>
  <c r="D149" i="43"/>
  <c r="O149" i="43" s="1"/>
  <c r="K69" i="40"/>
  <c r="A71" i="42"/>
  <c r="B73" i="40"/>
  <c r="A72" i="40"/>
  <c r="C72" i="40" s="1"/>
  <c r="J83" i="43" l="1"/>
  <c r="O83" i="43"/>
  <c r="B70" i="42"/>
  <c r="H70" i="42" s="1"/>
  <c r="I71" i="40"/>
  <c r="J71" i="40" s="1"/>
  <c r="H151" i="43"/>
  <c r="H84" i="43"/>
  <c r="M84" i="43"/>
  <c r="K84" i="43"/>
  <c r="I83" i="43"/>
  <c r="H72" i="40"/>
  <c r="K151" i="43"/>
  <c r="M151" i="43"/>
  <c r="P148" i="43"/>
  <c r="I149" i="43"/>
  <c r="J149" i="43"/>
  <c r="C153" i="43"/>
  <c r="N153" i="43" s="1"/>
  <c r="C86" i="43"/>
  <c r="N86" i="43" s="1"/>
  <c r="E72" i="40"/>
  <c r="A86" i="43"/>
  <c r="D72" i="40"/>
  <c r="B87" i="43"/>
  <c r="B153" i="43"/>
  <c r="C152" i="43"/>
  <c r="N152" i="43" s="1"/>
  <c r="C85" i="43"/>
  <c r="N85" i="43" s="1"/>
  <c r="A152" i="43"/>
  <c r="G152" i="43" s="1"/>
  <c r="G85" i="43"/>
  <c r="C69" i="42"/>
  <c r="E69" i="42" s="1"/>
  <c r="F69" i="42" s="1"/>
  <c r="D84" i="43"/>
  <c r="D71" i="40"/>
  <c r="G69" i="42"/>
  <c r="I69" i="42" s="1"/>
  <c r="J69" i="42" s="1"/>
  <c r="D151" i="43"/>
  <c r="O151" i="43" s="1"/>
  <c r="G68" i="42"/>
  <c r="I68" i="42" s="1"/>
  <c r="J68" i="42" s="1"/>
  <c r="D150" i="43"/>
  <c r="O150" i="43" s="1"/>
  <c r="B71" i="42"/>
  <c r="H71" i="42" s="1"/>
  <c r="A72" i="42"/>
  <c r="B74" i="40"/>
  <c r="A73" i="40"/>
  <c r="H73" i="40" s="1"/>
  <c r="J84" i="43" l="1"/>
  <c r="O84" i="43"/>
  <c r="D70" i="42"/>
  <c r="J72" i="40"/>
  <c r="G72" i="40" s="1"/>
  <c r="K72" i="40" s="1"/>
  <c r="I84" i="43"/>
  <c r="D71" i="42"/>
  <c r="P83" i="43"/>
  <c r="F71" i="40"/>
  <c r="C70" i="42" s="1"/>
  <c r="E70" i="42" s="1"/>
  <c r="G71" i="40"/>
  <c r="K71" i="40" s="1"/>
  <c r="D152" i="43" s="1"/>
  <c r="O152" i="43" s="1"/>
  <c r="I151" i="43"/>
  <c r="J151" i="43"/>
  <c r="J150" i="43"/>
  <c r="I150" i="43"/>
  <c r="P149" i="43"/>
  <c r="F85" i="43"/>
  <c r="E85" i="43"/>
  <c r="L85" i="43" s="1"/>
  <c r="F72" i="40"/>
  <c r="E86" i="43"/>
  <c r="L86" i="43" s="1"/>
  <c r="F86" i="43"/>
  <c r="E73" i="40"/>
  <c r="A87" i="43"/>
  <c r="B88" i="43"/>
  <c r="E152" i="43"/>
  <c r="L152" i="43" s="1"/>
  <c r="F152" i="43"/>
  <c r="C73" i="40"/>
  <c r="B154" i="43"/>
  <c r="A153" i="43"/>
  <c r="G153" i="43" s="1"/>
  <c r="G86" i="43"/>
  <c r="E153" i="43"/>
  <c r="L153" i="43" s="1"/>
  <c r="F153" i="43"/>
  <c r="A73" i="42"/>
  <c r="B75" i="40"/>
  <c r="A74" i="40"/>
  <c r="H74" i="40" s="1"/>
  <c r="F70" i="42" l="1"/>
  <c r="B72" i="42"/>
  <c r="H72" i="42" s="1"/>
  <c r="I73" i="40"/>
  <c r="J73" i="40" s="1"/>
  <c r="H85" i="43"/>
  <c r="P84" i="43"/>
  <c r="D85" i="43"/>
  <c r="P150" i="43"/>
  <c r="K153" i="43"/>
  <c r="M153" i="43"/>
  <c r="K86" i="43"/>
  <c r="M86" i="43"/>
  <c r="H152" i="43"/>
  <c r="K152" i="43"/>
  <c r="M152" i="43"/>
  <c r="H153" i="43"/>
  <c r="H86" i="43"/>
  <c r="K85" i="43"/>
  <c r="M85" i="43"/>
  <c r="J152" i="43"/>
  <c r="I152" i="43"/>
  <c r="P151" i="43"/>
  <c r="G70" i="42"/>
  <c r="I70" i="42" s="1"/>
  <c r="J70" i="42" s="1"/>
  <c r="E74" i="40"/>
  <c r="A88" i="43"/>
  <c r="B155" i="43"/>
  <c r="C71" i="42"/>
  <c r="E71" i="42" s="1"/>
  <c r="F71" i="42" s="1"/>
  <c r="D86" i="43"/>
  <c r="D73" i="40"/>
  <c r="B89" i="43"/>
  <c r="C154" i="43"/>
  <c r="N154" i="43" s="1"/>
  <c r="C87" i="43"/>
  <c r="N87" i="43" s="1"/>
  <c r="C74" i="40"/>
  <c r="A154" i="43"/>
  <c r="G154" i="43" s="1"/>
  <c r="G87" i="43"/>
  <c r="G71" i="42"/>
  <c r="I71" i="42" s="1"/>
  <c r="J71" i="42" s="1"/>
  <c r="D153" i="43"/>
  <c r="O153" i="43" s="1"/>
  <c r="A74" i="42"/>
  <c r="B76" i="40"/>
  <c r="A75" i="40"/>
  <c r="C75" i="40" s="1"/>
  <c r="I75" i="40" s="1"/>
  <c r="J85" i="43" l="1"/>
  <c r="O85" i="43"/>
  <c r="J86" i="43"/>
  <c r="O86" i="43"/>
  <c r="D72" i="42"/>
  <c r="I85" i="43"/>
  <c r="B73" i="42"/>
  <c r="D73" i="42" s="1"/>
  <c r="I74" i="40"/>
  <c r="J74" i="40" s="1"/>
  <c r="P152" i="43"/>
  <c r="F73" i="40"/>
  <c r="C72" i="42" s="1"/>
  <c r="E72" i="42" s="1"/>
  <c r="G73" i="40"/>
  <c r="K73" i="40" s="1"/>
  <c r="I86" i="43"/>
  <c r="H75" i="40"/>
  <c r="J153" i="43"/>
  <c r="I153" i="43"/>
  <c r="C156" i="43"/>
  <c r="N156" i="43" s="1"/>
  <c r="C89" i="43"/>
  <c r="N89" i="43" s="1"/>
  <c r="C88" i="43"/>
  <c r="N88" i="43" s="1"/>
  <c r="C155" i="43"/>
  <c r="N155" i="43" s="1"/>
  <c r="F87" i="43"/>
  <c r="E87" i="43"/>
  <c r="L87" i="43" s="1"/>
  <c r="D74" i="40"/>
  <c r="E75" i="40"/>
  <c r="A89" i="43"/>
  <c r="D75" i="40"/>
  <c r="B90" i="43"/>
  <c r="F154" i="43"/>
  <c r="E154" i="43"/>
  <c r="L154" i="43" s="1"/>
  <c r="B156" i="43"/>
  <c r="A155" i="43"/>
  <c r="G155" i="43" s="1"/>
  <c r="G88" i="43"/>
  <c r="B74" i="42"/>
  <c r="H74" i="42" s="1"/>
  <c r="A75" i="42"/>
  <c r="B77" i="40"/>
  <c r="A76" i="40"/>
  <c r="H76" i="40" s="1"/>
  <c r="P85" i="43" l="1"/>
  <c r="F72" i="42"/>
  <c r="H73" i="42"/>
  <c r="J75" i="40"/>
  <c r="G75" i="40" s="1"/>
  <c r="D87" i="43"/>
  <c r="H154" i="43"/>
  <c r="H87" i="43"/>
  <c r="P86" i="43"/>
  <c r="K154" i="43"/>
  <c r="M154" i="43"/>
  <c r="K87" i="43"/>
  <c r="M87" i="43"/>
  <c r="D74" i="42"/>
  <c r="F74" i="40"/>
  <c r="D88" i="43" s="1"/>
  <c r="G74" i="40"/>
  <c r="K74" i="40" s="1"/>
  <c r="D155" i="43" s="1"/>
  <c r="O155" i="43" s="1"/>
  <c r="P153" i="43"/>
  <c r="F75" i="40"/>
  <c r="D89" i="43" s="1"/>
  <c r="E76" i="40"/>
  <c r="A90" i="43"/>
  <c r="C76" i="40"/>
  <c r="A156" i="43"/>
  <c r="G156" i="43" s="1"/>
  <c r="G89" i="43"/>
  <c r="F89" i="43"/>
  <c r="E89" i="43"/>
  <c r="L89" i="43" s="1"/>
  <c r="B91" i="43"/>
  <c r="E155" i="43"/>
  <c r="L155" i="43" s="1"/>
  <c r="F155" i="43"/>
  <c r="F156" i="43"/>
  <c r="E156" i="43"/>
  <c r="L156" i="43" s="1"/>
  <c r="B157" i="43"/>
  <c r="E88" i="43"/>
  <c r="L88" i="43" s="1"/>
  <c r="F88" i="43"/>
  <c r="G72" i="42"/>
  <c r="I72" i="42" s="1"/>
  <c r="J72" i="42" s="1"/>
  <c r="D154" i="43"/>
  <c r="O154" i="43" s="1"/>
  <c r="A76" i="42"/>
  <c r="B78" i="40"/>
  <c r="A77" i="40"/>
  <c r="C77" i="40" s="1"/>
  <c r="I77" i="40" s="1"/>
  <c r="O89" i="43" l="1"/>
  <c r="J87" i="43"/>
  <c r="O87" i="43"/>
  <c r="J88" i="43"/>
  <c r="O88" i="43"/>
  <c r="I87" i="43"/>
  <c r="K75" i="40"/>
  <c r="G74" i="42" s="1"/>
  <c r="I74" i="42" s="1"/>
  <c r="J74" i="42" s="1"/>
  <c r="D76" i="40"/>
  <c r="I76" i="40"/>
  <c r="J76" i="40" s="1"/>
  <c r="H77" i="40"/>
  <c r="J89" i="43"/>
  <c r="H156" i="43"/>
  <c r="C73" i="42"/>
  <c r="E73" i="42" s="1"/>
  <c r="F73" i="42" s="1"/>
  <c r="C74" i="42"/>
  <c r="E74" i="42" s="1"/>
  <c r="F74" i="42" s="1"/>
  <c r="H89" i="43"/>
  <c r="I89" i="43"/>
  <c r="I88" i="43"/>
  <c r="K88" i="43"/>
  <c r="M88" i="43"/>
  <c r="H88" i="43"/>
  <c r="H155" i="43"/>
  <c r="M89" i="43"/>
  <c r="K89" i="43"/>
  <c r="K155" i="43"/>
  <c r="M155" i="43"/>
  <c r="M156" i="43"/>
  <c r="K156" i="43"/>
  <c r="I155" i="43"/>
  <c r="J155" i="43"/>
  <c r="J154" i="43"/>
  <c r="I154" i="43"/>
  <c r="B75" i="42"/>
  <c r="B92" i="43"/>
  <c r="G73" i="42"/>
  <c r="I73" i="42" s="1"/>
  <c r="J73" i="42" s="1"/>
  <c r="A157" i="43"/>
  <c r="G157" i="43" s="1"/>
  <c r="G90" i="43"/>
  <c r="B158" i="43"/>
  <c r="C91" i="43"/>
  <c r="N91" i="43" s="1"/>
  <c r="C158" i="43"/>
  <c r="N158" i="43" s="1"/>
  <c r="E77" i="40"/>
  <c r="A91" i="43"/>
  <c r="D77" i="40"/>
  <c r="C90" i="43"/>
  <c r="N90" i="43" s="1"/>
  <c r="C157" i="43"/>
  <c r="N157" i="43" s="1"/>
  <c r="A77" i="42"/>
  <c r="B76" i="42"/>
  <c r="H76" i="42" s="1"/>
  <c r="B79" i="40"/>
  <c r="A78" i="40"/>
  <c r="C78" i="40" s="1"/>
  <c r="I78" i="40" s="1"/>
  <c r="P87" i="43" l="1"/>
  <c r="D156" i="43"/>
  <c r="G76" i="40"/>
  <c r="K76" i="40" s="1"/>
  <c r="D157" i="43" s="1"/>
  <c r="O157" i="43" s="1"/>
  <c r="F76" i="40"/>
  <c r="C75" i="42" s="1"/>
  <c r="E75" i="42" s="1"/>
  <c r="J77" i="40"/>
  <c r="H78" i="40"/>
  <c r="J78" i="40" s="1"/>
  <c r="P154" i="43"/>
  <c r="P89" i="43"/>
  <c r="D76" i="42"/>
  <c r="H75" i="42"/>
  <c r="D75" i="42"/>
  <c r="P88" i="43"/>
  <c r="P155" i="43"/>
  <c r="B93" i="43"/>
  <c r="A158" i="43"/>
  <c r="G158" i="43" s="1"/>
  <c r="G91" i="43"/>
  <c r="C92" i="43"/>
  <c r="N92" i="43" s="1"/>
  <c r="C159" i="43"/>
  <c r="N159" i="43" s="1"/>
  <c r="F90" i="43"/>
  <c r="E90" i="43"/>
  <c r="L90" i="43" s="1"/>
  <c r="E91" i="43"/>
  <c r="L91" i="43" s="1"/>
  <c r="F91" i="43"/>
  <c r="F157" i="43"/>
  <c r="E157" i="43"/>
  <c r="L157" i="43" s="1"/>
  <c r="E78" i="40"/>
  <c r="A92" i="43"/>
  <c r="D78" i="40"/>
  <c r="F77" i="40"/>
  <c r="E158" i="43"/>
  <c r="L158" i="43" s="1"/>
  <c r="F158" i="43"/>
  <c r="B159" i="43"/>
  <c r="A78" i="42"/>
  <c r="B77" i="42"/>
  <c r="D77" i="42" s="1"/>
  <c r="B80" i="40"/>
  <c r="A79" i="40"/>
  <c r="H79" i="40" s="1"/>
  <c r="J156" i="43" l="1"/>
  <c r="O156" i="43"/>
  <c r="D90" i="43"/>
  <c r="I156" i="43"/>
  <c r="G78" i="40"/>
  <c r="K78" i="40" s="1"/>
  <c r="G75" i="42"/>
  <c r="I75" i="42" s="1"/>
  <c r="J75" i="42" s="1"/>
  <c r="G77" i="40"/>
  <c r="K77" i="40" s="1"/>
  <c r="F75" i="42"/>
  <c r="H157" i="43"/>
  <c r="H90" i="43"/>
  <c r="K158" i="43"/>
  <c r="M158" i="43"/>
  <c r="K91" i="43"/>
  <c r="M91" i="43"/>
  <c r="H77" i="42"/>
  <c r="K157" i="43"/>
  <c r="M157" i="43"/>
  <c r="K90" i="43"/>
  <c r="M90" i="43"/>
  <c r="H158" i="43"/>
  <c r="H91" i="43"/>
  <c r="I157" i="43"/>
  <c r="J157" i="43"/>
  <c r="F78" i="40"/>
  <c r="C77" i="42" s="1"/>
  <c r="E77" i="42" s="1"/>
  <c r="F77" i="42" s="1"/>
  <c r="F92" i="43"/>
  <c r="E92" i="43"/>
  <c r="L92" i="43" s="1"/>
  <c r="E79" i="40"/>
  <c r="A93" i="43"/>
  <c r="A159" i="43"/>
  <c r="G159" i="43" s="1"/>
  <c r="G92" i="43"/>
  <c r="C79" i="40"/>
  <c r="I79" i="40" s="1"/>
  <c r="J79" i="40" s="1"/>
  <c r="B94" i="43"/>
  <c r="D91" i="43"/>
  <c r="C76" i="42"/>
  <c r="E76" i="42" s="1"/>
  <c r="F76" i="42" s="1"/>
  <c r="E159" i="43"/>
  <c r="L159" i="43" s="1"/>
  <c r="F159" i="43"/>
  <c r="B160" i="43"/>
  <c r="A79" i="42"/>
  <c r="B81" i="40"/>
  <c r="A80" i="40"/>
  <c r="H80" i="40" s="1"/>
  <c r="J91" i="43" l="1"/>
  <c r="O91" i="43"/>
  <c r="P156" i="43"/>
  <c r="J90" i="43"/>
  <c r="O90" i="43"/>
  <c r="I90" i="43"/>
  <c r="D158" i="43"/>
  <c r="G76" i="42"/>
  <c r="I76" i="42" s="1"/>
  <c r="J76" i="42" s="1"/>
  <c r="K92" i="43"/>
  <c r="M92" i="43"/>
  <c r="K159" i="43"/>
  <c r="M159" i="43"/>
  <c r="I91" i="43"/>
  <c r="H159" i="43"/>
  <c r="H92" i="43"/>
  <c r="P157" i="43"/>
  <c r="D92" i="43"/>
  <c r="E80" i="40"/>
  <c r="A94" i="43"/>
  <c r="C160" i="43"/>
  <c r="N160" i="43" s="1"/>
  <c r="C93" i="43"/>
  <c r="N93" i="43" s="1"/>
  <c r="D79" i="40"/>
  <c r="B95" i="43"/>
  <c r="C80" i="40"/>
  <c r="A160" i="43"/>
  <c r="G160" i="43" s="1"/>
  <c r="G93" i="43"/>
  <c r="B78" i="42"/>
  <c r="B161" i="43"/>
  <c r="G77" i="42"/>
  <c r="I77" i="42" s="1"/>
  <c r="J77" i="42" s="1"/>
  <c r="D159" i="43"/>
  <c r="O159" i="43" s="1"/>
  <c r="A80" i="42"/>
  <c r="B82" i="40"/>
  <c r="A81" i="40"/>
  <c r="C81" i="40" s="1"/>
  <c r="I81" i="40" s="1"/>
  <c r="P90" i="43" l="1"/>
  <c r="I158" i="43"/>
  <c r="O158" i="43"/>
  <c r="J92" i="43"/>
  <c r="O92" i="43"/>
  <c r="J158" i="43"/>
  <c r="D80" i="40"/>
  <c r="F80" i="40" s="1"/>
  <c r="C79" i="42" s="1"/>
  <c r="I80" i="40"/>
  <c r="J80" i="40" s="1"/>
  <c r="B79" i="42"/>
  <c r="H79" i="42" s="1"/>
  <c r="P91" i="43"/>
  <c r="D78" i="42"/>
  <c r="H78" i="42"/>
  <c r="F79" i="40"/>
  <c r="D93" i="43" s="1"/>
  <c r="G79" i="40"/>
  <c r="K79" i="40" s="1"/>
  <c r="G78" i="42" s="1"/>
  <c r="I78" i="42" s="1"/>
  <c r="I92" i="43"/>
  <c r="H81" i="40"/>
  <c r="I159" i="43"/>
  <c r="J159" i="43"/>
  <c r="C95" i="43"/>
  <c r="N95" i="43" s="1"/>
  <c r="C162" i="43"/>
  <c r="N162" i="43" s="1"/>
  <c r="C94" i="43"/>
  <c r="N94" i="43" s="1"/>
  <c r="C161" i="43"/>
  <c r="N161" i="43" s="1"/>
  <c r="A161" i="43"/>
  <c r="G161" i="43" s="1"/>
  <c r="G94" i="43"/>
  <c r="E81" i="40"/>
  <c r="A95" i="43"/>
  <c r="D81" i="40"/>
  <c r="B162" i="43"/>
  <c r="F93" i="43"/>
  <c r="E93" i="43"/>
  <c r="L93" i="43" s="1"/>
  <c r="B96" i="43"/>
  <c r="E160" i="43"/>
  <c r="L160" i="43" s="1"/>
  <c r="F160" i="43"/>
  <c r="A81" i="42"/>
  <c r="B80" i="42"/>
  <c r="H80" i="42" s="1"/>
  <c r="B83" i="40"/>
  <c r="A82" i="40"/>
  <c r="H82" i="40" s="1"/>
  <c r="D79" i="42" l="1"/>
  <c r="P158" i="43"/>
  <c r="J93" i="43"/>
  <c r="O93" i="43"/>
  <c r="G80" i="40"/>
  <c r="K80" i="40" s="1"/>
  <c r="E79" i="42"/>
  <c r="J81" i="40"/>
  <c r="J78" i="42"/>
  <c r="C78" i="42"/>
  <c r="E78" i="42" s="1"/>
  <c r="F78" i="42" s="1"/>
  <c r="D160" i="43"/>
  <c r="H160" i="43"/>
  <c r="P92" i="43"/>
  <c r="D94" i="43"/>
  <c r="D80" i="42"/>
  <c r="K93" i="43"/>
  <c r="M93" i="43"/>
  <c r="M160" i="43"/>
  <c r="K160" i="43"/>
  <c r="H93" i="43"/>
  <c r="I93" i="43"/>
  <c r="P159" i="43"/>
  <c r="F81" i="40"/>
  <c r="C80" i="42" s="1"/>
  <c r="E80" i="42" s="1"/>
  <c r="E82" i="40"/>
  <c r="A96" i="43"/>
  <c r="C82" i="40"/>
  <c r="I82" i="40" s="1"/>
  <c r="J82" i="40" s="1"/>
  <c r="B97" i="43"/>
  <c r="B163" i="43"/>
  <c r="E161" i="43"/>
  <c r="L161" i="43" s="1"/>
  <c r="F161" i="43"/>
  <c r="F162" i="43"/>
  <c r="E162" i="43"/>
  <c r="L162" i="43" s="1"/>
  <c r="A162" i="43"/>
  <c r="G162" i="43" s="1"/>
  <c r="G95" i="43"/>
  <c r="E94" i="43"/>
  <c r="L94" i="43" s="1"/>
  <c r="F94" i="43"/>
  <c r="F95" i="43"/>
  <c r="E95" i="43"/>
  <c r="L95" i="43" s="1"/>
  <c r="A82" i="42"/>
  <c r="B84" i="40"/>
  <c r="A83" i="40"/>
  <c r="H83" i="40" s="1"/>
  <c r="F79" i="42" l="1"/>
  <c r="J160" i="43"/>
  <c r="O160" i="43"/>
  <c r="J94" i="43"/>
  <c r="O94" i="43"/>
  <c r="G79" i="42"/>
  <c r="I79" i="42" s="1"/>
  <c r="J79" i="42" s="1"/>
  <c r="D161" i="43"/>
  <c r="G81" i="40"/>
  <c r="K81" i="40" s="1"/>
  <c r="I160" i="43"/>
  <c r="H94" i="43"/>
  <c r="H161" i="43"/>
  <c r="F80" i="42"/>
  <c r="M162" i="43"/>
  <c r="K162" i="43"/>
  <c r="M95" i="43"/>
  <c r="K95" i="43"/>
  <c r="P93" i="43"/>
  <c r="H95" i="43"/>
  <c r="M161" i="43"/>
  <c r="K161" i="43"/>
  <c r="D95" i="43"/>
  <c r="M94" i="43"/>
  <c r="K94" i="43"/>
  <c r="H162" i="43"/>
  <c r="I94" i="43"/>
  <c r="C96" i="43"/>
  <c r="N96" i="43" s="1"/>
  <c r="C163" i="43"/>
  <c r="N163" i="43" s="1"/>
  <c r="B81" i="42"/>
  <c r="E83" i="40"/>
  <c r="A97" i="43"/>
  <c r="C83" i="40"/>
  <c r="D82" i="40"/>
  <c r="G82" i="40" s="1"/>
  <c r="B164" i="43"/>
  <c r="B98" i="43"/>
  <c r="A163" i="43"/>
  <c r="G163" i="43" s="1"/>
  <c r="G96" i="43"/>
  <c r="A83" i="42"/>
  <c r="B85" i="40"/>
  <c r="A84" i="40"/>
  <c r="H84" i="40" s="1"/>
  <c r="P160" i="43" l="1"/>
  <c r="J95" i="43"/>
  <c r="O95" i="43"/>
  <c r="I161" i="43"/>
  <c r="O161" i="43"/>
  <c r="J161" i="43"/>
  <c r="G80" i="42"/>
  <c r="I80" i="42" s="1"/>
  <c r="J80" i="42" s="1"/>
  <c r="D162" i="43"/>
  <c r="B82" i="42"/>
  <c r="D82" i="42" s="1"/>
  <c r="I83" i="40"/>
  <c r="J83" i="40" s="1"/>
  <c r="P94" i="43"/>
  <c r="D81" i="42"/>
  <c r="H81" i="42"/>
  <c r="I95" i="43"/>
  <c r="E84" i="40"/>
  <c r="A98" i="43"/>
  <c r="A164" i="43"/>
  <c r="G164" i="43" s="1"/>
  <c r="G97" i="43"/>
  <c r="B165" i="43"/>
  <c r="K82" i="40"/>
  <c r="D163" i="43" s="1"/>
  <c r="O163" i="43" s="1"/>
  <c r="F82" i="40"/>
  <c r="F163" i="43"/>
  <c r="E163" i="43"/>
  <c r="L163" i="43" s="1"/>
  <c r="C97" i="43"/>
  <c r="N97" i="43" s="1"/>
  <c r="C164" i="43"/>
  <c r="N164" i="43" s="1"/>
  <c r="E96" i="43"/>
  <c r="L96" i="43" s="1"/>
  <c r="F96" i="43"/>
  <c r="B99" i="43"/>
  <c r="C84" i="40"/>
  <c r="D83" i="40"/>
  <c r="A84" i="42"/>
  <c r="B86" i="40"/>
  <c r="A85" i="40"/>
  <c r="H85" i="40" s="1"/>
  <c r="P161" i="43" l="1"/>
  <c r="J162" i="43"/>
  <c r="O162" i="43"/>
  <c r="G83" i="40"/>
  <c r="K83" i="40" s="1"/>
  <c r="D164" i="43" s="1"/>
  <c r="O164" i="43" s="1"/>
  <c r="I162" i="43"/>
  <c r="H82" i="42"/>
  <c r="B83" i="42"/>
  <c r="D83" i="42" s="1"/>
  <c r="I84" i="40"/>
  <c r="J84" i="40" s="1"/>
  <c r="P95" i="43"/>
  <c r="H96" i="43"/>
  <c r="K96" i="43"/>
  <c r="M96" i="43"/>
  <c r="H163" i="43"/>
  <c r="M163" i="43"/>
  <c r="K163" i="43"/>
  <c r="I163" i="43"/>
  <c r="J163" i="43"/>
  <c r="D84" i="40"/>
  <c r="G84" i="40" s="1"/>
  <c r="G81" i="42"/>
  <c r="I81" i="42" s="1"/>
  <c r="J81" i="42" s="1"/>
  <c r="E85" i="40"/>
  <c r="A99" i="43"/>
  <c r="F83" i="40"/>
  <c r="B100" i="43"/>
  <c r="C98" i="43"/>
  <c r="N98" i="43" s="1"/>
  <c r="C165" i="43"/>
  <c r="N165" i="43" s="1"/>
  <c r="B166" i="43"/>
  <c r="E164" i="43"/>
  <c r="L164" i="43" s="1"/>
  <c r="F164" i="43"/>
  <c r="A165" i="43"/>
  <c r="G165" i="43" s="1"/>
  <c r="G98" i="43"/>
  <c r="E97" i="43"/>
  <c r="L97" i="43" s="1"/>
  <c r="F97" i="43"/>
  <c r="D96" i="43"/>
  <c r="C81" i="42"/>
  <c r="E81" i="42" s="1"/>
  <c r="F81" i="42" s="1"/>
  <c r="C85" i="40"/>
  <c r="A85" i="42"/>
  <c r="B87" i="40"/>
  <c r="A86" i="40"/>
  <c r="C86" i="40" s="1"/>
  <c r="I86" i="40" s="1"/>
  <c r="P162" i="43" l="1"/>
  <c r="J96" i="43"/>
  <c r="O96" i="43"/>
  <c r="K84" i="40"/>
  <c r="G83" i="42" s="1"/>
  <c r="I83" i="42" s="1"/>
  <c r="H83" i="42"/>
  <c r="F84" i="40"/>
  <c r="C83" i="42" s="1"/>
  <c r="E83" i="42" s="1"/>
  <c r="F83" i="42" s="1"/>
  <c r="D85" i="40"/>
  <c r="G85" i="40" s="1"/>
  <c r="I85" i="40"/>
  <c r="J85" i="40" s="1"/>
  <c r="H97" i="43"/>
  <c r="H164" i="43"/>
  <c r="M97" i="43"/>
  <c r="K97" i="43"/>
  <c r="K164" i="43"/>
  <c r="M164" i="43"/>
  <c r="I96" i="43"/>
  <c r="H86" i="40"/>
  <c r="J164" i="43"/>
  <c r="I164" i="43"/>
  <c r="P163" i="43"/>
  <c r="G82" i="42"/>
  <c r="I82" i="42" s="1"/>
  <c r="J82" i="42" s="1"/>
  <c r="B84" i="42"/>
  <c r="I87" i="40"/>
  <c r="B101" i="43"/>
  <c r="D97" i="43"/>
  <c r="C82" i="42"/>
  <c r="E82" i="42" s="1"/>
  <c r="F82" i="42" s="1"/>
  <c r="C99" i="43"/>
  <c r="N99" i="43" s="1"/>
  <c r="C166" i="43"/>
  <c r="N166" i="43" s="1"/>
  <c r="E165" i="43"/>
  <c r="L165" i="43" s="1"/>
  <c r="F165" i="43"/>
  <c r="C100" i="43"/>
  <c r="N100" i="43" s="1"/>
  <c r="C167" i="43"/>
  <c r="N167" i="43" s="1"/>
  <c r="A166" i="43"/>
  <c r="G166" i="43" s="1"/>
  <c r="G99" i="43"/>
  <c r="E86" i="40"/>
  <c r="A100" i="43"/>
  <c r="D86" i="40"/>
  <c r="G86" i="40" s="1"/>
  <c r="F98" i="43"/>
  <c r="E98" i="43"/>
  <c r="L98" i="43" s="1"/>
  <c r="B167" i="43"/>
  <c r="A86" i="42"/>
  <c r="B85" i="42"/>
  <c r="D85" i="42" s="1"/>
  <c r="B88" i="40"/>
  <c r="A87" i="40"/>
  <c r="C87" i="40" s="1"/>
  <c r="J97" i="43" l="1"/>
  <c r="O97" i="43"/>
  <c r="J86" i="40"/>
  <c r="K86" i="40" s="1"/>
  <c r="D98" i="43"/>
  <c r="D165" i="43"/>
  <c r="J83" i="42"/>
  <c r="K85" i="40"/>
  <c r="D166" i="43" s="1"/>
  <c r="O166" i="43" s="1"/>
  <c r="F85" i="40"/>
  <c r="C84" i="42" s="1"/>
  <c r="E84" i="42" s="1"/>
  <c r="H87" i="40"/>
  <c r="J87" i="40" s="1"/>
  <c r="P164" i="43"/>
  <c r="H98" i="43"/>
  <c r="P96" i="43"/>
  <c r="H85" i="42"/>
  <c r="H165" i="43"/>
  <c r="D84" i="42"/>
  <c r="H84" i="42"/>
  <c r="K98" i="43"/>
  <c r="M98" i="43"/>
  <c r="K165" i="43"/>
  <c r="M165" i="43"/>
  <c r="I97" i="43"/>
  <c r="C168" i="43"/>
  <c r="N168" i="43" s="1"/>
  <c r="C101" i="43"/>
  <c r="N101" i="43" s="1"/>
  <c r="E100" i="43"/>
  <c r="L100" i="43" s="1"/>
  <c r="F100" i="43"/>
  <c r="B102" i="43"/>
  <c r="F166" i="43"/>
  <c r="E166" i="43"/>
  <c r="L166" i="43" s="1"/>
  <c r="B168" i="43"/>
  <c r="E87" i="40"/>
  <c r="A101" i="43"/>
  <c r="D87" i="40"/>
  <c r="G87" i="40" s="1"/>
  <c r="A167" i="43"/>
  <c r="G167" i="43" s="1"/>
  <c r="G100" i="43"/>
  <c r="F86" i="40"/>
  <c r="E167" i="43"/>
  <c r="L167" i="43" s="1"/>
  <c r="F167" i="43"/>
  <c r="F99" i="43"/>
  <c r="E99" i="43"/>
  <c r="L99" i="43" s="1"/>
  <c r="A87" i="42"/>
  <c r="B86" i="42"/>
  <c r="H86" i="42" s="1"/>
  <c r="B89" i="40"/>
  <c r="A88" i="40"/>
  <c r="H88" i="40" s="1"/>
  <c r="I165" i="43" l="1"/>
  <c r="O165" i="43"/>
  <c r="J98" i="43"/>
  <c r="O98" i="43"/>
  <c r="J165" i="43"/>
  <c r="I98" i="43"/>
  <c r="G84" i="42"/>
  <c r="I84" i="42" s="1"/>
  <c r="J84" i="42" s="1"/>
  <c r="D99" i="43"/>
  <c r="F84" i="42"/>
  <c r="H167" i="43"/>
  <c r="H166" i="43"/>
  <c r="D86" i="42"/>
  <c r="H99" i="43"/>
  <c r="M167" i="43"/>
  <c r="K167" i="43"/>
  <c r="K166" i="43"/>
  <c r="M166" i="43"/>
  <c r="H100" i="43"/>
  <c r="P97" i="43"/>
  <c r="M99" i="43"/>
  <c r="K99" i="43"/>
  <c r="K100" i="43"/>
  <c r="M100" i="43"/>
  <c r="J166" i="43"/>
  <c r="I166" i="43"/>
  <c r="F87" i="40"/>
  <c r="C86" i="42" s="1"/>
  <c r="E86" i="42" s="1"/>
  <c r="A168" i="43"/>
  <c r="G168" i="43" s="1"/>
  <c r="G101" i="43"/>
  <c r="B169" i="43"/>
  <c r="E88" i="40"/>
  <c r="A102" i="43"/>
  <c r="C85" i="42"/>
  <c r="E85" i="42" s="1"/>
  <c r="F85" i="42" s="1"/>
  <c r="D100" i="43"/>
  <c r="F101" i="43"/>
  <c r="E101" i="43"/>
  <c r="L101" i="43" s="1"/>
  <c r="B103" i="43"/>
  <c r="C88" i="40"/>
  <c r="F168" i="43"/>
  <c r="E168" i="43"/>
  <c r="L168" i="43" s="1"/>
  <c r="G85" i="42"/>
  <c r="I85" i="42" s="1"/>
  <c r="J85" i="42" s="1"/>
  <c r="D167" i="43"/>
  <c r="O167" i="43" s="1"/>
  <c r="A88" i="42"/>
  <c r="K87" i="40"/>
  <c r="B90" i="40"/>
  <c r="A89" i="40"/>
  <c r="H89" i="40" s="1"/>
  <c r="P165" i="43" l="1"/>
  <c r="J99" i="43"/>
  <c r="O99" i="43"/>
  <c r="P98" i="43"/>
  <c r="J100" i="43"/>
  <c r="O100" i="43"/>
  <c r="I99" i="43"/>
  <c r="F86" i="42"/>
  <c r="B87" i="42"/>
  <c r="D87" i="42" s="1"/>
  <c r="I88" i="40"/>
  <c r="J88" i="40" s="1"/>
  <c r="P166" i="43"/>
  <c r="H168" i="43"/>
  <c r="I100" i="43"/>
  <c r="M168" i="43"/>
  <c r="K168" i="43"/>
  <c r="M101" i="43"/>
  <c r="K101" i="43"/>
  <c r="H101" i="43"/>
  <c r="I167" i="43"/>
  <c r="J167" i="43"/>
  <c r="D101" i="43"/>
  <c r="B104" i="43"/>
  <c r="C169" i="43"/>
  <c r="N169" i="43" s="1"/>
  <c r="C102" i="43"/>
  <c r="N102" i="43" s="1"/>
  <c r="B170" i="43"/>
  <c r="D88" i="40"/>
  <c r="G88" i="40" s="1"/>
  <c r="A169" i="43"/>
  <c r="G169" i="43" s="1"/>
  <c r="G102" i="43"/>
  <c r="E89" i="40"/>
  <c r="A103" i="43"/>
  <c r="C89" i="40"/>
  <c r="G86" i="42"/>
  <c r="I86" i="42" s="1"/>
  <c r="J86" i="42" s="1"/>
  <c r="D168" i="43"/>
  <c r="O168" i="43" s="1"/>
  <c r="A89" i="42"/>
  <c r="B91" i="40"/>
  <c r="A90" i="40"/>
  <c r="C90" i="40" s="1"/>
  <c r="I90" i="40" s="1"/>
  <c r="P99" i="43" l="1"/>
  <c r="J101" i="43"/>
  <c r="O101" i="43"/>
  <c r="H87" i="42"/>
  <c r="D89" i="40"/>
  <c r="G89" i="40" s="1"/>
  <c r="I89" i="40"/>
  <c r="J89" i="40" s="1"/>
  <c r="P100" i="43"/>
  <c r="H90" i="40"/>
  <c r="I101" i="43"/>
  <c r="J168" i="43"/>
  <c r="I168" i="43"/>
  <c r="P167" i="43"/>
  <c r="A170" i="43"/>
  <c r="G170" i="43" s="1"/>
  <c r="G103" i="43"/>
  <c r="C171" i="43"/>
  <c r="N171" i="43" s="1"/>
  <c r="C104" i="43"/>
  <c r="N104" i="43" s="1"/>
  <c r="B88" i="42"/>
  <c r="I91" i="40"/>
  <c r="B105" i="43"/>
  <c r="K88" i="40"/>
  <c r="G87" i="42" s="1"/>
  <c r="I87" i="42" s="1"/>
  <c r="F88" i="40"/>
  <c r="E102" i="43"/>
  <c r="L102" i="43" s="1"/>
  <c r="F102" i="43"/>
  <c r="F169" i="43"/>
  <c r="E169" i="43"/>
  <c r="L169" i="43" s="1"/>
  <c r="C103" i="43"/>
  <c r="N103" i="43" s="1"/>
  <c r="C170" i="43"/>
  <c r="N170" i="43" s="1"/>
  <c r="E90" i="40"/>
  <c r="A104" i="43"/>
  <c r="D90" i="40"/>
  <c r="G90" i="40" s="1"/>
  <c r="B171" i="43"/>
  <c r="A90" i="42"/>
  <c r="B89" i="42"/>
  <c r="H89" i="42" s="1"/>
  <c r="B92" i="40"/>
  <c r="A91" i="40"/>
  <c r="C91" i="40" s="1"/>
  <c r="J90" i="40" l="1"/>
  <c r="K90" i="40" s="1"/>
  <c r="J87" i="42"/>
  <c r="K89" i="40"/>
  <c r="G88" i="42" s="1"/>
  <c r="I88" i="42" s="1"/>
  <c r="F89" i="40"/>
  <c r="D103" i="43" s="1"/>
  <c r="P168" i="43"/>
  <c r="P101" i="43"/>
  <c r="M102" i="43"/>
  <c r="K102" i="43"/>
  <c r="M169" i="43"/>
  <c r="K169" i="43"/>
  <c r="H88" i="42"/>
  <c r="D88" i="42"/>
  <c r="D89" i="42"/>
  <c r="H169" i="43"/>
  <c r="H102" i="43"/>
  <c r="H91" i="40"/>
  <c r="J91" i="40" s="1"/>
  <c r="D169" i="43"/>
  <c r="O169" i="43" s="1"/>
  <c r="F90" i="40"/>
  <c r="C89" i="42" s="1"/>
  <c r="E89" i="42" s="1"/>
  <c r="B106" i="43"/>
  <c r="I92" i="40"/>
  <c r="F104" i="43"/>
  <c r="E104" i="43"/>
  <c r="L104" i="43" s="1"/>
  <c r="E91" i="40"/>
  <c r="A105" i="43"/>
  <c r="D91" i="40"/>
  <c r="G91" i="40" s="1"/>
  <c r="E170" i="43"/>
  <c r="L170" i="43" s="1"/>
  <c r="F170" i="43"/>
  <c r="C87" i="42"/>
  <c r="E87" i="42" s="1"/>
  <c r="F87" i="42" s="1"/>
  <c r="D102" i="43"/>
  <c r="C172" i="43"/>
  <c r="N172" i="43" s="1"/>
  <c r="C105" i="43"/>
  <c r="N105" i="43" s="1"/>
  <c r="A171" i="43"/>
  <c r="G171" i="43" s="1"/>
  <c r="G104" i="43"/>
  <c r="E103" i="43"/>
  <c r="L103" i="43" s="1"/>
  <c r="F103" i="43"/>
  <c r="B172" i="43"/>
  <c r="E171" i="43"/>
  <c r="L171" i="43" s="1"/>
  <c r="F171" i="43"/>
  <c r="A91" i="42"/>
  <c r="B90" i="42"/>
  <c r="H90" i="42" s="1"/>
  <c r="B93" i="40"/>
  <c r="A92" i="40"/>
  <c r="C92" i="40" s="1"/>
  <c r="J102" i="43" l="1"/>
  <c r="O102" i="43"/>
  <c r="J103" i="43"/>
  <c r="O103" i="43"/>
  <c r="D170" i="43"/>
  <c r="C88" i="42"/>
  <c r="E88" i="42" s="1"/>
  <c r="F88" i="42" s="1"/>
  <c r="J88" i="42"/>
  <c r="H171" i="43"/>
  <c r="H103" i="43"/>
  <c r="H104" i="43"/>
  <c r="I103" i="43"/>
  <c r="I102" i="43"/>
  <c r="M103" i="43"/>
  <c r="K103" i="43"/>
  <c r="K171" i="43"/>
  <c r="M171" i="43"/>
  <c r="H170" i="43"/>
  <c r="D90" i="42"/>
  <c r="M170" i="43"/>
  <c r="K170" i="43"/>
  <c r="M104" i="43"/>
  <c r="K104" i="43"/>
  <c r="F89" i="42"/>
  <c r="H92" i="40"/>
  <c r="J92" i="40" s="1"/>
  <c r="J169" i="43"/>
  <c r="I169" i="43"/>
  <c r="D104" i="43"/>
  <c r="F91" i="40"/>
  <c r="C90" i="42" s="1"/>
  <c r="E90" i="42" s="1"/>
  <c r="E172" i="43"/>
  <c r="L172" i="43" s="1"/>
  <c r="F172" i="43"/>
  <c r="C106" i="43"/>
  <c r="N106" i="43" s="1"/>
  <c r="C173" i="43"/>
  <c r="N173" i="43" s="1"/>
  <c r="E105" i="43"/>
  <c r="L105" i="43" s="1"/>
  <c r="F105" i="43"/>
  <c r="E92" i="40"/>
  <c r="A106" i="43"/>
  <c r="D92" i="40"/>
  <c r="G92" i="40" s="1"/>
  <c r="B107" i="43"/>
  <c r="A172" i="43"/>
  <c r="G172" i="43" s="1"/>
  <c r="G105" i="43"/>
  <c r="B173" i="43"/>
  <c r="G89" i="42"/>
  <c r="I89" i="42" s="1"/>
  <c r="J89" i="42" s="1"/>
  <c r="D171" i="43"/>
  <c r="O171" i="43" s="1"/>
  <c r="A92" i="42"/>
  <c r="K91" i="40"/>
  <c r="B91" i="42"/>
  <c r="D91" i="42" s="1"/>
  <c r="B94" i="40"/>
  <c r="A93" i="40"/>
  <c r="C93" i="40" s="1"/>
  <c r="I93" i="40" s="1"/>
  <c r="J104" i="43" l="1"/>
  <c r="O104" i="43"/>
  <c r="J170" i="43"/>
  <c r="O170" i="43"/>
  <c r="P102" i="43"/>
  <c r="I170" i="43"/>
  <c r="P103" i="43"/>
  <c r="F90" i="42"/>
  <c r="M105" i="43"/>
  <c r="K105" i="43"/>
  <c r="M172" i="43"/>
  <c r="K172" i="43"/>
  <c r="H91" i="42"/>
  <c r="I104" i="43"/>
  <c r="H93" i="40"/>
  <c r="J93" i="40" s="1"/>
  <c r="H105" i="43"/>
  <c r="H172" i="43"/>
  <c r="P169" i="43"/>
  <c r="I171" i="43"/>
  <c r="J171" i="43"/>
  <c r="D105" i="43"/>
  <c r="F92" i="40"/>
  <c r="C91" i="42" s="1"/>
  <c r="E91" i="42" s="1"/>
  <c r="F91" i="42" s="1"/>
  <c r="C107" i="43"/>
  <c r="N107" i="43" s="1"/>
  <c r="C174" i="43"/>
  <c r="N174" i="43" s="1"/>
  <c r="B108" i="43"/>
  <c r="A173" i="43"/>
  <c r="G173" i="43" s="1"/>
  <c r="G106" i="43"/>
  <c r="E173" i="43"/>
  <c r="L173" i="43" s="1"/>
  <c r="F173" i="43"/>
  <c r="E93" i="40"/>
  <c r="A107" i="43"/>
  <c r="D93" i="40"/>
  <c r="G93" i="40" s="1"/>
  <c r="B174" i="43"/>
  <c r="E106" i="43"/>
  <c r="L106" i="43" s="1"/>
  <c r="F106" i="43"/>
  <c r="G90" i="42"/>
  <c r="I90" i="42" s="1"/>
  <c r="J90" i="42" s="1"/>
  <c r="D172" i="43"/>
  <c r="O172" i="43" s="1"/>
  <c r="A93" i="42"/>
  <c r="B92" i="42"/>
  <c r="H92" i="42" s="1"/>
  <c r="K92" i="40"/>
  <c r="B95" i="40"/>
  <c r="A94" i="40"/>
  <c r="C94" i="40" s="1"/>
  <c r="I94" i="40" s="1"/>
  <c r="P170" i="43" l="1"/>
  <c r="J105" i="43"/>
  <c r="O105" i="43"/>
  <c r="H106" i="43"/>
  <c r="P104" i="43"/>
  <c r="D92" i="42"/>
  <c r="M106" i="43"/>
  <c r="K106" i="43"/>
  <c r="H94" i="40"/>
  <c r="J94" i="40" s="1"/>
  <c r="M173" i="43"/>
  <c r="K173" i="43"/>
  <c r="I105" i="43"/>
  <c r="H173" i="43"/>
  <c r="J172" i="43"/>
  <c r="I172" i="43"/>
  <c r="P171" i="43"/>
  <c r="D106" i="43"/>
  <c r="C175" i="43"/>
  <c r="N175" i="43" s="1"/>
  <c r="C108" i="43"/>
  <c r="N108" i="43" s="1"/>
  <c r="B109" i="43"/>
  <c r="A174" i="43"/>
  <c r="G174" i="43" s="1"/>
  <c r="G107" i="43"/>
  <c r="E94" i="40"/>
  <c r="A108" i="43"/>
  <c r="D94" i="40"/>
  <c r="G94" i="40" s="1"/>
  <c r="B175" i="43"/>
  <c r="F174" i="43"/>
  <c r="E174" i="43"/>
  <c r="L174" i="43" s="1"/>
  <c r="F93" i="40"/>
  <c r="E107" i="43"/>
  <c r="L107" i="43" s="1"/>
  <c r="F107" i="43"/>
  <c r="G91" i="42"/>
  <c r="I91" i="42" s="1"/>
  <c r="J91" i="42" s="1"/>
  <c r="D173" i="43"/>
  <c r="O173" i="43" s="1"/>
  <c r="A94" i="42"/>
  <c r="K93" i="40"/>
  <c r="B93" i="42"/>
  <c r="D93" i="42" s="1"/>
  <c r="B96" i="40"/>
  <c r="A95" i="40"/>
  <c r="H95" i="40" s="1"/>
  <c r="J106" i="43" l="1"/>
  <c r="O106" i="43"/>
  <c r="H93" i="42"/>
  <c r="H107" i="43"/>
  <c r="H174" i="43"/>
  <c r="P105" i="43"/>
  <c r="I106" i="43"/>
  <c r="K107" i="43"/>
  <c r="M107" i="43"/>
  <c r="P172" i="43"/>
  <c r="K174" i="43"/>
  <c r="M174" i="43"/>
  <c r="J173" i="43"/>
  <c r="I173" i="43"/>
  <c r="E95" i="40"/>
  <c r="A109" i="43"/>
  <c r="B176" i="43"/>
  <c r="B110" i="43"/>
  <c r="F94" i="40"/>
  <c r="F108" i="43"/>
  <c r="E108" i="43"/>
  <c r="L108" i="43" s="1"/>
  <c r="C92" i="42"/>
  <c r="E92" i="42" s="1"/>
  <c r="F92" i="42" s="1"/>
  <c r="D107" i="43"/>
  <c r="A175" i="43"/>
  <c r="G175" i="43" s="1"/>
  <c r="G108" i="43"/>
  <c r="C95" i="40"/>
  <c r="E175" i="43"/>
  <c r="L175" i="43" s="1"/>
  <c r="F175" i="43"/>
  <c r="G92" i="42"/>
  <c r="I92" i="42" s="1"/>
  <c r="J92" i="42" s="1"/>
  <c r="D174" i="43"/>
  <c r="O174" i="43" s="1"/>
  <c r="A95" i="42"/>
  <c r="K94" i="40"/>
  <c r="B97" i="40"/>
  <c r="A96" i="40"/>
  <c r="C96" i="40" s="1"/>
  <c r="I96" i="40" s="1"/>
  <c r="J107" i="43" l="1"/>
  <c r="O107" i="43"/>
  <c r="B94" i="42"/>
  <c r="H94" i="42" s="1"/>
  <c r="I95" i="40"/>
  <c r="J95" i="40" s="1"/>
  <c r="H175" i="43"/>
  <c r="H108" i="43"/>
  <c r="K108" i="43"/>
  <c r="M108" i="43"/>
  <c r="P173" i="43"/>
  <c r="M175" i="43"/>
  <c r="K175" i="43"/>
  <c r="I107" i="43"/>
  <c r="H96" i="40"/>
  <c r="P106" i="43"/>
  <c r="J174" i="43"/>
  <c r="I174" i="43"/>
  <c r="C177" i="43"/>
  <c r="N177" i="43" s="1"/>
  <c r="C110" i="43"/>
  <c r="N110" i="43" s="1"/>
  <c r="D95" i="40"/>
  <c r="G95" i="40" s="1"/>
  <c r="B177" i="43"/>
  <c r="A176" i="43"/>
  <c r="G176" i="43" s="1"/>
  <c r="G109" i="43"/>
  <c r="E96" i="40"/>
  <c r="A110" i="43"/>
  <c r="D96" i="40"/>
  <c r="G96" i="40" s="1"/>
  <c r="C109" i="43"/>
  <c r="N109" i="43" s="1"/>
  <c r="C176" i="43"/>
  <c r="N176" i="43" s="1"/>
  <c r="B111" i="43"/>
  <c r="C93" i="42"/>
  <c r="E93" i="42" s="1"/>
  <c r="F93" i="42" s="1"/>
  <c r="D108" i="43"/>
  <c r="G93" i="42"/>
  <c r="I93" i="42" s="1"/>
  <c r="J93" i="42" s="1"/>
  <c r="D175" i="43"/>
  <c r="O175" i="43" s="1"/>
  <c r="A96" i="42"/>
  <c r="B95" i="42"/>
  <c r="D95" i="42" s="1"/>
  <c r="B98" i="40"/>
  <c r="A97" i="40"/>
  <c r="C97" i="40" s="1"/>
  <c r="I97" i="40" s="1"/>
  <c r="J108" i="43" l="1"/>
  <c r="O108" i="43"/>
  <c r="J96" i="40"/>
  <c r="K96" i="40" s="1"/>
  <c r="D94" i="42"/>
  <c r="P174" i="43"/>
  <c r="H95" i="42"/>
  <c r="I108" i="43"/>
  <c r="P107" i="43"/>
  <c r="H97" i="40"/>
  <c r="J97" i="40" s="1"/>
  <c r="I175" i="43"/>
  <c r="J175" i="43"/>
  <c r="F96" i="40"/>
  <c r="D110" i="43" s="1"/>
  <c r="F176" i="43"/>
  <c r="E176" i="43"/>
  <c r="L176" i="43" s="1"/>
  <c r="F110" i="43"/>
  <c r="E110" i="43"/>
  <c r="L110" i="43" s="1"/>
  <c r="B178" i="43"/>
  <c r="E109" i="43"/>
  <c r="L109" i="43" s="1"/>
  <c r="F109" i="43"/>
  <c r="E177" i="43"/>
  <c r="L177" i="43" s="1"/>
  <c r="F177" i="43"/>
  <c r="C111" i="43"/>
  <c r="N111" i="43" s="1"/>
  <c r="C178" i="43"/>
  <c r="N178" i="43" s="1"/>
  <c r="K95" i="40"/>
  <c r="G94" i="42" s="1"/>
  <c r="I94" i="42" s="1"/>
  <c r="J94" i="42" s="1"/>
  <c r="F95" i="40"/>
  <c r="E97" i="40"/>
  <c r="A111" i="43"/>
  <c r="D97" i="40"/>
  <c r="G97" i="40" s="1"/>
  <c r="B112" i="43"/>
  <c r="A177" i="43"/>
  <c r="G177" i="43" s="1"/>
  <c r="G110" i="43"/>
  <c r="A97" i="42"/>
  <c r="B96" i="42"/>
  <c r="D96" i="42" s="1"/>
  <c r="B99" i="40"/>
  <c r="A98" i="40"/>
  <c r="H98" i="40" s="1"/>
  <c r="O110" i="43" l="1"/>
  <c r="C95" i="42"/>
  <c r="E95" i="42" s="1"/>
  <c r="F95" i="42" s="1"/>
  <c r="J110" i="43"/>
  <c r="P108" i="43"/>
  <c r="K176" i="43"/>
  <c r="M176" i="43"/>
  <c r="K177" i="43"/>
  <c r="M177" i="43"/>
  <c r="K110" i="43"/>
  <c r="M110" i="43"/>
  <c r="I110" i="43"/>
  <c r="H96" i="42"/>
  <c r="H109" i="43"/>
  <c r="H110" i="43"/>
  <c r="K109" i="43"/>
  <c r="M109" i="43"/>
  <c r="H177" i="43"/>
  <c r="H176" i="43"/>
  <c r="P175" i="43"/>
  <c r="F97" i="40"/>
  <c r="D111" i="43" s="1"/>
  <c r="D176" i="43"/>
  <c r="O176" i="43" s="1"/>
  <c r="A178" i="43"/>
  <c r="G178" i="43" s="1"/>
  <c r="G111" i="43"/>
  <c r="E111" i="43"/>
  <c r="L111" i="43" s="1"/>
  <c r="F111" i="43"/>
  <c r="B179" i="43"/>
  <c r="C94" i="42"/>
  <c r="E94" i="42" s="1"/>
  <c r="F94" i="42" s="1"/>
  <c r="D109" i="43"/>
  <c r="E98" i="40"/>
  <c r="A112" i="43"/>
  <c r="B113" i="43"/>
  <c r="C98" i="40"/>
  <c r="F178" i="43"/>
  <c r="E178" i="43"/>
  <c r="L178" i="43" s="1"/>
  <c r="G95" i="42"/>
  <c r="I95" i="42" s="1"/>
  <c r="J95" i="42" s="1"/>
  <c r="D177" i="43"/>
  <c r="O177" i="43" s="1"/>
  <c r="A98" i="42"/>
  <c r="K97" i="40"/>
  <c r="B100" i="40"/>
  <c r="A99" i="40"/>
  <c r="H99" i="40" s="1"/>
  <c r="O111" i="43" l="1"/>
  <c r="J109" i="43"/>
  <c r="O109" i="43"/>
  <c r="B97" i="42"/>
  <c r="H97" i="42" s="1"/>
  <c r="I98" i="40"/>
  <c r="J98" i="40" s="1"/>
  <c r="J111" i="43"/>
  <c r="C96" i="42"/>
  <c r="E96" i="42" s="1"/>
  <c r="F96" i="42" s="1"/>
  <c r="H111" i="43"/>
  <c r="H178" i="43"/>
  <c r="I109" i="43"/>
  <c r="M111" i="43"/>
  <c r="K111" i="43"/>
  <c r="P110" i="43"/>
  <c r="M178" i="43"/>
  <c r="K178" i="43"/>
  <c r="I111" i="43"/>
  <c r="J176" i="43"/>
  <c r="I176" i="43"/>
  <c r="J177" i="43"/>
  <c r="I177" i="43"/>
  <c r="D98" i="40"/>
  <c r="G98" i="40" s="1"/>
  <c r="E99" i="40"/>
  <c r="A113" i="43"/>
  <c r="B180" i="43"/>
  <c r="C99" i="40"/>
  <c r="B114" i="43"/>
  <c r="C112" i="43"/>
  <c r="N112" i="43" s="1"/>
  <c r="C179" i="43"/>
  <c r="N179" i="43" s="1"/>
  <c r="A179" i="43"/>
  <c r="G179" i="43" s="1"/>
  <c r="G112" i="43"/>
  <c r="G96" i="42"/>
  <c r="I96" i="42" s="1"/>
  <c r="J96" i="42" s="1"/>
  <c r="D178" i="43"/>
  <c r="O178" i="43" s="1"/>
  <c r="A99" i="42"/>
  <c r="B101" i="40"/>
  <c r="A100" i="40"/>
  <c r="H100" i="40" s="1"/>
  <c r="D97" i="42" l="1"/>
  <c r="K98" i="40"/>
  <c r="G97" i="42" s="1"/>
  <c r="I97" i="42" s="1"/>
  <c r="J97" i="42" s="1"/>
  <c r="F98" i="40"/>
  <c r="C97" i="42" s="1"/>
  <c r="E97" i="42" s="1"/>
  <c r="D99" i="40"/>
  <c r="G99" i="40" s="1"/>
  <c r="I99" i="40"/>
  <c r="J99" i="40" s="1"/>
  <c r="P109" i="43"/>
  <c r="P111" i="43"/>
  <c r="P177" i="43"/>
  <c r="P176" i="43"/>
  <c r="J178" i="43"/>
  <c r="I178" i="43"/>
  <c r="B98" i="42"/>
  <c r="A180" i="43"/>
  <c r="G180" i="43" s="1"/>
  <c r="G113" i="43"/>
  <c r="E100" i="40"/>
  <c r="A114" i="43"/>
  <c r="C100" i="40"/>
  <c r="I100" i="40" s="1"/>
  <c r="E112" i="43"/>
  <c r="L112" i="43" s="1"/>
  <c r="F112" i="43"/>
  <c r="B181" i="43"/>
  <c r="B115" i="43"/>
  <c r="F179" i="43"/>
  <c r="E179" i="43"/>
  <c r="L179" i="43" s="1"/>
  <c r="C113" i="43"/>
  <c r="N113" i="43" s="1"/>
  <c r="C180" i="43"/>
  <c r="N180" i="43" s="1"/>
  <c r="A100" i="42"/>
  <c r="B102" i="40"/>
  <c r="A101" i="40"/>
  <c r="H101" i="40" s="1"/>
  <c r="D179" i="43" l="1"/>
  <c r="F97" i="42"/>
  <c r="J100" i="40"/>
  <c r="D112" i="43"/>
  <c r="K99" i="40"/>
  <c r="G98" i="42" s="1"/>
  <c r="I98" i="42" s="1"/>
  <c r="F99" i="40"/>
  <c r="D113" i="43" s="1"/>
  <c r="H112" i="43"/>
  <c r="M179" i="43"/>
  <c r="K179" i="43"/>
  <c r="H179" i="43"/>
  <c r="M112" i="43"/>
  <c r="K112" i="43"/>
  <c r="D98" i="42"/>
  <c r="H98" i="42"/>
  <c r="P178" i="43"/>
  <c r="C181" i="43"/>
  <c r="N181" i="43" s="1"/>
  <c r="C114" i="43"/>
  <c r="N114" i="43" s="1"/>
  <c r="B99" i="42"/>
  <c r="E101" i="40"/>
  <c r="A115" i="43"/>
  <c r="E113" i="43"/>
  <c r="L113" i="43" s="1"/>
  <c r="F113" i="43"/>
  <c r="D100" i="40"/>
  <c r="G100" i="40" s="1"/>
  <c r="F180" i="43"/>
  <c r="E180" i="43"/>
  <c r="L180" i="43" s="1"/>
  <c r="B182" i="43"/>
  <c r="B116" i="43"/>
  <c r="C101" i="40"/>
  <c r="A181" i="43"/>
  <c r="G181" i="43" s="1"/>
  <c r="G114" i="43"/>
  <c r="A101" i="42"/>
  <c r="B103" i="40"/>
  <c r="A102" i="40"/>
  <c r="H102" i="40" s="1"/>
  <c r="J113" i="43" l="1"/>
  <c r="O113" i="43"/>
  <c r="J112" i="43"/>
  <c r="O112" i="43"/>
  <c r="I179" i="43"/>
  <c r="O179" i="43"/>
  <c r="J179" i="43"/>
  <c r="I112" i="43"/>
  <c r="D180" i="43"/>
  <c r="J180" i="43" s="1"/>
  <c r="C98" i="42"/>
  <c r="E98" i="42" s="1"/>
  <c r="F98" i="42" s="1"/>
  <c r="D101" i="40"/>
  <c r="G101" i="40" s="1"/>
  <c r="I101" i="40"/>
  <c r="J101" i="40" s="1"/>
  <c r="H180" i="43"/>
  <c r="H113" i="43"/>
  <c r="H99" i="42"/>
  <c r="D99" i="42"/>
  <c r="I113" i="43"/>
  <c r="M180" i="43"/>
  <c r="K180" i="43"/>
  <c r="M113" i="43"/>
  <c r="K113" i="43"/>
  <c r="J98" i="42"/>
  <c r="B100" i="42"/>
  <c r="E102" i="40"/>
  <c r="A116" i="43"/>
  <c r="B117" i="43"/>
  <c r="C115" i="43"/>
  <c r="N115" i="43" s="1"/>
  <c r="C182" i="43"/>
  <c r="N182" i="43" s="1"/>
  <c r="B183" i="43"/>
  <c r="A182" i="43"/>
  <c r="G182" i="43" s="1"/>
  <c r="G115" i="43"/>
  <c r="K100" i="40"/>
  <c r="G99" i="42" s="1"/>
  <c r="I99" i="42" s="1"/>
  <c r="F100" i="40"/>
  <c r="F114" i="43"/>
  <c r="E114" i="43"/>
  <c r="L114" i="43" s="1"/>
  <c r="C102" i="40"/>
  <c r="F181" i="43"/>
  <c r="E181" i="43"/>
  <c r="L181" i="43" s="1"/>
  <c r="A102" i="42"/>
  <c r="B104" i="40"/>
  <c r="A103" i="40"/>
  <c r="H103" i="40" s="1"/>
  <c r="P179" i="43" l="1"/>
  <c r="I180" i="43"/>
  <c r="O180" i="43"/>
  <c r="P112" i="43"/>
  <c r="F101" i="40"/>
  <c r="D115" i="43" s="1"/>
  <c r="K101" i="40"/>
  <c r="G100" i="42" s="1"/>
  <c r="I100" i="42" s="1"/>
  <c r="D102" i="40"/>
  <c r="G102" i="40" s="1"/>
  <c r="I102" i="40"/>
  <c r="J102" i="40" s="1"/>
  <c r="P113" i="43"/>
  <c r="M181" i="43"/>
  <c r="K181" i="43"/>
  <c r="M114" i="43"/>
  <c r="K114" i="43"/>
  <c r="H181" i="43"/>
  <c r="H114" i="43"/>
  <c r="H100" i="42"/>
  <c r="D100" i="42"/>
  <c r="J99" i="42"/>
  <c r="B101" i="42"/>
  <c r="F182" i="43"/>
  <c r="E182" i="43"/>
  <c r="L182" i="43" s="1"/>
  <c r="B184" i="43"/>
  <c r="E115" i="43"/>
  <c r="L115" i="43" s="1"/>
  <c r="F115" i="43"/>
  <c r="A183" i="43"/>
  <c r="G183" i="43" s="1"/>
  <c r="G116" i="43"/>
  <c r="E103" i="40"/>
  <c r="A117" i="43"/>
  <c r="D181" i="43"/>
  <c r="O181" i="43" s="1"/>
  <c r="D114" i="43"/>
  <c r="C99" i="42"/>
  <c r="E99" i="42" s="1"/>
  <c r="F99" i="42" s="1"/>
  <c r="I104" i="40"/>
  <c r="B118" i="43"/>
  <c r="C183" i="43"/>
  <c r="N183" i="43" s="1"/>
  <c r="C116" i="43"/>
  <c r="N116" i="43" s="1"/>
  <c r="C103" i="40"/>
  <c r="A103" i="42"/>
  <c r="B105" i="40"/>
  <c r="A104" i="40"/>
  <c r="C104" i="40" s="1"/>
  <c r="P180" i="43" l="1"/>
  <c r="J114" i="43"/>
  <c r="O114" i="43"/>
  <c r="J115" i="43"/>
  <c r="O115" i="43"/>
  <c r="D182" i="43"/>
  <c r="C100" i="42"/>
  <c r="E100" i="42" s="1"/>
  <c r="F100" i="42" s="1"/>
  <c r="K102" i="40"/>
  <c r="D183" i="43" s="1"/>
  <c r="O183" i="43" s="1"/>
  <c r="F102" i="40"/>
  <c r="C101" i="42" s="1"/>
  <c r="E101" i="42" s="1"/>
  <c r="B102" i="42"/>
  <c r="H102" i="42" s="1"/>
  <c r="I103" i="40"/>
  <c r="J103" i="40" s="1"/>
  <c r="J100" i="42"/>
  <c r="M182" i="43"/>
  <c r="K182" i="43"/>
  <c r="I115" i="43"/>
  <c r="D101" i="42"/>
  <c r="H101" i="42"/>
  <c r="H115" i="43"/>
  <c r="M115" i="43"/>
  <c r="K115" i="43"/>
  <c r="I114" i="43"/>
  <c r="H182" i="43"/>
  <c r="H104" i="40"/>
  <c r="J181" i="43"/>
  <c r="I181" i="43"/>
  <c r="B119" i="43"/>
  <c r="F183" i="43"/>
  <c r="E183" i="43"/>
  <c r="L183" i="43" s="1"/>
  <c r="B185" i="43"/>
  <c r="C185" i="43"/>
  <c r="N185" i="43" s="1"/>
  <c r="C118" i="43"/>
  <c r="N118" i="43" s="1"/>
  <c r="A184" i="43"/>
  <c r="G184" i="43" s="1"/>
  <c r="G117" i="43"/>
  <c r="C117" i="43"/>
  <c r="N117" i="43" s="1"/>
  <c r="C184" i="43"/>
  <c r="N184" i="43" s="1"/>
  <c r="E104" i="40"/>
  <c r="A118" i="43"/>
  <c r="D104" i="40"/>
  <c r="G104" i="40" s="1"/>
  <c r="E116" i="43"/>
  <c r="L116" i="43" s="1"/>
  <c r="F116" i="43"/>
  <c r="D103" i="40"/>
  <c r="G103" i="40" s="1"/>
  <c r="A104" i="42"/>
  <c r="B103" i="42"/>
  <c r="D103" i="42" s="1"/>
  <c r="B106" i="40"/>
  <c r="A105" i="40"/>
  <c r="H105" i="40" s="1"/>
  <c r="J182" i="43" l="1"/>
  <c r="O182" i="43"/>
  <c r="I182" i="43"/>
  <c r="G101" i="42"/>
  <c r="I101" i="42" s="1"/>
  <c r="J101" i="42" s="1"/>
  <c r="J104" i="40"/>
  <c r="K104" i="40" s="1"/>
  <c r="D116" i="43"/>
  <c r="D102" i="42"/>
  <c r="F101" i="42"/>
  <c r="P181" i="43"/>
  <c r="P114" i="43"/>
  <c r="H103" i="42"/>
  <c r="H183" i="43"/>
  <c r="H116" i="43"/>
  <c r="K183" i="43"/>
  <c r="M183" i="43"/>
  <c r="P115" i="43"/>
  <c r="M116" i="43"/>
  <c r="K116" i="43"/>
  <c r="I183" i="43"/>
  <c r="J183" i="43"/>
  <c r="F104" i="40"/>
  <c r="D118" i="43" s="1"/>
  <c r="B120" i="43"/>
  <c r="E118" i="43"/>
  <c r="L118" i="43" s="1"/>
  <c r="F118" i="43"/>
  <c r="F184" i="43"/>
  <c r="E184" i="43"/>
  <c r="L184" i="43" s="1"/>
  <c r="F185" i="43"/>
  <c r="E185" i="43"/>
  <c r="L185" i="43" s="1"/>
  <c r="E105" i="40"/>
  <c r="A119" i="43"/>
  <c r="K103" i="40"/>
  <c r="D184" i="43" s="1"/>
  <c r="O184" i="43" s="1"/>
  <c r="F103" i="40"/>
  <c r="C105" i="40"/>
  <c r="A185" i="43"/>
  <c r="G185" i="43" s="1"/>
  <c r="G118" i="43"/>
  <c r="E117" i="43"/>
  <c r="L117" i="43" s="1"/>
  <c r="F117" i="43"/>
  <c r="B186" i="43"/>
  <c r="A105" i="42"/>
  <c r="B107" i="40"/>
  <c r="A106" i="40"/>
  <c r="H106" i="40" s="1"/>
  <c r="O118" i="43" l="1"/>
  <c r="J116" i="43"/>
  <c r="O116" i="43"/>
  <c r="P182" i="43"/>
  <c r="I116" i="43"/>
  <c r="B104" i="42"/>
  <c r="H104" i="42" s="1"/>
  <c r="I105" i="40"/>
  <c r="J105" i="40" s="1"/>
  <c r="J118" i="43"/>
  <c r="H185" i="43"/>
  <c r="M118" i="43"/>
  <c r="K118" i="43"/>
  <c r="H117" i="43"/>
  <c r="H184" i="43"/>
  <c r="K184" i="43"/>
  <c r="M184" i="43"/>
  <c r="M117" i="43"/>
  <c r="K117" i="43"/>
  <c r="K185" i="43"/>
  <c r="M185" i="43"/>
  <c r="H118" i="43"/>
  <c r="I118" i="43"/>
  <c r="J184" i="43"/>
  <c r="I184" i="43"/>
  <c r="P183" i="43"/>
  <c r="C103" i="42"/>
  <c r="E103" i="42" s="1"/>
  <c r="F103" i="42" s="1"/>
  <c r="G102" i="42"/>
  <c r="I102" i="42" s="1"/>
  <c r="J102" i="42" s="1"/>
  <c r="A186" i="43"/>
  <c r="G186" i="43" s="1"/>
  <c r="G119" i="43"/>
  <c r="E106" i="40"/>
  <c r="A120" i="43"/>
  <c r="C102" i="42"/>
  <c r="E102" i="42" s="1"/>
  <c r="F102" i="42" s="1"/>
  <c r="D117" i="43"/>
  <c r="C106" i="40"/>
  <c r="C119" i="43"/>
  <c r="N119" i="43" s="1"/>
  <c r="C186" i="43"/>
  <c r="N186" i="43" s="1"/>
  <c r="B187" i="43"/>
  <c r="B121" i="43"/>
  <c r="D105" i="40"/>
  <c r="G105" i="40" s="1"/>
  <c r="G103" i="42"/>
  <c r="I103" i="42" s="1"/>
  <c r="J103" i="42" s="1"/>
  <c r="D185" i="43"/>
  <c r="O185" i="43" s="1"/>
  <c r="A106" i="42"/>
  <c r="A107" i="40"/>
  <c r="H107" i="40" s="1"/>
  <c r="P116" i="43" l="1"/>
  <c r="J117" i="43"/>
  <c r="O117" i="43"/>
  <c r="D104" i="42"/>
  <c r="D106" i="40"/>
  <c r="G106" i="40" s="1"/>
  <c r="I106" i="40"/>
  <c r="J106" i="40" s="1"/>
  <c r="B105" i="42"/>
  <c r="H105" i="42" s="1"/>
  <c r="P118" i="43"/>
  <c r="I117" i="43"/>
  <c r="P184" i="43"/>
  <c r="J185" i="43"/>
  <c r="I185" i="43"/>
  <c r="E107" i="40"/>
  <c r="A121" i="43"/>
  <c r="F186" i="43"/>
  <c r="E186" i="43"/>
  <c r="L186" i="43" s="1"/>
  <c r="A187" i="43"/>
  <c r="G187" i="43" s="1"/>
  <c r="G120" i="43"/>
  <c r="F119" i="43"/>
  <c r="E119" i="43"/>
  <c r="L119" i="43" s="1"/>
  <c r="B188" i="43"/>
  <c r="K105" i="40"/>
  <c r="D186" i="43" s="1"/>
  <c r="O186" i="43" s="1"/>
  <c r="F105" i="40"/>
  <c r="C107" i="40"/>
  <c r="C120" i="43"/>
  <c r="N120" i="43" s="1"/>
  <c r="C187" i="43"/>
  <c r="N187" i="43" s="1"/>
  <c r="K106" i="40" l="1"/>
  <c r="D187" i="43" s="1"/>
  <c r="O187" i="43" s="1"/>
  <c r="F106" i="40"/>
  <c r="C105" i="42" s="1"/>
  <c r="E105" i="42" s="1"/>
  <c r="D107" i="40"/>
  <c r="G107" i="40" s="1"/>
  <c r="I107" i="40"/>
  <c r="J107" i="40" s="1"/>
  <c r="D105" i="42"/>
  <c r="H186" i="43"/>
  <c r="P117" i="43"/>
  <c r="H119" i="43"/>
  <c r="K186" i="43"/>
  <c r="M186" i="43"/>
  <c r="P185" i="43"/>
  <c r="M119" i="43"/>
  <c r="K119" i="43"/>
  <c r="J186" i="43"/>
  <c r="I186" i="43"/>
  <c r="B106" i="42"/>
  <c r="G104" i="42"/>
  <c r="I104" i="42" s="1"/>
  <c r="J104" i="42" s="1"/>
  <c r="E120" i="43"/>
  <c r="L120" i="43" s="1"/>
  <c r="F120" i="43"/>
  <c r="C188" i="43"/>
  <c r="N188" i="43" s="1"/>
  <c r="C121" i="43"/>
  <c r="N121" i="43" s="1"/>
  <c r="A188" i="43"/>
  <c r="G188" i="43" s="1"/>
  <c r="G121" i="43"/>
  <c r="D119" i="43"/>
  <c r="C104" i="42"/>
  <c r="E104" i="42" s="1"/>
  <c r="F104" i="42" s="1"/>
  <c r="F187" i="43"/>
  <c r="E187" i="43"/>
  <c r="L187" i="43" s="1"/>
  <c r="J119" i="43" l="1"/>
  <c r="O119" i="43"/>
  <c r="G105" i="42"/>
  <c r="I105" i="42" s="1"/>
  <c r="J105" i="42" s="1"/>
  <c r="D120" i="43"/>
  <c r="K107" i="40"/>
  <c r="D188" i="43" s="1"/>
  <c r="O188" i="43" s="1"/>
  <c r="F107" i="40"/>
  <c r="D121" i="43" s="1"/>
  <c r="F105" i="42"/>
  <c r="H120" i="43"/>
  <c r="P186" i="43"/>
  <c r="M120" i="43"/>
  <c r="K120" i="43"/>
  <c r="K187" i="43"/>
  <c r="M187" i="43"/>
  <c r="I119" i="43"/>
  <c r="H187" i="43"/>
  <c r="H106" i="42"/>
  <c r="D106" i="42"/>
  <c r="I187" i="43"/>
  <c r="J187" i="43"/>
  <c r="E188" i="43"/>
  <c r="L188" i="43" s="1"/>
  <c r="F188" i="43"/>
  <c r="E121" i="43"/>
  <c r="L121" i="43" s="1"/>
  <c r="F121" i="43"/>
  <c r="J121" i="43" l="1"/>
  <c r="O121" i="43"/>
  <c r="J120" i="43"/>
  <c r="O120" i="43"/>
  <c r="I120" i="43"/>
  <c r="G106" i="42"/>
  <c r="I106" i="42" s="1"/>
  <c r="J106" i="42" s="1"/>
  <c r="I46" i="42" s="1"/>
  <c r="I22" i="42" s="1"/>
  <c r="C106" i="42"/>
  <c r="E106" i="42" s="1"/>
  <c r="F106" i="42" s="1"/>
  <c r="E46" i="42" s="1"/>
  <c r="I21" i="42" s="1"/>
  <c r="P119" i="43"/>
  <c r="K121" i="43"/>
  <c r="M121" i="43"/>
  <c r="M188" i="43"/>
  <c r="K188" i="43"/>
  <c r="I121" i="43"/>
  <c r="H121" i="43"/>
  <c r="H188" i="43"/>
  <c r="J188" i="43"/>
  <c r="I188" i="43"/>
  <c r="P187" i="43"/>
  <c r="P120" i="43" l="1"/>
  <c r="I23" i="42"/>
  <c r="P121" i="43"/>
  <c r="P188" i="43"/>
  <c r="O128" i="43" s="1"/>
  <c r="H22" i="43" s="1"/>
  <c r="O61" i="43" l="1"/>
  <c r="H21" i="43" s="1"/>
  <c r="H23" i="43" s="1"/>
</calcChain>
</file>

<file path=xl/sharedStrings.xml><?xml version="1.0" encoding="utf-8"?>
<sst xmlns="http://schemas.openxmlformats.org/spreadsheetml/2006/main" count="531" uniqueCount="225">
  <si>
    <t>Tariff:</t>
  </si>
  <si>
    <t>Effective:</t>
  </si>
  <si>
    <t>Type:</t>
  </si>
  <si>
    <t>Participant:</t>
  </si>
  <si>
    <t>Start</t>
  </si>
  <si>
    <t>Total</t>
  </si>
  <si>
    <t>Stage</t>
  </si>
  <si>
    <t>Date</t>
  </si>
  <si>
    <t>No</t>
  </si>
  <si>
    <t>To:</t>
  </si>
  <si>
    <t>Other</t>
  </si>
  <si>
    <t>Participant</t>
  </si>
  <si>
    <t>This Participant</t>
  </si>
  <si>
    <t>Month</t>
  </si>
  <si>
    <t>PROJECT DETAILS</t>
  </si>
  <si>
    <t>CONTRACT DETAILS</t>
  </si>
  <si>
    <t>Prepared by:</t>
  </si>
  <si>
    <t>Date:</t>
  </si>
  <si>
    <t>Version:</t>
  </si>
  <si>
    <t>Reference</t>
  </si>
  <si>
    <t>(a)</t>
  </si>
  <si>
    <t>(b)</t>
  </si>
  <si>
    <t>(c)</t>
  </si>
  <si>
    <t>(d)</t>
  </si>
  <si>
    <t>(e)</t>
  </si>
  <si>
    <t>(f)</t>
  </si>
  <si>
    <t>(g)</t>
  </si>
  <si>
    <t>(h)</t>
  </si>
  <si>
    <t>(i)</t>
  </si>
  <si>
    <t>(j)</t>
  </si>
  <si>
    <t>Current</t>
  </si>
  <si>
    <t>Capacity</t>
  </si>
  <si>
    <t>Will Capacity be Reduced or Terminated?</t>
  </si>
  <si>
    <t>Date Request Was Received by AESO:</t>
  </si>
  <si>
    <t>Discount Rate for Calculation of PILON:</t>
  </si>
  <si>
    <t>Contracted After Request</t>
  </si>
  <si>
    <t>Contracted Prior to Request</t>
  </si>
  <si>
    <t>Notice</t>
  </si>
  <si>
    <t>Period</t>
  </si>
  <si>
    <t>Production</t>
  </si>
  <si>
    <t>Contract</t>
  </si>
  <si>
    <t>Highest</t>
  </si>
  <si>
    <t>Metered</t>
  </si>
  <si>
    <t>Demand</t>
  </si>
  <si>
    <t>Tariff</t>
  </si>
  <si>
    <t>Energy</t>
  </si>
  <si>
    <t>Coincident</t>
  </si>
  <si>
    <t>Days</t>
  </si>
  <si>
    <t>in</t>
  </si>
  <si>
    <t>Load</t>
  </si>
  <si>
    <t>Factor</t>
  </si>
  <si>
    <t>Coincidence</t>
  </si>
  <si>
    <t>(MW)</t>
  </si>
  <si>
    <t>(MWh)</t>
  </si>
  <si>
    <t>(%)</t>
  </si>
  <si>
    <t>Override</t>
  </si>
  <si>
    <t>24-MONTH HISTORICAL BILLING DATA</t>
  </si>
  <si>
    <t>Substation Fractions at Substation</t>
  </si>
  <si>
    <t>BILLING VALUES</t>
  </si>
  <si>
    <t>After Request</t>
  </si>
  <si>
    <t>Prior to Request</t>
  </si>
  <si>
    <t>Billing</t>
  </si>
  <si>
    <t>24-Month</t>
  </si>
  <si>
    <t>Peak</t>
  </si>
  <si>
    <t>Adjusted</t>
  </si>
  <si>
    <t>§9:4(1)</t>
  </si>
  <si>
    <t>Excess</t>
  </si>
  <si>
    <t>Bulk</t>
  </si>
  <si>
    <t>System</t>
  </si>
  <si>
    <t>Regional</t>
  </si>
  <si>
    <t>Charges</t>
  </si>
  <si>
    <t>Bulk System Charge</t>
  </si>
  <si>
    <t>Regional System Charge</t>
  </si>
  <si>
    <t>/MWh</t>
  </si>
  <si>
    <t>DTS Only</t>
  </si>
  <si>
    <t>Amounts With PILON</t>
  </si>
  <si>
    <t>Amounts Without PILON</t>
  </si>
  <si>
    <t>($)</t>
  </si>
  <si>
    <t>Present Value at PILON Date:</t>
  </si>
  <si>
    <t>•  Present value of system charges with original contract capacity:</t>
  </si>
  <si>
    <t>•  Present value of system charges with reduced contract capacity:</t>
  </si>
  <si>
    <t>Lump sum payment in lieu of notice normally required:</t>
  </si>
  <si>
    <t>/MW</t>
  </si>
  <si>
    <t>Rate DTS Component</t>
  </si>
  <si>
    <t>Charge</t>
  </si>
  <si>
    <t>3(1) Connection Charge</t>
  </si>
  <si>
    <t>The amounts calculated above are based on the charges, values, and demand amounts provided below.</t>
  </si>
  <si>
    <t>No.</t>
  </si>
  <si>
    <t>(Months)</t>
  </si>
  <si>
    <r>
      <t>Contract Capacities at Substation</t>
    </r>
    <r>
      <rPr>
        <sz val="10"/>
        <rFont val="Arial"/>
        <family val="2"/>
      </rPr>
      <t xml:space="preserve"> (MW)</t>
    </r>
  </si>
  <si>
    <r>
      <t>Payment in Lieu of Notice (PILON)</t>
    </r>
    <r>
      <rPr>
        <sz val="10"/>
        <rFont val="Arial"/>
        <family val="2"/>
      </rPr>
      <t xml:space="preserve"> (MW)</t>
    </r>
  </si>
  <si>
    <t>Date PILON Must Be Received by AESO:</t>
  </si>
  <si>
    <t>Point of</t>
  </si>
  <si>
    <t>Delivery</t>
  </si>
  <si>
    <t>Operating</t>
  </si>
  <si>
    <t>Reserve</t>
  </si>
  <si>
    <t>Voltage</t>
  </si>
  <si>
    <t>Control</t>
  </si>
  <si>
    <t>Support</t>
  </si>
  <si>
    <t>Rate DTS</t>
  </si>
  <si>
    <t>Point of Delivery Charge</t>
  </si>
  <si>
    <t>4(2) Operating Reserve Charge</t>
  </si>
  <si>
    <t>/month</t>
  </si>
  <si>
    <t>Rate DTS Charge</t>
  </si>
  <si>
    <t>Fraction</t>
  </si>
  <si>
    <t>(SF)</t>
  </si>
  <si>
    <t>Substation</t>
  </si>
  <si>
    <t>Primary</t>
  </si>
  <si>
    <t>Service</t>
  </si>
  <si>
    <t>Credit</t>
  </si>
  <si>
    <t>PILON:</t>
  </si>
  <si>
    <t>Charges before expected date of receipt of PILON are not included</t>
  </si>
  <si>
    <t>Value</t>
  </si>
  <si>
    <t>Other Amounts Used in Calculation</t>
  </si>
  <si>
    <t>Rate PSC Credit</t>
  </si>
  <si>
    <t>Unit</t>
  </si>
  <si>
    <t>Other Amounts Used</t>
  </si>
  <si>
    <t>•  Present value of Rate DTS charges with original contract capacity:</t>
  </si>
  <si>
    <t>•  Present value of Rate DTS charges with reduced contract capacity:</t>
  </si>
  <si>
    <t>Present value of reduction in Rate DTS charges at PILON date:</t>
  </si>
  <si>
    <t>(a) Coincident metered demand</t>
  </si>
  <si>
    <t>(b) Metered energy</t>
  </si>
  <si>
    <t>(c) Billing capacity</t>
  </si>
  <si>
    <t>(d) Metered energy</t>
  </si>
  <si>
    <t>(f) Load factor</t>
  </si>
  <si>
    <t>(g) Discount rate</t>
  </si>
  <si>
    <t>(e) Coincidence factor</t>
  </si>
  <si>
    <t>(e) Substation fraction (SF)</t>
  </si>
  <si>
    <t>(f) First (7.5 × SF) MW of billing capacity</t>
  </si>
  <si>
    <t>(g) Next (9.5 × SF) MW of billing capacity</t>
  </si>
  <si>
    <t>(h) Next (23 × SF) MW of billing capacity</t>
  </si>
  <si>
    <t>(i) All remaining MW of billing capacity</t>
  </si>
  <si>
    <t>(j) Pool price</t>
  </si>
  <si>
    <t>(k) Multiplier</t>
  </si>
  <si>
    <t>(l) Metered energy</t>
  </si>
  <si>
    <t>(n) Coincidence factor</t>
  </si>
  <si>
    <t>(o) Load factor</t>
  </si>
  <si>
    <t>(p) Discount rate</t>
  </si>
  <si>
    <t>Additional Detail: Rate DTS Charges</t>
  </si>
  <si>
    <t>Account</t>
  </si>
  <si>
    <t>Number</t>
  </si>
  <si>
    <t>Name</t>
  </si>
  <si>
    <t>Average Over Most Recent 12 Months of History</t>
  </si>
  <si>
    <t>Project Name</t>
  </si>
  <si>
    <t>Project Number</t>
  </si>
  <si>
    <t>Name of Preparer</t>
  </si>
  <si>
    <t>Date Prepared</t>
  </si>
  <si>
    <t>Reduced</t>
  </si>
  <si>
    <t>Does Primary Service Credit Apply to Service?</t>
  </si>
  <si>
    <t>Pool Price ($/MWh):</t>
  </si>
  <si>
    <t>5  Transmission Constraint Rebalancing Charge</t>
  </si>
  <si>
    <t>(m) Metered energy</t>
  </si>
  <si>
    <t>6  Voltage Control Charge</t>
  </si>
  <si>
    <t>7  Other System Support Services Charge</t>
  </si>
  <si>
    <t>(n) Highest metered demand</t>
  </si>
  <si>
    <t>Constraint</t>
  </si>
  <si>
    <t>Rebalancing</t>
  </si>
  <si>
    <t>AESO 2019</t>
  </si>
  <si>
    <t>AESO 2015</t>
  </si>
  <si>
    <t>AESO 2016</t>
  </si>
  <si>
    <t>AESO 2017</t>
  </si>
  <si>
    <t>AESO 2018</t>
  </si>
  <si>
    <t>AESO 2020</t>
  </si>
  <si>
    <t>Effective On</t>
  </si>
  <si>
    <t>End Date</t>
  </si>
  <si>
    <t>Coincident metered demand</t>
  </si>
  <si>
    <t>metered energy</t>
  </si>
  <si>
    <t>Billing capacity</t>
  </si>
  <si>
    <t>Metered Energy</t>
  </si>
  <si>
    <t>Operating Reserve Charge</t>
  </si>
  <si>
    <t>Pool price</t>
  </si>
  <si>
    <t>Multiplier</t>
  </si>
  <si>
    <t>Transmission Constraint Rebalancing Charge</t>
  </si>
  <si>
    <t>Metered energy</t>
  </si>
  <si>
    <t>Voltage Control Charge</t>
  </si>
  <si>
    <t>Other System Support Services Charge</t>
  </si>
  <si>
    <t>Highest metered demand</t>
  </si>
  <si>
    <t>AESO 2021</t>
  </si>
  <si>
    <t>Project Number:</t>
  </si>
  <si>
    <t>Project Name:</t>
  </si>
  <si>
    <t>Any Other Market Participant at Substation?</t>
  </si>
  <si>
    <t>Start of 5-Year Notice Period:</t>
  </si>
  <si>
    <t>“Override” values, if entered, will be used instead of “Average” values for bill calculations</t>
  </si>
  <si>
    <t>Demands and Charges During 5-Year Notice Period</t>
  </si>
  <si>
    <t>DEMANDS DURING 5-YEAR NOTICE PERIOD WITHOUT AND WITH PAYMENT IN LIEU OF NOTICE</t>
  </si>
  <si>
    <r>
      <t>5-Year Notice</t>
    </r>
    <r>
      <rPr>
        <sz val="10"/>
        <rFont val="Arial"/>
        <family val="2"/>
      </rPr>
      <t xml:space="preserve"> (MW)</t>
    </r>
  </si>
  <si>
    <t>Calculation of Rate DTS Charges During 5-Year Notice Period</t>
  </si>
  <si>
    <t xml:space="preserve">Rate DTS Charges and PSC Credit During 5-Year Notice Period Without PILON </t>
  </si>
  <si>
    <t xml:space="preserve">Rate DTS Charges and PSC Credit During 5-Year Notice Period With PILON </t>
  </si>
  <si>
    <t>Attachment A1: Contract Details</t>
  </si>
  <si>
    <t>Attachment A2: Billing History</t>
  </si>
  <si>
    <t>Attachment A3: Payment in Lieu of Notice (PILON)</t>
  </si>
  <si>
    <t>Attachment A4: Demands During Notice Period</t>
  </si>
  <si>
    <t>Calculation of Lump Sum Payment in Lieu of All or a Portion of 5-Year Notice Period</t>
  </si>
  <si>
    <t>Market Participant:</t>
  </si>
  <si>
    <t>Name of Market Participant</t>
  </si>
  <si>
    <t xml:space="preserve">Effective Date of the SAS Agreement </t>
  </si>
  <si>
    <t>(k)    Contract Stages</t>
  </si>
  <si>
    <t>(l)</t>
  </si>
  <si>
    <t>(m)    Contract Stages</t>
  </si>
  <si>
    <t>The AESO includes GST when invoicing.</t>
  </si>
  <si>
    <t>PROJECT IDENTIFICATION</t>
  </si>
  <si>
    <t>AESO 2022</t>
  </si>
  <si>
    <t>AESO 2023</t>
  </si>
  <si>
    <t>Line</t>
  </si>
  <si>
    <t>Total Rate DTS Charges ($)</t>
  </si>
  <si>
    <t>Initial Contract Start Date</t>
  </si>
  <si>
    <t>New Contract Start Date</t>
  </si>
  <si>
    <t>Delay Months</t>
  </si>
  <si>
    <t>Discount Rate</t>
  </si>
  <si>
    <t>Rate DTS Contract Capacity</t>
  </si>
  <si>
    <t>Rate STS Contract Capacity</t>
  </si>
  <si>
    <t>Substation Fraction</t>
  </si>
  <si>
    <t>PILON Payment Date</t>
  </si>
  <si>
    <t>PILON</t>
  </si>
  <si>
    <t>Attachment A5: Contract Capacity Start Date Changes</t>
  </si>
  <si>
    <t>Regional System Charge (Rate DTS)</t>
  </si>
  <si>
    <t>Regional System Charge Rate DTS ($)</t>
  </si>
  <si>
    <t>Bulk System Charge ($)</t>
  </si>
  <si>
    <t>AESO 2024</t>
  </si>
  <si>
    <t>AESO 2025</t>
  </si>
  <si>
    <t>2025.0.0</t>
  </si>
  <si>
    <t>Information Document</t>
  </si>
  <si>
    <t>ISO Tariff - Payment in Lieu of Notice Calculator</t>
  </si>
  <si>
    <t>ID #2025-010T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</si>
</sst>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7" formatCode="&quot;$&quot;#,##0.00_);\(&quot;$&quot;#,##0.00\)"/>
    <numFmt numFmtId="8" formatCode="&quot;$&quot;#,##0.00_);[Red]\(&quot;$&quot;#,##0.00\)"/>
    <numFmt numFmtId="44" formatCode="_(&quot;$&quot;* #,##0.00_);_(&quot;$&quot;* \(#,##0.00\);_(&quot;$&quot;* &quot;-&quot;??_);_(@_)"/>
    <numFmt numFmtId="164" formatCode="mmm\ yyyy"/>
    <numFmt numFmtId="165" formatCode="#,##0_);\(#,##0\);&quot;&quot;"/>
    <numFmt numFmtId="166" formatCode="\(#0\);\(\-#0\);&quot;&quot;"/>
    <numFmt numFmtId="167" formatCode="?\(0\);?\(\-0\);&quot;&quot;"/>
    <numFmt numFmtId="168" formatCode="0.00000_);\(0.00000\)"/>
    <numFmt numFmtId="169" formatCode="#,##0.00000_);\(#,##0.00000\)"/>
    <numFmt numFmtId="170" formatCode="mmm\ d\,\ yyyy"/>
    <numFmt numFmtId="171" formatCode="0.0%_);\(0.0%\)"/>
    <numFmt numFmtId="172" formatCode="0.0"/>
    <numFmt numFmtId="173" formatCode="yyyy/mm"/>
    <numFmt numFmtId="174" formatCode="?\(0\);?\(\-0\)"/>
    <numFmt numFmtId="175" formatCode="&quot;$&quot;#,##0"/>
    <numFmt numFmtId="176" formatCode="0.00%_);\(0.00%\)"/>
    <numFmt numFmtId="177" formatCode="yy/mm"/>
    <numFmt numFmtId="178" formatCode="&quot;$&quot;#,##0.000_);\(&quot;$&quot;#,##0.000\)"/>
    <numFmt numFmtId="179" formatCode="&quot;$&quot;#,##0.000_);[Red]\(&quot;$&quot;#,##0.000\)"/>
    <numFmt numFmtId="180" formatCode="mmm\ dd\,\ yyyy"/>
    <numFmt numFmtId="181" formatCode="0.000000"/>
    <numFmt numFmtId="182" formatCode="[$-409]mmmm\ d\,\ yyyy;@"/>
    <numFmt numFmtId="183" formatCode="[$-1009]mmmm\ d\,\ yyyy;@"/>
  </numFmts>
  <fonts count="2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i/>
      <sz val="10"/>
      <name val="Arial"/>
      <family val="2"/>
    </font>
    <font>
      <sz val="10"/>
      <color indexed="55"/>
      <name val="Arial"/>
      <family val="2"/>
    </font>
    <font>
      <b/>
      <i/>
      <sz val="10"/>
      <color indexed="10"/>
      <name val="Arial"/>
      <family val="2"/>
    </font>
    <font>
      <sz val="11"/>
      <name val="Arial Black"/>
      <family val="2"/>
    </font>
    <font>
      <sz val="6"/>
      <name val="Arial"/>
      <family val="2"/>
    </font>
    <font>
      <b/>
      <sz val="18"/>
      <color indexed="18"/>
      <name val="Arial"/>
      <family val="2"/>
    </font>
    <font>
      <b/>
      <sz val="12"/>
      <color indexed="18"/>
      <name val="Arial"/>
      <family val="2"/>
    </font>
    <font>
      <b/>
      <i/>
      <sz val="10"/>
      <color indexed="18"/>
      <name val="Arial"/>
      <family val="2"/>
    </font>
    <font>
      <sz val="10"/>
      <color indexed="12"/>
      <name val="Arial"/>
      <family val="2"/>
    </font>
    <font>
      <b/>
      <sz val="10"/>
      <color indexed="12"/>
      <name val="Arial"/>
      <family val="2"/>
    </font>
    <font>
      <sz val="9"/>
      <name val="Arial"/>
      <family val="2"/>
    </font>
    <font>
      <sz val="10"/>
      <color rgb="FF0000FF"/>
      <name val="Arial"/>
      <family val="2"/>
    </font>
    <font>
      <sz val="10"/>
      <name val="Arial"/>
      <family val="2"/>
    </font>
    <font>
      <sz val="10"/>
      <color rgb="FF969696"/>
      <name val="Arial"/>
      <family val="2"/>
    </font>
    <font>
      <b/>
      <sz val="12"/>
      <color theme="3"/>
      <name val="Arial"/>
      <family val="2"/>
    </font>
    <font>
      <b/>
      <sz val="12"/>
      <color theme="3"/>
      <name val="Arial "/>
    </font>
    <font>
      <b/>
      <sz val="11"/>
      <color theme="1"/>
      <name val="Calibri"/>
      <family val="2"/>
      <scheme val="minor"/>
    </font>
    <font>
      <sz val="8"/>
      <name val="Arial"/>
      <family val="2"/>
    </font>
    <font>
      <b/>
      <u/>
      <sz val="10"/>
      <name val="Arial"/>
      <family val="2"/>
    </font>
    <font>
      <sz val="18"/>
      <color rgb="FF1F497D"/>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C0C0C0"/>
        <bgColor indexed="64"/>
      </patternFill>
    </fill>
    <fill>
      <patternFill patternType="solid">
        <fgColor theme="0" tint="-0.249977111117893"/>
        <bgColor indexed="64"/>
      </patternFill>
    </fill>
    <fill>
      <patternFill patternType="solid">
        <fgColor theme="9" tint="0.59999389629810485"/>
        <bgColor indexed="64"/>
      </patternFill>
    </fill>
  </fills>
  <borders count="53">
    <border>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3">
    <xf numFmtId="0" fontId="0" fillId="0" borderId="0"/>
    <xf numFmtId="0" fontId="18" fillId="0" borderId="0"/>
    <xf numFmtId="0" fontId="5" fillId="0" borderId="0"/>
    <xf numFmtId="0" fontId="13" fillId="0" borderId="0"/>
    <xf numFmtId="0" fontId="14" fillId="0" borderId="0"/>
    <xf numFmtId="0" fontId="15" fillId="0" borderId="0">
      <alignment vertical="top"/>
    </xf>
    <xf numFmtId="0" fontId="5" fillId="0" borderId="0"/>
    <xf numFmtId="9" fontId="20"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4" fillId="0" borderId="0"/>
    <xf numFmtId="9" fontId="4" fillId="0" borderId="0" applyFont="0" applyFill="0" applyBorder="0" applyAlignment="0" applyProtection="0"/>
    <xf numFmtId="0" fontId="5" fillId="0" borderId="0"/>
  </cellStyleXfs>
  <cellXfs count="475">
    <xf numFmtId="0" fontId="0" fillId="0" borderId="0" xfId="0"/>
    <xf numFmtId="0" fontId="7" fillId="0" borderId="0" xfId="0" applyFont="1"/>
    <xf numFmtId="0" fontId="0" fillId="0" borderId="2" xfId="0" applyBorder="1"/>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39" fontId="5" fillId="0" borderId="8" xfId="0" applyNumberFormat="1" applyFont="1" applyFill="1" applyBorder="1"/>
    <xf numFmtId="39" fontId="5" fillId="0" borderId="11" xfId="0" applyNumberFormat="1" applyFont="1" applyFill="1" applyBorder="1"/>
    <xf numFmtId="39" fontId="5" fillId="0" borderId="9" xfId="0" applyNumberFormat="1" applyFont="1" applyFill="1" applyBorder="1"/>
    <xf numFmtId="39" fontId="5" fillId="0" borderId="13" xfId="0" applyNumberFormat="1" applyFont="1" applyFill="1" applyBorder="1"/>
    <xf numFmtId="39" fontId="5" fillId="0" borderId="1" xfId="0" applyNumberFormat="1" applyFont="1" applyFill="1" applyBorder="1"/>
    <xf numFmtId="39" fontId="5" fillId="0" borderId="15" xfId="0" applyNumberFormat="1" applyFont="1" applyFill="1" applyBorder="1"/>
    <xf numFmtId="0" fontId="0" fillId="0" borderId="4" xfId="0" applyBorder="1"/>
    <xf numFmtId="39" fontId="5" fillId="0" borderId="10" xfId="0" applyNumberFormat="1" applyFont="1" applyFill="1" applyBorder="1"/>
    <xf numFmtId="39" fontId="5" fillId="0" borderId="12" xfId="0" applyNumberFormat="1" applyFont="1" applyFill="1" applyBorder="1"/>
    <xf numFmtId="39" fontId="5" fillId="0" borderId="14" xfId="0" applyNumberFormat="1" applyFont="1" applyFill="1" applyBorder="1"/>
    <xf numFmtId="0" fontId="7" fillId="0" borderId="2" xfId="0" applyFont="1" applyBorder="1" applyAlignment="1">
      <alignment horizontal="center"/>
    </xf>
    <xf numFmtId="39" fontId="7" fillId="0" borderId="0" xfId="0" applyNumberFormat="1" applyFont="1"/>
    <xf numFmtId="164" fontId="16" fillId="3" borderId="12" xfId="0" applyNumberFormat="1" applyFont="1" applyFill="1" applyBorder="1" applyAlignment="1" applyProtection="1">
      <alignment horizontal="center"/>
      <protection locked="0"/>
    </xf>
    <xf numFmtId="164" fontId="16" fillId="3" borderId="14" xfId="0" applyNumberFormat="1" applyFont="1" applyFill="1" applyBorder="1" applyAlignment="1" applyProtection="1">
      <alignment horizontal="center"/>
      <protection locked="0"/>
    </xf>
    <xf numFmtId="39" fontId="16" fillId="3" borderId="8" xfId="0" applyNumberFormat="1" applyFont="1" applyFill="1" applyBorder="1" applyProtection="1">
      <protection locked="0"/>
    </xf>
    <xf numFmtId="39" fontId="16" fillId="3" borderId="9" xfId="0" applyNumberFormat="1" applyFont="1" applyFill="1" applyBorder="1" applyProtection="1">
      <protection locked="0"/>
    </xf>
    <xf numFmtId="39" fontId="16" fillId="3" borderId="1" xfId="0" applyNumberFormat="1" applyFont="1" applyFill="1" applyBorder="1" applyProtection="1">
      <protection locked="0"/>
    </xf>
    <xf numFmtId="39" fontId="16" fillId="3" borderId="10" xfId="0" applyNumberFormat="1" applyFont="1" applyFill="1" applyBorder="1" applyProtection="1">
      <protection locked="0"/>
    </xf>
    <xf numFmtId="39" fontId="16" fillId="3" borderId="11" xfId="0" applyNumberFormat="1" applyFont="1" applyFill="1" applyBorder="1" applyProtection="1">
      <protection locked="0"/>
    </xf>
    <xf numFmtId="39" fontId="16" fillId="3" borderId="12" xfId="0" applyNumberFormat="1" applyFont="1" applyFill="1" applyBorder="1" applyProtection="1">
      <protection locked="0"/>
    </xf>
    <xf numFmtId="39" fontId="16" fillId="3" borderId="13" xfId="0" applyNumberFormat="1" applyFont="1" applyFill="1" applyBorder="1" applyProtection="1">
      <protection locked="0"/>
    </xf>
    <xf numFmtId="39" fontId="16" fillId="3" borderId="14" xfId="0" applyNumberFormat="1" applyFont="1" applyFill="1" applyBorder="1" applyProtection="1">
      <protection locked="0"/>
    </xf>
    <xf numFmtId="39" fontId="16" fillId="3" borderId="15" xfId="0" applyNumberFormat="1" applyFont="1" applyFill="1" applyBorder="1" applyProtection="1">
      <protection locked="0"/>
    </xf>
    <xf numFmtId="0" fontId="11" fillId="0" borderId="0" xfId="0" applyFont="1" applyProtection="1"/>
    <xf numFmtId="0" fontId="12" fillId="0" borderId="0" xfId="0" applyFont="1" applyProtection="1"/>
    <xf numFmtId="0" fontId="0" fillId="0" borderId="0" xfId="0" applyProtection="1"/>
    <xf numFmtId="0" fontId="0" fillId="0" borderId="0" xfId="0" applyAlignment="1" applyProtection="1">
      <alignment horizontal="left" indent="2"/>
    </xf>
    <xf numFmtId="0" fontId="5" fillId="0" borderId="0" xfId="0" applyFont="1" applyFill="1" applyAlignment="1" applyProtection="1">
      <alignment horizontal="left" indent="2"/>
    </xf>
    <xf numFmtId="0" fontId="9" fillId="0" borderId="0" xfId="0" applyFont="1" applyAlignment="1" applyProtection="1">
      <alignment horizontal="left" indent="2"/>
    </xf>
    <xf numFmtId="0" fontId="7" fillId="0" borderId="0" xfId="0" applyFont="1" applyProtection="1"/>
    <xf numFmtId="0" fontId="10" fillId="0" borderId="0" xfId="0" applyFont="1" applyProtection="1"/>
    <xf numFmtId="0" fontId="5" fillId="0" borderId="0" xfId="0" applyFont="1" applyFill="1" applyProtection="1"/>
    <xf numFmtId="0" fontId="7" fillId="0" borderId="0" xfId="0" applyFont="1" applyFill="1" applyProtection="1"/>
    <xf numFmtId="10" fontId="7" fillId="0" borderId="0" xfId="0" applyNumberFormat="1" applyFont="1" applyFill="1" applyProtection="1"/>
    <xf numFmtId="0" fontId="0" fillId="0" borderId="2" xfId="0" applyBorder="1" applyProtection="1"/>
    <xf numFmtId="0" fontId="0" fillId="0" borderId="3" xfId="0" applyBorder="1" applyProtection="1"/>
    <xf numFmtId="0" fontId="0" fillId="0" borderId="32" xfId="0" applyBorder="1" applyProtection="1"/>
    <xf numFmtId="0" fontId="7" fillId="0" borderId="33" xfId="0" applyFont="1" applyBorder="1" applyAlignment="1" applyProtection="1">
      <alignment horizontal="center"/>
    </xf>
    <xf numFmtId="0" fontId="7" fillId="0" borderId="34" xfId="0" applyFont="1" applyBorder="1" applyAlignment="1" applyProtection="1">
      <alignment horizontal="center"/>
    </xf>
    <xf numFmtId="0" fontId="7" fillId="0" borderId="4" xfId="0" applyFont="1" applyBorder="1" applyAlignment="1" applyProtection="1">
      <alignment horizontal="center"/>
    </xf>
    <xf numFmtId="0" fontId="7" fillId="0" borderId="5" xfId="0" applyFont="1" applyBorder="1" applyAlignment="1" applyProtection="1">
      <alignment horizontal="center"/>
    </xf>
    <xf numFmtId="0" fontId="7" fillId="0" borderId="6" xfId="0" applyFont="1" applyBorder="1" applyAlignment="1" applyProtection="1">
      <alignment horizontal="center"/>
    </xf>
    <xf numFmtId="0" fontId="0" fillId="0" borderId="7" xfId="0" applyBorder="1" applyAlignment="1" applyProtection="1">
      <alignment horizontal="center"/>
    </xf>
    <xf numFmtId="0" fontId="0" fillId="0" borderId="1" xfId="0" applyBorder="1" applyAlignment="1" applyProtection="1">
      <alignment horizontal="center"/>
    </xf>
    <xf numFmtId="0" fontId="0" fillId="0" borderId="16" xfId="0" applyBorder="1" applyAlignment="1" applyProtection="1">
      <alignment horizontal="center"/>
    </xf>
    <xf numFmtId="0" fontId="7" fillId="0" borderId="7" xfId="0" applyFont="1" applyBorder="1" applyAlignment="1" applyProtection="1">
      <alignment horizontal="center"/>
    </xf>
    <xf numFmtId="167" fontId="0" fillId="0" borderId="8" xfId="0" applyNumberFormat="1" applyBorder="1" applyAlignment="1" applyProtection="1">
      <alignment horizontal="center"/>
    </xf>
    <xf numFmtId="164" fontId="0" fillId="0" borderId="10" xfId="0" applyNumberFormat="1" applyBorder="1" applyAlignment="1" applyProtection="1">
      <alignment horizontal="center"/>
    </xf>
    <xf numFmtId="165" fontId="0" fillId="0" borderId="11" xfId="0" applyNumberFormat="1" applyBorder="1" applyProtection="1"/>
    <xf numFmtId="167" fontId="0" fillId="0" borderId="9" xfId="0" applyNumberFormat="1" applyBorder="1" applyAlignment="1" applyProtection="1">
      <alignment horizontal="center"/>
    </xf>
    <xf numFmtId="165" fontId="0" fillId="0" borderId="13" xfId="0" applyNumberFormat="1" applyBorder="1" applyProtection="1"/>
    <xf numFmtId="166" fontId="0" fillId="0" borderId="1" xfId="0" applyNumberFormat="1" applyBorder="1" applyAlignment="1" applyProtection="1">
      <alignment horizontal="center"/>
    </xf>
    <xf numFmtId="165" fontId="0" fillId="0" borderId="15" xfId="0" applyNumberFormat="1" applyBorder="1" applyProtection="1"/>
    <xf numFmtId="0" fontId="7" fillId="0" borderId="25" xfId="0" applyFont="1" applyBorder="1" applyAlignment="1" applyProtection="1"/>
    <xf numFmtId="0" fontId="7" fillId="0" borderId="26" xfId="0" applyFont="1" applyBorder="1" applyAlignment="1" applyProtection="1">
      <alignment horizontal="right"/>
    </xf>
    <xf numFmtId="165" fontId="7" fillId="0" borderId="22" xfId="0" applyNumberFormat="1" applyFont="1" applyBorder="1" applyProtection="1"/>
    <xf numFmtId="0" fontId="9" fillId="0" borderId="0" xfId="0" quotePrefix="1" applyFont="1" applyProtection="1"/>
    <xf numFmtId="0" fontId="0" fillId="0" borderId="0" xfId="0" applyFill="1" applyProtection="1"/>
    <xf numFmtId="0" fontId="5" fillId="0" borderId="0" xfId="0" applyFont="1" applyProtection="1"/>
    <xf numFmtId="0" fontId="9" fillId="0" borderId="0" xfId="0" applyFont="1" applyProtection="1"/>
    <xf numFmtId="0" fontId="7" fillId="0" borderId="3" xfId="0" applyFont="1" applyBorder="1" applyAlignment="1" applyProtection="1">
      <alignment horizontal="center"/>
    </xf>
    <xf numFmtId="0" fontId="7" fillId="0" borderId="2" xfId="0" applyFont="1" applyBorder="1" applyAlignment="1" applyProtection="1">
      <alignment horizontal="center"/>
    </xf>
    <xf numFmtId="0" fontId="7" fillId="0" borderId="32" xfId="0" applyFont="1" applyBorder="1" applyAlignment="1" applyProtection="1">
      <alignment horizontal="center"/>
    </xf>
    <xf numFmtId="0" fontId="7" fillId="0" borderId="20" xfId="0" applyFont="1" applyBorder="1" applyAlignment="1" applyProtection="1">
      <alignment horizontal="center"/>
    </xf>
    <xf numFmtId="0" fontId="7" fillId="0" borderId="41" xfId="0" applyFont="1" applyBorder="1" applyAlignment="1" applyProtection="1">
      <alignment horizontal="center"/>
    </xf>
    <xf numFmtId="3" fontId="0" fillId="0" borderId="17" xfId="0" applyNumberFormat="1" applyBorder="1" applyAlignment="1" applyProtection="1">
      <alignment horizontal="center"/>
    </xf>
    <xf numFmtId="3" fontId="0" fillId="0" borderId="18" xfId="0" applyNumberFormat="1" applyBorder="1" applyAlignment="1" applyProtection="1">
      <alignment horizontal="center"/>
    </xf>
    <xf numFmtId="171" fontId="0" fillId="0" borderId="8" xfId="0" applyNumberFormat="1" applyBorder="1" applyProtection="1"/>
    <xf numFmtId="171" fontId="0" fillId="0" borderId="11" xfId="0" applyNumberFormat="1" applyBorder="1" applyProtection="1"/>
    <xf numFmtId="171" fontId="0" fillId="0" borderId="9" xfId="0" applyNumberFormat="1" applyBorder="1" applyProtection="1"/>
    <xf numFmtId="171" fontId="0" fillId="0" borderId="13" xfId="0" applyNumberFormat="1" applyBorder="1" applyProtection="1"/>
    <xf numFmtId="171" fontId="0" fillId="0" borderId="1" xfId="0" applyNumberFormat="1" applyBorder="1" applyProtection="1"/>
    <xf numFmtId="171" fontId="0" fillId="0" borderId="15" xfId="0" applyNumberFormat="1" applyBorder="1" applyProtection="1"/>
    <xf numFmtId="37" fontId="7" fillId="0" borderId="23" xfId="0" applyNumberFormat="1" applyFont="1" applyFill="1" applyBorder="1" applyProtection="1"/>
    <xf numFmtId="171" fontId="7" fillId="0" borderId="21" xfId="0" applyNumberFormat="1" applyFont="1" applyFill="1" applyBorder="1" applyProtection="1"/>
    <xf numFmtId="171" fontId="7" fillId="0" borderId="22" xfId="0" applyNumberFormat="1" applyFont="1" applyFill="1" applyBorder="1" applyProtection="1"/>
    <xf numFmtId="0" fontId="5" fillId="0" borderId="19" xfId="0" applyFont="1" applyBorder="1" applyAlignment="1" applyProtection="1">
      <alignment horizontal="center"/>
    </xf>
    <xf numFmtId="0" fontId="5" fillId="0" borderId="19" xfId="0" applyFont="1" applyFill="1" applyBorder="1" applyAlignment="1" applyProtection="1">
      <alignment horizontal="center"/>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5" xfId="0" quotePrefix="1" applyFont="1" applyBorder="1" applyAlignment="1" applyProtection="1">
      <alignment horizontal="center"/>
    </xf>
    <xf numFmtId="0" fontId="5" fillId="0" borderId="7" xfId="0" quotePrefix="1" applyFont="1" applyBorder="1" applyAlignment="1" applyProtection="1">
      <alignment horizontal="center"/>
    </xf>
    <xf numFmtId="0" fontId="8" fillId="0" borderId="0" xfId="0" applyFont="1" applyProtection="1"/>
    <xf numFmtId="0" fontId="7" fillId="0" borderId="27" xfId="0" applyFont="1" applyBorder="1" applyAlignment="1" applyProtection="1">
      <alignment horizontal="center"/>
    </xf>
    <xf numFmtId="0" fontId="8" fillId="0" borderId="25" xfId="0" applyFont="1" applyFill="1" applyBorder="1" applyProtection="1"/>
    <xf numFmtId="172" fontId="0" fillId="0" borderId="0" xfId="0" applyNumberFormat="1" applyProtection="1"/>
    <xf numFmtId="167" fontId="5" fillId="0" borderId="8" xfId="0" applyNumberFormat="1" applyFont="1" applyBorder="1" applyAlignment="1" applyProtection="1">
      <alignment horizontal="center"/>
    </xf>
    <xf numFmtId="164" fontId="5" fillId="0" borderId="10" xfId="0" applyNumberFormat="1" applyFont="1" applyBorder="1" applyAlignment="1" applyProtection="1">
      <alignment horizontal="center"/>
    </xf>
    <xf numFmtId="165" fontId="5" fillId="0" borderId="11" xfId="0" applyNumberFormat="1" applyFont="1" applyBorder="1" applyProtection="1"/>
    <xf numFmtId="169" fontId="5" fillId="0" borderId="8" xfId="0" applyNumberFormat="1" applyFont="1" applyFill="1" applyBorder="1" applyProtection="1"/>
    <xf numFmtId="169" fontId="5" fillId="0" borderId="10" xfId="0" applyNumberFormat="1" applyFont="1" applyFill="1" applyBorder="1" applyProtection="1"/>
    <xf numFmtId="169" fontId="5" fillId="0" borderId="11" xfId="0" applyNumberFormat="1" applyFont="1" applyFill="1" applyBorder="1" applyProtection="1"/>
    <xf numFmtId="167" fontId="5" fillId="0" borderId="9" xfId="0" applyNumberFormat="1" applyFont="1" applyBorder="1" applyAlignment="1" applyProtection="1">
      <alignment horizontal="center"/>
    </xf>
    <xf numFmtId="164" fontId="5" fillId="0" borderId="12" xfId="0" applyNumberFormat="1" applyFont="1" applyFill="1" applyBorder="1" applyAlignment="1" applyProtection="1">
      <alignment horizontal="center"/>
    </xf>
    <xf numFmtId="165" fontId="5" fillId="0" borderId="13" xfId="0" applyNumberFormat="1" applyFont="1" applyBorder="1" applyProtection="1"/>
    <xf numFmtId="169" fontId="5" fillId="0" borderId="9" xfId="0" applyNumberFormat="1" applyFont="1" applyFill="1" applyBorder="1" applyProtection="1"/>
    <xf numFmtId="169" fontId="5" fillId="0" borderId="12" xfId="0" applyNumberFormat="1" applyFont="1" applyFill="1" applyBorder="1" applyProtection="1"/>
    <xf numFmtId="169" fontId="5" fillId="0" borderId="13" xfId="0" applyNumberFormat="1" applyFont="1" applyFill="1" applyBorder="1" applyProtection="1"/>
    <xf numFmtId="166" fontId="5" fillId="0" borderId="1" xfId="0" applyNumberFormat="1" applyFont="1" applyBorder="1" applyAlignment="1" applyProtection="1">
      <alignment horizontal="center"/>
    </xf>
    <xf numFmtId="164" fontId="5" fillId="0" borderId="14" xfId="0" applyNumberFormat="1" applyFont="1" applyFill="1" applyBorder="1" applyAlignment="1" applyProtection="1">
      <alignment horizontal="center"/>
    </xf>
    <xf numFmtId="165" fontId="5" fillId="0" borderId="15" xfId="0" applyNumberFormat="1" applyFont="1" applyBorder="1" applyProtection="1"/>
    <xf numFmtId="169" fontId="5" fillId="0" borderId="1" xfId="0" applyNumberFormat="1" applyFont="1" applyFill="1" applyBorder="1" applyProtection="1"/>
    <xf numFmtId="169" fontId="5" fillId="0" borderId="14" xfId="0" applyNumberFormat="1" applyFont="1" applyFill="1" applyBorder="1" applyProtection="1"/>
    <xf numFmtId="169" fontId="5" fillId="0" borderId="15" xfId="0" applyNumberFormat="1" applyFont="1" applyFill="1" applyBorder="1" applyProtection="1"/>
    <xf numFmtId="165" fontId="7" fillId="0" borderId="27" xfId="0" applyNumberFormat="1" applyFont="1" applyFill="1" applyBorder="1" applyProtection="1"/>
    <xf numFmtId="0" fontId="5" fillId="0" borderId="25" xfId="0" applyFont="1" applyFill="1" applyBorder="1" applyProtection="1"/>
    <xf numFmtId="0" fontId="5" fillId="0" borderId="25" xfId="0" applyFont="1" applyFill="1" applyBorder="1" applyAlignment="1" applyProtection="1">
      <alignment horizontal="right"/>
    </xf>
    <xf numFmtId="168" fontId="5" fillId="0" borderId="25" xfId="0" applyNumberFormat="1" applyFont="1" applyFill="1" applyBorder="1" applyProtection="1"/>
    <xf numFmtId="0" fontId="8" fillId="0" borderId="0" xfId="0" applyFont="1" applyAlignment="1" applyProtection="1">
      <alignment horizontal="left"/>
    </xf>
    <xf numFmtId="0" fontId="5" fillId="0" borderId="0" xfId="0" applyFont="1" applyAlignment="1">
      <alignment horizontal="center"/>
    </xf>
    <xf numFmtId="174" fontId="5" fillId="0" borderId="0" xfId="0" applyNumberFormat="1" applyFont="1"/>
    <xf numFmtId="39" fontId="19" fillId="4" borderId="10" xfId="0" applyNumberFormat="1" applyFont="1" applyFill="1" applyBorder="1" applyProtection="1">
      <protection locked="0"/>
    </xf>
    <xf numFmtId="39" fontId="19" fillId="4" borderId="12" xfId="0" applyNumberFormat="1" applyFont="1" applyFill="1" applyBorder="1" applyProtection="1">
      <protection locked="0"/>
    </xf>
    <xf numFmtId="39" fontId="19" fillId="4" borderId="14" xfId="0" applyNumberFormat="1" applyFont="1" applyFill="1" applyBorder="1" applyProtection="1">
      <protection locked="0"/>
    </xf>
    <xf numFmtId="39" fontId="7" fillId="0" borderId="23" xfId="0" applyNumberFormat="1" applyFont="1" applyFill="1" applyBorder="1" applyProtection="1"/>
    <xf numFmtId="39" fontId="19" fillId="4" borderId="11" xfId="0" applyNumberFormat="1" applyFont="1" applyFill="1" applyBorder="1" applyProtection="1">
      <protection locked="0"/>
    </xf>
    <xf numFmtId="39" fontId="19" fillId="4" borderId="13" xfId="0" applyNumberFormat="1" applyFont="1" applyFill="1" applyBorder="1" applyProtection="1">
      <protection locked="0"/>
    </xf>
    <xf numFmtId="39" fontId="19" fillId="4" borderId="15" xfId="0" applyNumberFormat="1" applyFont="1" applyFill="1" applyBorder="1" applyProtection="1">
      <protection locked="0"/>
    </xf>
    <xf numFmtId="39" fontId="7" fillId="0" borderId="22" xfId="0" applyNumberFormat="1" applyFont="1" applyFill="1" applyBorder="1" applyProtection="1"/>
    <xf numFmtId="173" fontId="5" fillId="0" borderId="0" xfId="0" applyNumberFormat="1" applyFont="1"/>
    <xf numFmtId="39" fontId="5" fillId="0" borderId="0" xfId="0" applyNumberFormat="1" applyFont="1"/>
    <xf numFmtId="0" fontId="5" fillId="0" borderId="0" xfId="0" applyFont="1"/>
    <xf numFmtId="39" fontId="5" fillId="0" borderId="11" xfId="0" applyNumberFormat="1" applyFont="1" applyBorder="1"/>
    <xf numFmtId="39" fontId="5" fillId="0" borderId="13" xfId="0" applyNumberFormat="1" applyFont="1" applyBorder="1"/>
    <xf numFmtId="39" fontId="5" fillId="0" borderId="15" xfId="0" applyNumberFormat="1" applyFont="1" applyBorder="1"/>
    <xf numFmtId="39" fontId="5" fillId="0" borderId="8" xfId="0" applyNumberFormat="1" applyFont="1" applyBorder="1"/>
    <xf numFmtId="39" fontId="5" fillId="0" borderId="10" xfId="0" applyNumberFormat="1" applyFont="1" applyBorder="1"/>
    <xf numFmtId="39" fontId="5" fillId="0" borderId="9" xfId="0" applyNumberFormat="1" applyFont="1" applyBorder="1"/>
    <xf numFmtId="39" fontId="5" fillId="0" borderId="12" xfId="0" applyNumberFormat="1" applyFont="1" applyBorder="1"/>
    <xf numFmtId="39" fontId="5" fillId="0" borderId="1" xfId="0" applyNumberFormat="1" applyFont="1" applyBorder="1"/>
    <xf numFmtId="39" fontId="5" fillId="0" borderId="14" xfId="0" applyNumberFormat="1" applyFont="1" applyBorder="1"/>
    <xf numFmtId="39" fontId="7" fillId="0" borderId="4" xfId="0" applyNumberFormat="1" applyFont="1" applyBorder="1" applyAlignment="1">
      <alignment horizontal="center"/>
    </xf>
    <xf numFmtId="39" fontId="7" fillId="0" borderId="2" xfId="0" applyNumberFormat="1" applyFont="1" applyBorder="1" applyAlignment="1">
      <alignment horizontal="center"/>
    </xf>
    <xf numFmtId="39" fontId="7" fillId="0" borderId="34" xfId="0" applyNumberFormat="1" applyFont="1" applyBorder="1" applyAlignment="1">
      <alignment horizontal="center"/>
    </xf>
    <xf numFmtId="0" fontId="7" fillId="0" borderId="32" xfId="0" applyFont="1" applyBorder="1" applyAlignment="1">
      <alignment horizontal="center"/>
    </xf>
    <xf numFmtId="39" fontId="7" fillId="0" borderId="33" xfId="0" applyNumberFormat="1" applyFont="1" applyBorder="1" applyAlignment="1">
      <alignment horizontal="center"/>
    </xf>
    <xf numFmtId="174" fontId="7" fillId="0" borderId="5" xfId="0" applyNumberFormat="1" applyFont="1" applyBorder="1" applyAlignment="1">
      <alignment horizontal="center"/>
    </xf>
    <xf numFmtId="173" fontId="7" fillId="0" borderId="6" xfId="0" applyNumberFormat="1" applyFont="1" applyBorder="1" applyAlignment="1">
      <alignment horizontal="center"/>
    </xf>
    <xf numFmtId="39" fontId="7" fillId="0" borderId="7" xfId="0" applyNumberFormat="1" applyFont="1" applyBorder="1" applyAlignment="1">
      <alignment horizontal="center"/>
    </xf>
    <xf numFmtId="39" fontId="7" fillId="0" borderId="6" xfId="0" applyNumberFormat="1" applyFont="1" applyBorder="1" applyAlignment="1">
      <alignment horizontal="center"/>
    </xf>
    <xf numFmtId="39" fontId="7" fillId="0" borderId="3" xfId="0" applyNumberFormat="1" applyFont="1" applyBorder="1" applyAlignment="1">
      <alignment horizontal="center"/>
    </xf>
    <xf numFmtId="39" fontId="7" fillId="0" borderId="5" xfId="0" applyNumberFormat="1" applyFont="1" applyBorder="1" applyAlignment="1">
      <alignment horizontal="center"/>
    </xf>
    <xf numFmtId="174" fontId="5" fillId="0" borderId="8" xfId="0" applyNumberFormat="1" applyFont="1" applyBorder="1" applyAlignment="1">
      <alignment horizontal="center"/>
    </xf>
    <xf numFmtId="174" fontId="5" fillId="0" borderId="9" xfId="0" applyNumberFormat="1" applyFont="1" applyBorder="1" applyAlignment="1">
      <alignment horizontal="center"/>
    </xf>
    <xf numFmtId="174" fontId="5" fillId="0" borderId="1" xfId="0" applyNumberFormat="1" applyFont="1" applyBorder="1" applyAlignment="1">
      <alignment horizontal="center"/>
    </xf>
    <xf numFmtId="173" fontId="5" fillId="0" borderId="10" xfId="0" applyNumberFormat="1" applyFont="1" applyBorder="1" applyAlignment="1">
      <alignment horizontal="center"/>
    </xf>
    <xf numFmtId="173" fontId="5" fillId="0" borderId="12" xfId="0" applyNumberFormat="1" applyFont="1" applyBorder="1" applyAlignment="1">
      <alignment horizontal="center"/>
    </xf>
    <xf numFmtId="173" fontId="5" fillId="0" borderId="14" xfId="0" applyNumberFormat="1" applyFont="1" applyBorder="1" applyAlignment="1">
      <alignment horizontal="center"/>
    </xf>
    <xf numFmtId="0" fontId="5" fillId="0" borderId="0" xfId="0" applyFont="1" applyAlignment="1">
      <alignment horizontal="left" indent="1"/>
    </xf>
    <xf numFmtId="174" fontId="7" fillId="0" borderId="0" xfId="0" applyNumberFormat="1" applyFont="1"/>
    <xf numFmtId="173" fontId="7" fillId="0" borderId="0" xfId="0" applyNumberFormat="1" applyFont="1"/>
    <xf numFmtId="39" fontId="7" fillId="0" borderId="32" xfId="0" applyNumberFormat="1" applyFont="1" applyBorder="1" applyAlignment="1">
      <alignment horizontal="center"/>
    </xf>
    <xf numFmtId="39" fontId="5" fillId="0" borderId="0" xfId="0" applyNumberFormat="1" applyFont="1" applyAlignment="1">
      <alignment horizontal="left"/>
    </xf>
    <xf numFmtId="175" fontId="5" fillId="0" borderId="10" xfId="0" applyNumberFormat="1" applyFont="1" applyBorder="1"/>
    <xf numFmtId="175" fontId="5" fillId="0" borderId="11" xfId="0" applyNumberFormat="1" applyFont="1" applyFill="1" applyBorder="1"/>
    <xf numFmtId="175" fontId="5" fillId="0" borderId="12" xfId="0" applyNumberFormat="1" applyFont="1" applyBorder="1"/>
    <xf numFmtId="175" fontId="5" fillId="0" borderId="13" xfId="0" applyNumberFormat="1" applyFont="1" applyFill="1" applyBorder="1"/>
    <xf numFmtId="175" fontId="5" fillId="0" borderId="10" xfId="0" applyNumberFormat="1" applyFont="1" applyFill="1" applyBorder="1"/>
    <xf numFmtId="175" fontId="5" fillId="0" borderId="12" xfId="0" applyNumberFormat="1" applyFont="1" applyFill="1" applyBorder="1"/>
    <xf numFmtId="39" fontId="5" fillId="0" borderId="0" xfId="0" applyNumberFormat="1" applyFont="1" applyAlignment="1">
      <alignment horizontal="left"/>
    </xf>
    <xf numFmtId="39" fontId="7" fillId="0" borderId="0" xfId="0" applyNumberFormat="1" applyFont="1" applyAlignment="1">
      <alignment horizontal="left"/>
    </xf>
    <xf numFmtId="175" fontId="5" fillId="0" borderId="14" xfId="0" applyNumberFormat="1" applyFont="1" applyBorder="1"/>
    <xf numFmtId="175" fontId="5" fillId="0" borderId="15" xfId="0" applyNumberFormat="1" applyFont="1" applyFill="1" applyBorder="1"/>
    <xf numFmtId="175" fontId="5" fillId="0" borderId="14" xfId="0" applyNumberFormat="1" applyFont="1" applyFill="1" applyBorder="1"/>
    <xf numFmtId="173" fontId="5" fillId="0" borderId="8" xfId="0" applyNumberFormat="1" applyFont="1" applyBorder="1" applyAlignment="1">
      <alignment horizontal="center"/>
    </xf>
    <xf numFmtId="173" fontId="5" fillId="0" borderId="9" xfId="0" applyNumberFormat="1" applyFont="1" applyBorder="1" applyAlignment="1">
      <alignment horizontal="center"/>
    </xf>
    <xf numFmtId="173" fontId="5" fillId="0" borderId="1" xfId="0" applyNumberFormat="1" applyFont="1" applyBorder="1" applyAlignment="1">
      <alignment horizontal="center"/>
    </xf>
    <xf numFmtId="173" fontId="7" fillId="0" borderId="33" xfId="0" applyNumberFormat="1" applyFont="1" applyBorder="1" applyAlignment="1">
      <alignment horizontal="center"/>
    </xf>
    <xf numFmtId="0" fontId="5" fillId="0" borderId="0" xfId="0" applyFont="1" applyAlignment="1"/>
    <xf numFmtId="173" fontId="7" fillId="0" borderId="35" xfId="0" applyNumberFormat="1" applyFont="1" applyBorder="1" applyAlignment="1"/>
    <xf numFmtId="39" fontId="7" fillId="0" borderId="28" xfId="0" applyNumberFormat="1" applyFont="1" applyBorder="1" applyAlignment="1"/>
    <xf numFmtId="0" fontId="7" fillId="0" borderId="28" xfId="0" applyFont="1" applyBorder="1" applyAlignment="1"/>
    <xf numFmtId="39" fontId="7" fillId="0" borderId="35" xfId="0" applyNumberFormat="1" applyFont="1" applyBorder="1" applyAlignment="1"/>
    <xf numFmtId="0" fontId="7" fillId="0" borderId="0" xfId="0" applyFont="1" applyAlignment="1">
      <alignment horizontal="left" indent="1"/>
    </xf>
    <xf numFmtId="174" fontId="7" fillId="0" borderId="32" xfId="0" applyNumberFormat="1" applyFont="1" applyBorder="1" applyAlignment="1">
      <alignment horizontal="center"/>
    </xf>
    <xf numFmtId="173" fontId="7" fillId="0" borderId="32" xfId="0" applyNumberFormat="1" applyFont="1" applyBorder="1" applyAlignment="1">
      <alignment horizontal="center"/>
    </xf>
    <xf numFmtId="173" fontId="7" fillId="0" borderId="5" xfId="0" applyNumberFormat="1" applyFont="1" applyBorder="1" applyAlignment="1">
      <alignment horizontal="center"/>
    </xf>
    <xf numFmtId="39" fontId="7" fillId="0" borderId="0" xfId="0" applyNumberFormat="1" applyFont="1" applyAlignment="1"/>
    <xf numFmtId="173" fontId="5" fillId="0" borderId="38" xfId="0" applyNumberFormat="1" applyFont="1" applyBorder="1"/>
    <xf numFmtId="39" fontId="5" fillId="0" borderId="25" xfId="0" applyNumberFormat="1" applyFont="1" applyBorder="1"/>
    <xf numFmtId="39" fontId="5" fillId="0" borderId="25" xfId="0" applyNumberFormat="1" applyFont="1" applyBorder="1" applyAlignment="1">
      <alignment horizontal="left"/>
    </xf>
    <xf numFmtId="39" fontId="5" fillId="0" borderId="26" xfId="0" applyNumberFormat="1" applyFont="1" applyBorder="1" applyAlignment="1">
      <alignment horizontal="left"/>
    </xf>
    <xf numFmtId="173" fontId="5" fillId="0" borderId="39" xfId="0" applyNumberFormat="1" applyFont="1" applyBorder="1"/>
    <xf numFmtId="39" fontId="5" fillId="0" borderId="0" xfId="0" applyNumberFormat="1" applyFont="1" applyBorder="1"/>
    <xf numFmtId="39" fontId="5" fillId="0" borderId="0" xfId="0" applyNumberFormat="1" applyFont="1" applyBorder="1" applyAlignment="1">
      <alignment horizontal="left"/>
    </xf>
    <xf numFmtId="39" fontId="5" fillId="0" borderId="40" xfId="0" quotePrefix="1" applyNumberFormat="1" applyFont="1" applyBorder="1" applyAlignment="1">
      <alignment horizontal="left"/>
    </xf>
    <xf numFmtId="173" fontId="5" fillId="0" borderId="37" xfId="0" applyNumberFormat="1" applyFont="1" applyBorder="1"/>
    <xf numFmtId="39" fontId="5" fillId="0" borderId="42" xfId="0" applyNumberFormat="1" applyFont="1" applyBorder="1"/>
    <xf numFmtId="39" fontId="5" fillId="0" borderId="42" xfId="0" applyNumberFormat="1" applyFont="1" applyBorder="1" applyAlignment="1">
      <alignment horizontal="left"/>
    </xf>
    <xf numFmtId="39" fontId="5" fillId="0" borderId="31" xfId="0" quotePrefix="1" applyNumberFormat="1" applyFont="1" applyBorder="1" applyAlignment="1">
      <alignment horizontal="left"/>
    </xf>
    <xf numFmtId="7" fontId="5" fillId="0" borderId="25" xfId="0" applyNumberFormat="1" applyFont="1" applyBorder="1" applyAlignment="1"/>
    <xf numFmtId="173" fontId="12" fillId="0" borderId="0" xfId="0" applyNumberFormat="1" applyFont="1" applyProtection="1"/>
    <xf numFmtId="173" fontId="5" fillId="0" borderId="0" xfId="0" applyNumberFormat="1" applyFont="1" applyFill="1" applyProtection="1"/>
    <xf numFmtId="173" fontId="7" fillId="0" borderId="2" xfId="0" applyNumberFormat="1" applyFont="1" applyBorder="1" applyAlignment="1" applyProtection="1">
      <alignment horizontal="center"/>
    </xf>
    <xf numFmtId="173" fontId="7" fillId="0" borderId="32" xfId="0" applyNumberFormat="1" applyFont="1" applyBorder="1" applyAlignment="1" applyProtection="1">
      <alignment horizontal="center"/>
    </xf>
    <xf numFmtId="173" fontId="5" fillId="0" borderId="5" xfId="0" applyNumberFormat="1" applyFont="1" applyBorder="1" applyAlignment="1" applyProtection="1">
      <alignment horizontal="center"/>
    </xf>
    <xf numFmtId="173" fontId="19" fillId="4" borderId="8" xfId="0" applyNumberFormat="1" applyFont="1" applyFill="1" applyBorder="1" applyAlignment="1" applyProtection="1">
      <alignment horizontal="center"/>
      <protection locked="0"/>
    </xf>
    <xf numFmtId="173" fontId="19" fillId="4" borderId="9" xfId="0" applyNumberFormat="1" applyFont="1" applyFill="1" applyBorder="1" applyAlignment="1" applyProtection="1">
      <alignment horizontal="center"/>
      <protection locked="0"/>
    </xf>
    <xf numFmtId="173" fontId="19" fillId="4" borderId="1" xfId="0" applyNumberFormat="1" applyFont="1" applyFill="1" applyBorder="1" applyAlignment="1" applyProtection="1">
      <alignment horizontal="center"/>
      <protection locked="0"/>
    </xf>
    <xf numFmtId="173" fontId="0" fillId="0" borderId="0" xfId="0" applyNumberFormat="1" applyProtection="1"/>
    <xf numFmtId="0" fontId="5" fillId="0" borderId="0" xfId="0" applyFont="1" applyFill="1" applyAlignment="1" applyProtection="1">
      <alignment horizontal="left" indent="1"/>
    </xf>
    <xf numFmtId="0" fontId="9" fillId="0" borderId="0" xfId="0" applyFont="1" applyAlignment="1" applyProtection="1">
      <alignment horizontal="left" indent="1"/>
    </xf>
    <xf numFmtId="177" fontId="5" fillId="0" borderId="17" xfId="0" applyNumberFormat="1" applyFont="1" applyBorder="1" applyAlignment="1" applyProtection="1">
      <alignment horizontal="center"/>
    </xf>
    <xf numFmtId="177" fontId="5" fillId="0" borderId="18" xfId="0" applyNumberFormat="1" applyFont="1" applyBorder="1" applyAlignment="1" applyProtection="1">
      <alignment horizontal="center"/>
    </xf>
    <xf numFmtId="39" fontId="5" fillId="0" borderId="7" xfId="0" applyNumberFormat="1" applyFont="1" applyBorder="1" applyAlignment="1">
      <alignment horizontal="center"/>
    </xf>
    <xf numFmtId="0" fontId="5" fillId="0" borderId="5" xfId="0" applyFont="1" applyBorder="1" applyAlignment="1">
      <alignment horizontal="center"/>
    </xf>
    <xf numFmtId="39" fontId="5" fillId="0" borderId="6" xfId="0" quotePrefix="1" applyNumberFormat="1" applyFont="1" applyBorder="1" applyAlignment="1">
      <alignment horizontal="center"/>
    </xf>
    <xf numFmtId="39" fontId="5" fillId="0" borderId="7" xfId="0" quotePrefix="1" applyNumberFormat="1" applyFont="1" applyBorder="1" applyAlignment="1">
      <alignment horizontal="center"/>
    </xf>
    <xf numFmtId="39" fontId="5" fillId="0" borderId="5" xfId="0" applyNumberFormat="1" applyFont="1" applyBorder="1" applyAlignment="1">
      <alignment horizontal="center"/>
    </xf>
    <xf numFmtId="39" fontId="5" fillId="0" borderId="0" xfId="0" applyNumberFormat="1" applyFont="1" applyAlignment="1">
      <alignment horizontal="left"/>
    </xf>
    <xf numFmtId="37" fontId="12" fillId="0" borderId="0" xfId="0" applyNumberFormat="1" applyFont="1" applyProtection="1"/>
    <xf numFmtId="37" fontId="5" fillId="0" borderId="0" xfId="0" applyNumberFormat="1" applyFont="1" applyFill="1" applyProtection="1"/>
    <xf numFmtId="37" fontId="7" fillId="0" borderId="3" xfId="0" applyNumberFormat="1" applyFont="1" applyBorder="1" applyAlignment="1" applyProtection="1">
      <alignment horizontal="center"/>
    </xf>
    <xf numFmtId="37" fontId="7" fillId="0" borderId="33" xfId="0" applyNumberFormat="1" applyFont="1" applyBorder="1" applyAlignment="1" applyProtection="1">
      <alignment horizontal="center"/>
    </xf>
    <xf numFmtId="37" fontId="5" fillId="0" borderId="6" xfId="0" applyNumberFormat="1" applyFont="1" applyBorder="1" applyAlignment="1" applyProtection="1">
      <alignment horizontal="center"/>
    </xf>
    <xf numFmtId="37" fontId="19" fillId="4" borderId="10" xfId="0" applyNumberFormat="1" applyFont="1" applyFill="1" applyBorder="1" applyProtection="1">
      <protection locked="0"/>
    </xf>
    <xf numFmtId="37" fontId="19" fillId="4" borderId="12" xfId="0" applyNumberFormat="1" applyFont="1" applyFill="1" applyBorder="1" applyProtection="1">
      <protection locked="0"/>
    </xf>
    <xf numFmtId="37" fontId="19" fillId="4" borderId="14" xfId="0" applyNumberFormat="1" applyFont="1" applyFill="1" applyBorder="1" applyProtection="1">
      <protection locked="0"/>
    </xf>
    <xf numFmtId="37" fontId="8" fillId="0" borderId="25" xfId="0" applyNumberFormat="1" applyFont="1" applyFill="1" applyBorder="1" applyProtection="1"/>
    <xf numFmtId="37" fontId="0" fillId="0" borderId="0" xfId="0" applyNumberFormat="1" applyProtection="1"/>
    <xf numFmtId="39" fontId="7" fillId="0" borderId="0" xfId="0" applyNumberFormat="1" applyFont="1" applyAlignment="1">
      <alignment horizontal="left"/>
    </xf>
    <xf numFmtId="39" fontId="5" fillId="0" borderId="0" xfId="0" applyNumberFormat="1" applyFont="1" applyAlignment="1">
      <alignment horizontal="left"/>
    </xf>
    <xf numFmtId="7" fontId="5" fillId="0" borderId="0" xfId="0" applyNumberFormat="1" applyFont="1" applyBorder="1" applyAlignment="1"/>
    <xf numFmtId="7" fontId="5" fillId="0" borderId="42" xfId="0" applyNumberFormat="1" applyFont="1" applyBorder="1" applyAlignment="1"/>
    <xf numFmtId="39" fontId="7" fillId="5" borderId="27" xfId="0" applyNumberFormat="1" applyFont="1" applyFill="1" applyBorder="1" applyAlignment="1">
      <alignment horizontal="center"/>
    </xf>
    <xf numFmtId="39" fontId="21" fillId="0" borderId="0" xfId="0" applyNumberFormat="1" applyFont="1"/>
    <xf numFmtId="39" fontId="21" fillId="0" borderId="0" xfId="0" applyNumberFormat="1" applyFont="1" applyAlignment="1">
      <alignment horizontal="left"/>
    </xf>
    <xf numFmtId="0" fontId="7" fillId="0" borderId="33" xfId="0" applyFont="1" applyBorder="1" applyAlignment="1">
      <alignment horizontal="center"/>
    </xf>
    <xf numFmtId="39" fontId="7" fillId="0" borderId="44" xfId="0" applyNumberFormat="1" applyFont="1" applyBorder="1" applyAlignment="1">
      <alignment horizontal="center"/>
    </xf>
    <xf numFmtId="39" fontId="5" fillId="0" borderId="45" xfId="0" applyNumberFormat="1" applyFont="1" applyBorder="1" applyAlignment="1">
      <alignment horizontal="center"/>
    </xf>
    <xf numFmtId="39" fontId="5" fillId="0" borderId="0" xfId="0" applyNumberFormat="1" applyFont="1" applyAlignment="1">
      <alignment horizontal="left" indent="1"/>
    </xf>
    <xf numFmtId="39" fontId="5" fillId="0" borderId="0" xfId="0" applyNumberFormat="1" applyFont="1" applyAlignment="1"/>
    <xf numFmtId="37" fontId="7" fillId="0" borderId="0" xfId="0" applyNumberFormat="1" applyFont="1" applyAlignment="1"/>
    <xf numFmtId="37" fontId="5" fillId="0" borderId="0" xfId="0" applyNumberFormat="1" applyFont="1" applyAlignment="1"/>
    <xf numFmtId="37" fontId="5" fillId="0" borderId="25" xfId="0" applyNumberFormat="1" applyFont="1" applyBorder="1" applyAlignment="1"/>
    <xf numFmtId="37" fontId="5" fillId="0" borderId="0" xfId="0" applyNumberFormat="1" applyFont="1" applyBorder="1" applyAlignment="1"/>
    <xf numFmtId="37" fontId="5" fillId="0" borderId="42" xfId="0" applyNumberFormat="1" applyFont="1" applyBorder="1" applyAlignment="1"/>
    <xf numFmtId="39" fontId="5" fillId="0" borderId="6" xfId="0" applyNumberFormat="1" applyFont="1" applyBorder="1" applyAlignment="1">
      <alignment horizontal="center"/>
    </xf>
    <xf numFmtId="5" fontId="5" fillId="0" borderId="8" xfId="0" applyNumberFormat="1" applyFont="1" applyBorder="1"/>
    <xf numFmtId="5" fontId="5" fillId="0" borderId="10" xfId="0" applyNumberFormat="1" applyFont="1" applyBorder="1"/>
    <xf numFmtId="5" fontId="5" fillId="0" borderId="46" xfId="0" applyNumberFormat="1" applyFont="1" applyBorder="1"/>
    <xf numFmtId="5" fontId="5" fillId="0" borderId="11" xfId="0" applyNumberFormat="1" applyFont="1" applyBorder="1"/>
    <xf numFmtId="5" fontId="5" fillId="0" borderId="9" xfId="0" applyNumberFormat="1" applyFont="1" applyBorder="1"/>
    <xf numFmtId="5" fontId="5" fillId="0" borderId="12" xfId="0" applyNumberFormat="1" applyFont="1" applyBorder="1"/>
    <xf numFmtId="5" fontId="5" fillId="0" borderId="47" xfId="0" applyNumberFormat="1" applyFont="1" applyBorder="1"/>
    <xf numFmtId="5" fontId="5" fillId="0" borderId="13" xfId="0" applyNumberFormat="1" applyFont="1" applyBorder="1"/>
    <xf numFmtId="173" fontId="5" fillId="0" borderId="0" xfId="0" applyNumberFormat="1" applyFont="1" applyBorder="1"/>
    <xf numFmtId="39" fontId="5" fillId="0" borderId="0" xfId="0" quotePrefix="1" applyNumberFormat="1" applyFont="1" applyBorder="1" applyAlignment="1">
      <alignment horizontal="left"/>
    </xf>
    <xf numFmtId="39" fontId="5" fillId="0" borderId="40" xfId="0" applyNumberFormat="1" applyFont="1" applyBorder="1" applyAlignment="1">
      <alignment horizontal="left"/>
    </xf>
    <xf numFmtId="173" fontId="7" fillId="0" borderId="0" xfId="0" applyNumberFormat="1" applyFont="1" applyBorder="1"/>
    <xf numFmtId="37" fontId="7" fillId="0" borderId="0" xfId="0" applyNumberFormat="1" applyFont="1" applyBorder="1" applyAlignment="1"/>
    <xf numFmtId="39" fontId="7" fillId="0" borderId="0" xfId="0" applyNumberFormat="1" applyFont="1" applyBorder="1" applyAlignment="1">
      <alignment horizontal="left"/>
    </xf>
    <xf numFmtId="7" fontId="7" fillId="0" borderId="0" xfId="0" applyNumberFormat="1" applyFont="1" applyBorder="1" applyAlignment="1"/>
    <xf numFmtId="39" fontId="7" fillId="0" borderId="0" xfId="0" quotePrefix="1" applyNumberFormat="1" applyFont="1" applyBorder="1" applyAlignment="1">
      <alignment horizontal="left"/>
    </xf>
    <xf numFmtId="173" fontId="5" fillId="0" borderId="35" xfId="0" applyNumberFormat="1" applyFont="1" applyBorder="1"/>
    <xf numFmtId="37" fontId="5" fillId="0" borderId="28" xfId="0" applyNumberFormat="1" applyFont="1" applyBorder="1" applyAlignment="1"/>
    <xf numFmtId="39" fontId="5" fillId="0" borderId="28" xfId="0" applyNumberFormat="1" applyFont="1" applyBorder="1" applyAlignment="1">
      <alignment horizontal="left"/>
    </xf>
    <xf numFmtId="176" fontId="5" fillId="0" borderId="42" xfId="0" applyNumberFormat="1" applyFont="1" applyBorder="1" applyAlignment="1"/>
    <xf numFmtId="39" fontId="5" fillId="0" borderId="25" xfId="0" applyNumberFormat="1" applyFont="1" applyBorder="1" applyAlignment="1"/>
    <xf numFmtId="39" fontId="5" fillId="0" borderId="0" xfId="0" applyNumberFormat="1" applyFont="1" applyBorder="1" applyAlignment="1"/>
    <xf numFmtId="39" fontId="5" fillId="0" borderId="42" xfId="0" applyNumberFormat="1" applyFont="1" applyBorder="1" applyAlignment="1"/>
    <xf numFmtId="0" fontId="5" fillId="0" borderId="25" xfId="0" applyFont="1" applyBorder="1"/>
    <xf numFmtId="0" fontId="5" fillId="0" borderId="0" xfId="0" applyFont="1" applyBorder="1"/>
    <xf numFmtId="0" fontId="5" fillId="0" borderId="42" xfId="0" applyFont="1" applyBorder="1"/>
    <xf numFmtId="0" fontId="5" fillId="0" borderId="28" xfId="0" applyFont="1" applyBorder="1"/>
    <xf numFmtId="39" fontId="5" fillId="0" borderId="39" xfId="0" applyNumberFormat="1" applyFont="1" applyBorder="1" applyAlignment="1">
      <alignment horizontal="left"/>
    </xf>
    <xf numFmtId="7" fontId="5" fillId="0" borderId="39" xfId="0" applyNumberFormat="1" applyFont="1" applyBorder="1" applyAlignment="1"/>
    <xf numFmtId="7" fontId="5" fillId="0" borderId="37" xfId="0" applyNumberFormat="1" applyFont="1" applyBorder="1" applyAlignment="1"/>
    <xf numFmtId="7" fontId="7" fillId="0" borderId="25" xfId="0" applyNumberFormat="1" applyFont="1" applyBorder="1" applyAlignment="1"/>
    <xf numFmtId="39" fontId="5" fillId="0" borderId="8" xfId="0" applyNumberFormat="1" applyFont="1" applyBorder="1" applyAlignment="1"/>
    <xf numFmtId="39" fontId="5" fillId="0" borderId="10" xfId="0" applyNumberFormat="1" applyFont="1" applyBorder="1" applyAlignment="1"/>
    <xf numFmtId="37" fontId="5" fillId="0" borderId="10" xfId="0" applyNumberFormat="1" applyFont="1" applyBorder="1" applyAlignment="1"/>
    <xf numFmtId="169" fontId="5" fillId="0" borderId="11" xfId="0" applyNumberFormat="1" applyFont="1" applyBorder="1"/>
    <xf numFmtId="39" fontId="5" fillId="0" borderId="9" xfId="0" applyNumberFormat="1" applyFont="1" applyBorder="1" applyAlignment="1"/>
    <xf numFmtId="39" fontId="5" fillId="0" borderId="12" xfId="0" applyNumberFormat="1" applyFont="1" applyBorder="1" applyAlignment="1"/>
    <xf numFmtId="37" fontId="5" fillId="0" borderId="12" xfId="0" applyNumberFormat="1" applyFont="1" applyBorder="1" applyAlignment="1"/>
    <xf numFmtId="169" fontId="5" fillId="0" borderId="13" xfId="0" applyNumberFormat="1" applyFont="1" applyBorder="1"/>
    <xf numFmtId="39" fontId="5" fillId="0" borderId="1" xfId="0" applyNumberFormat="1" applyFont="1" applyBorder="1" applyAlignment="1"/>
    <xf numFmtId="39" fontId="5" fillId="0" borderId="14" xfId="0" applyNumberFormat="1" applyFont="1" applyBorder="1" applyAlignment="1"/>
    <xf numFmtId="37" fontId="5" fillId="0" borderId="14" xfId="0" applyNumberFormat="1" applyFont="1" applyBorder="1" applyAlignment="1"/>
    <xf numFmtId="169" fontId="5" fillId="0" borderId="15" xfId="0" applyNumberFormat="1" applyFont="1" applyBorder="1"/>
    <xf numFmtId="5" fontId="5" fillId="0" borderId="1" xfId="0" applyNumberFormat="1" applyFont="1" applyBorder="1"/>
    <xf numFmtId="5" fontId="5" fillId="0" borderId="14" xfId="0" applyNumberFormat="1" applyFont="1" applyBorder="1"/>
    <xf numFmtId="5" fontId="5" fillId="0" borderId="15" xfId="0" applyNumberFormat="1" applyFont="1" applyBorder="1"/>
    <xf numFmtId="173" fontId="5" fillId="0" borderId="11" xfId="0" applyNumberFormat="1" applyFont="1" applyBorder="1" applyAlignment="1">
      <alignment horizontal="center"/>
    </xf>
    <xf numFmtId="173" fontId="5" fillId="0" borderId="13" xfId="0" applyNumberFormat="1" applyFont="1" applyBorder="1" applyAlignment="1">
      <alignment horizontal="center"/>
    </xf>
    <xf numFmtId="173" fontId="5" fillId="0" borderId="15" xfId="0" applyNumberFormat="1" applyFont="1" applyBorder="1" applyAlignment="1">
      <alignment horizontal="center"/>
    </xf>
    <xf numFmtId="0" fontId="5" fillId="0" borderId="2" xfId="0" applyFont="1" applyBorder="1"/>
    <xf numFmtId="0" fontId="5" fillId="0" borderId="32" xfId="0" applyFont="1" applyBorder="1"/>
    <xf numFmtId="0" fontId="7" fillId="0" borderId="34" xfId="0" applyFont="1" applyBorder="1" applyAlignment="1">
      <alignment horizontal="center"/>
    </xf>
    <xf numFmtId="173" fontId="7" fillId="0" borderId="34" xfId="0" applyNumberFormat="1" applyFont="1" applyBorder="1" applyAlignment="1">
      <alignment horizontal="center"/>
    </xf>
    <xf numFmtId="173" fontId="7" fillId="0" borderId="7" xfId="0" applyNumberFormat="1" applyFont="1" applyBorder="1" applyAlignment="1">
      <alignment horizontal="center"/>
    </xf>
    <xf numFmtId="37" fontId="7" fillId="0" borderId="3" xfId="0" applyNumberFormat="1" applyFont="1" applyBorder="1" applyAlignment="1">
      <alignment horizontal="center"/>
    </xf>
    <xf numFmtId="37" fontId="7" fillId="0" borderId="33" xfId="0" applyNumberFormat="1" applyFont="1" applyBorder="1" applyAlignment="1">
      <alignment horizontal="center"/>
    </xf>
    <xf numFmtId="37" fontId="5" fillId="0" borderId="6" xfId="0" applyNumberFormat="1" applyFont="1" applyBorder="1" applyAlignment="1">
      <alignment horizontal="center"/>
    </xf>
    <xf numFmtId="0" fontId="7" fillId="0" borderId="2" xfId="0" applyFont="1" applyFill="1" applyBorder="1" applyAlignment="1" applyProtection="1">
      <alignment horizontal="center"/>
    </xf>
    <xf numFmtId="0" fontId="7" fillId="0" borderId="3" xfId="0" applyFont="1" applyFill="1" applyBorder="1" applyAlignment="1" applyProtection="1">
      <alignment horizontal="center"/>
    </xf>
    <xf numFmtId="0" fontId="7" fillId="0" borderId="4" xfId="0" applyFont="1" applyFill="1" applyBorder="1" applyAlignment="1" applyProtection="1">
      <alignment horizontal="center"/>
    </xf>
    <xf numFmtId="39" fontId="5" fillId="0" borderId="5" xfId="0" quotePrefix="1" applyNumberFormat="1" applyFont="1" applyBorder="1" applyAlignment="1">
      <alignment horizontal="center"/>
    </xf>
    <xf numFmtId="0" fontId="5" fillId="0" borderId="6" xfId="0" applyFont="1" applyBorder="1" applyAlignment="1">
      <alignment horizontal="center"/>
    </xf>
    <xf numFmtId="0" fontId="7" fillId="0" borderId="43" xfId="0" applyFont="1" applyFill="1" applyBorder="1" applyAlignment="1" applyProtection="1">
      <alignment horizontal="center"/>
    </xf>
    <xf numFmtId="5" fontId="5" fillId="0" borderId="16" xfId="0" applyNumberFormat="1" applyFont="1" applyBorder="1"/>
    <xf numFmtId="39" fontId="5" fillId="0" borderId="28" xfId="0" quotePrefix="1" applyNumberFormat="1" applyFont="1" applyBorder="1" applyAlignment="1"/>
    <xf numFmtId="0" fontId="5" fillId="0" borderId="28" xfId="0" applyFont="1" applyBorder="1" applyAlignment="1"/>
    <xf numFmtId="39" fontId="8" fillId="0" borderId="28" xfId="0" quotePrefix="1" applyNumberFormat="1" applyFont="1" applyBorder="1" applyAlignment="1"/>
    <xf numFmtId="39" fontId="8" fillId="0" borderId="28" xfId="0" applyNumberFormat="1" applyFont="1" applyBorder="1" applyAlignment="1"/>
    <xf numFmtId="174" fontId="8" fillId="0" borderId="35" xfId="0" applyNumberFormat="1" applyFont="1" applyBorder="1" applyAlignment="1">
      <alignment horizontal="center"/>
    </xf>
    <xf numFmtId="173" fontId="8" fillId="0" borderId="28" xfId="0" applyNumberFormat="1" applyFont="1" applyBorder="1" applyAlignment="1">
      <alignment horizontal="center"/>
    </xf>
    <xf numFmtId="37" fontId="8" fillId="0" borderId="28" xfId="0" applyNumberFormat="1" applyFont="1" applyBorder="1" applyAlignment="1"/>
    <xf numFmtId="39" fontId="7" fillId="0" borderId="28" xfId="0" applyNumberFormat="1" applyFont="1" applyBorder="1" applyAlignment="1">
      <alignment horizontal="right"/>
    </xf>
    <xf numFmtId="39" fontId="5" fillId="0" borderId="20" xfId="0" applyNumberFormat="1" applyFont="1" applyBorder="1" applyAlignment="1">
      <alignment horizontal="left"/>
    </xf>
    <xf numFmtId="39" fontId="5" fillId="0" borderId="41" xfId="0" quotePrefix="1" applyNumberFormat="1" applyFont="1" applyBorder="1" applyAlignment="1">
      <alignment horizontal="left"/>
    </xf>
    <xf numFmtId="39" fontId="5" fillId="0" borderId="19" xfId="0" quotePrefix="1" applyNumberFormat="1" applyFont="1" applyBorder="1" applyAlignment="1">
      <alignment horizontal="left"/>
    </xf>
    <xf numFmtId="39" fontId="5" fillId="0" borderId="38" xfId="0" applyNumberFormat="1" applyFont="1" applyBorder="1" applyAlignment="1">
      <alignment horizontal="left"/>
    </xf>
    <xf numFmtId="7" fontId="5" fillId="0" borderId="26" xfId="0" applyNumberFormat="1" applyFont="1" applyBorder="1" applyAlignment="1"/>
    <xf numFmtId="176" fontId="5" fillId="0" borderId="31" xfId="0" applyNumberFormat="1" applyFont="1" applyBorder="1" applyAlignment="1"/>
    <xf numFmtId="39" fontId="5" fillId="0" borderId="27" xfId="0" quotePrefix="1" applyNumberFormat="1" applyFont="1" applyBorder="1" applyAlignment="1">
      <alignment horizontal="left"/>
    </xf>
    <xf numFmtId="39" fontId="5" fillId="0" borderId="20" xfId="0" quotePrefix="1" applyNumberFormat="1" applyFont="1" applyBorder="1" applyAlignment="1">
      <alignment horizontal="left"/>
    </xf>
    <xf numFmtId="173" fontId="5" fillId="0" borderId="25" xfId="0" applyNumberFormat="1" applyFont="1" applyBorder="1"/>
    <xf numFmtId="39" fontId="5" fillId="0" borderId="37" xfId="0" applyNumberFormat="1" applyFont="1" applyBorder="1" applyAlignment="1">
      <alignment horizontal="left"/>
    </xf>
    <xf numFmtId="39" fontId="5" fillId="0" borderId="31" xfId="0" applyNumberFormat="1" applyFont="1" applyBorder="1" applyAlignment="1">
      <alignment horizontal="left"/>
    </xf>
    <xf numFmtId="0" fontId="5" fillId="0" borderId="38" xfId="0" applyFont="1" applyBorder="1"/>
    <xf numFmtId="171" fontId="5" fillId="0" borderId="25" xfId="7" applyNumberFormat="1" applyFont="1" applyBorder="1" applyAlignment="1"/>
    <xf numFmtId="0" fontId="5" fillId="0" borderId="39" xfId="0" applyFont="1" applyBorder="1"/>
    <xf numFmtId="171" fontId="5" fillId="0" borderId="0" xfId="7" applyNumberFormat="1" applyFont="1" applyBorder="1" applyAlignment="1"/>
    <xf numFmtId="0" fontId="5" fillId="0" borderId="37" xfId="0" applyFont="1" applyBorder="1" applyAlignment="1">
      <alignment horizontal="left" indent="1"/>
    </xf>
    <xf numFmtId="171" fontId="5" fillId="0" borderId="26" xfId="7" applyNumberFormat="1" applyFont="1" applyBorder="1" applyAlignment="1"/>
    <xf numFmtId="171" fontId="5" fillId="0" borderId="40" xfId="7" applyNumberFormat="1" applyFont="1" applyBorder="1" applyAlignment="1"/>
    <xf numFmtId="39" fontId="5" fillId="0" borderId="26" xfId="0" applyNumberFormat="1" applyFont="1" applyBorder="1"/>
    <xf numFmtId="7" fontId="5" fillId="0" borderId="38" xfId="0" applyNumberFormat="1" applyFont="1" applyBorder="1" applyAlignment="1"/>
    <xf numFmtId="7" fontId="5" fillId="0" borderId="35" xfId="0" applyNumberFormat="1" applyFont="1" applyBorder="1" applyAlignment="1"/>
    <xf numFmtId="39" fontId="5" fillId="0" borderId="24" xfId="0" applyNumberFormat="1" applyFont="1" applyBorder="1" applyAlignment="1">
      <alignment horizontal="left"/>
    </xf>
    <xf numFmtId="174" fontId="11" fillId="0" borderId="0" xfId="0" applyNumberFormat="1" applyFont="1" applyAlignment="1"/>
    <xf numFmtId="173" fontId="7" fillId="0" borderId="48" xfId="0" applyNumberFormat="1" applyFont="1" applyBorder="1" applyAlignment="1" applyProtection="1">
      <alignment horizontal="center"/>
    </xf>
    <xf numFmtId="173" fontId="7" fillId="0" borderId="49" xfId="0" applyNumberFormat="1" applyFont="1" applyBorder="1" applyAlignment="1" applyProtection="1">
      <alignment horizontal="center"/>
    </xf>
    <xf numFmtId="173" fontId="5" fillId="0" borderId="50" xfId="0" applyNumberFormat="1" applyFont="1" applyBorder="1" applyAlignment="1" applyProtection="1">
      <alignment horizontal="center"/>
    </xf>
    <xf numFmtId="39" fontId="7" fillId="0" borderId="21" xfId="0" applyNumberFormat="1" applyFont="1" applyFill="1" applyBorder="1" applyProtection="1"/>
    <xf numFmtId="1" fontId="19" fillId="4" borderId="29" xfId="0" applyNumberFormat="1" applyFont="1" applyFill="1" applyBorder="1" applyAlignment="1" applyProtection="1">
      <alignment horizontal="left"/>
      <protection locked="0"/>
    </xf>
    <xf numFmtId="173" fontId="19" fillId="4" borderId="29" xfId="0" applyNumberFormat="1" applyFont="1" applyFill="1" applyBorder="1" applyAlignment="1" applyProtection="1">
      <alignment horizontal="left"/>
      <protection locked="0"/>
    </xf>
    <xf numFmtId="1" fontId="19" fillId="4" borderId="51" xfId="0" applyNumberFormat="1" applyFont="1" applyFill="1" applyBorder="1" applyAlignment="1" applyProtection="1">
      <alignment horizontal="left"/>
      <protection locked="0"/>
    </xf>
    <xf numFmtId="173" fontId="19" fillId="4" borderId="51" xfId="0" applyNumberFormat="1" applyFont="1" applyFill="1" applyBorder="1" applyAlignment="1" applyProtection="1">
      <alignment horizontal="left"/>
      <protection locked="0"/>
    </xf>
    <xf numFmtId="1" fontId="19" fillId="4" borderId="52" xfId="0" applyNumberFormat="1" applyFont="1" applyFill="1" applyBorder="1" applyAlignment="1" applyProtection="1">
      <alignment horizontal="left"/>
      <protection locked="0"/>
    </xf>
    <xf numFmtId="173" fontId="19" fillId="4" borderId="52" xfId="0" applyNumberFormat="1" applyFont="1" applyFill="1" applyBorder="1" applyAlignment="1" applyProtection="1">
      <alignment horizontal="left"/>
      <protection locked="0"/>
    </xf>
    <xf numFmtId="0" fontId="7" fillId="0" borderId="0" xfId="0" applyFont="1" applyFill="1" applyAlignment="1" applyProtection="1">
      <alignment horizontal="left"/>
    </xf>
    <xf numFmtId="173" fontId="7" fillId="0" borderId="0" xfId="0" applyNumberFormat="1" applyFont="1" applyProtection="1"/>
    <xf numFmtId="37" fontId="7" fillId="0" borderId="0" xfId="0" applyNumberFormat="1" applyFont="1" applyProtection="1"/>
    <xf numFmtId="173" fontId="8" fillId="0" borderId="0" xfId="0" applyNumberFormat="1" applyFont="1" applyFill="1" applyBorder="1" applyAlignment="1" applyProtection="1">
      <alignment horizontal="left"/>
    </xf>
    <xf numFmtId="171" fontId="19" fillId="4" borderId="30" xfId="0" applyNumberFormat="1" applyFont="1" applyFill="1" applyBorder="1" applyProtection="1">
      <protection locked="0"/>
    </xf>
    <xf numFmtId="171" fontId="19" fillId="4" borderId="22" xfId="0" applyNumberFormat="1" applyFont="1" applyFill="1" applyBorder="1" applyProtection="1">
      <protection locked="0"/>
    </xf>
    <xf numFmtId="0" fontId="4" fillId="0" borderId="0" xfId="10"/>
    <xf numFmtId="15" fontId="4" fillId="0" borderId="0" xfId="10" applyNumberFormat="1"/>
    <xf numFmtId="8" fontId="4" fillId="0" borderId="0" xfId="10" applyNumberFormat="1"/>
    <xf numFmtId="10" fontId="4" fillId="0" borderId="0" xfId="11" applyNumberFormat="1" applyFont="1"/>
    <xf numFmtId="10" fontId="4" fillId="0" borderId="0" xfId="10" applyNumberFormat="1"/>
    <xf numFmtId="179" fontId="4" fillId="0" borderId="0" xfId="10" applyNumberFormat="1"/>
    <xf numFmtId="179" fontId="4" fillId="0" borderId="0" xfId="10" applyNumberFormat="1" applyFill="1"/>
    <xf numFmtId="180" fontId="5" fillId="0" borderId="0" xfId="0" quotePrefix="1" applyNumberFormat="1" applyFont="1" applyProtection="1"/>
    <xf numFmtId="7" fontId="5" fillId="0" borderId="26" xfId="0" applyNumberFormat="1" applyFont="1" applyFill="1" applyBorder="1" applyAlignment="1"/>
    <xf numFmtId="176" fontId="5" fillId="0" borderId="31" xfId="0" applyNumberFormat="1" applyFont="1" applyFill="1" applyBorder="1" applyAlignment="1"/>
    <xf numFmtId="178" fontId="5" fillId="0" borderId="24" xfId="0" applyNumberFormat="1" applyFont="1" applyFill="1" applyBorder="1" applyAlignment="1"/>
    <xf numFmtId="7" fontId="5" fillId="0" borderId="24" xfId="0" applyNumberFormat="1" applyFont="1" applyFill="1" applyBorder="1" applyAlignment="1"/>
    <xf numFmtId="180" fontId="5" fillId="0" borderId="0" xfId="0" quotePrefix="1" applyNumberFormat="1" applyFont="1" applyAlignment="1" applyProtection="1">
      <alignment horizontal="left"/>
    </xf>
    <xf numFmtId="39" fontId="5" fillId="0" borderId="0" xfId="0" applyNumberFormat="1" applyFont="1" applyAlignment="1"/>
    <xf numFmtId="0" fontId="22" fillId="0" borderId="0" xfId="0" applyFont="1" applyProtection="1"/>
    <xf numFmtId="0" fontId="24" fillId="0" borderId="0" xfId="10" applyFont="1"/>
    <xf numFmtId="15" fontId="4" fillId="0" borderId="0" xfId="10" applyNumberFormat="1" applyFill="1"/>
    <xf numFmtId="0" fontId="0" fillId="4" borderId="0" xfId="0" applyFill="1" applyProtection="1"/>
    <xf numFmtId="174" fontId="5" fillId="0" borderId="0" xfId="0" applyNumberFormat="1" applyFont="1" applyAlignment="1">
      <alignment vertical="top"/>
    </xf>
    <xf numFmtId="0" fontId="5" fillId="4" borderId="0" xfId="0" applyFont="1" applyFill="1" applyProtection="1"/>
    <xf numFmtId="15" fontId="3" fillId="0" borderId="0" xfId="10" applyNumberFormat="1" applyFont="1" applyFill="1" applyAlignment="1">
      <alignment horizontal="right"/>
    </xf>
    <xf numFmtId="8" fontId="2" fillId="0" borderId="0" xfId="10" applyNumberFormat="1" applyFont="1"/>
    <xf numFmtId="10" fontId="2" fillId="0" borderId="0" xfId="9" applyNumberFormat="1" applyFont="1" applyFill="1"/>
    <xf numFmtId="179" fontId="2" fillId="0" borderId="0" xfId="10" applyNumberFormat="1" applyFont="1"/>
    <xf numFmtId="39" fontId="7" fillId="5" borderId="35" xfId="0" applyNumberFormat="1" applyFont="1" applyFill="1" applyBorder="1" applyAlignment="1">
      <alignment horizontal="center"/>
    </xf>
    <xf numFmtId="8" fontId="0" fillId="0" borderId="0" xfId="0" applyNumberFormat="1"/>
    <xf numFmtId="164" fontId="7" fillId="4" borderId="0" xfId="0" applyNumberFormat="1" applyFont="1" applyFill="1"/>
    <xf numFmtId="0" fontId="7" fillId="6" borderId="27" xfId="0" applyFont="1" applyFill="1" applyBorder="1"/>
    <xf numFmtId="164" fontId="7" fillId="4" borderId="0" xfId="0" applyNumberFormat="1" applyFont="1" applyFill="1" applyAlignment="1">
      <alignment horizontal="center"/>
    </xf>
    <xf numFmtId="0" fontId="0" fillId="0" borderId="27" xfId="0" applyBorder="1"/>
    <xf numFmtId="7" fontId="5" fillId="0" borderId="27" xfId="0" applyNumberFormat="1" applyFont="1" applyBorder="1"/>
    <xf numFmtId="7" fontId="0" fillId="0" borderId="27" xfId="0" applyNumberFormat="1" applyBorder="1"/>
    <xf numFmtId="39" fontId="7" fillId="0" borderId="39" xfId="0" applyNumberFormat="1" applyFont="1" applyBorder="1"/>
    <xf numFmtId="39" fontId="7" fillId="0" borderId="40" xfId="0" applyNumberFormat="1" applyFont="1" applyBorder="1"/>
    <xf numFmtId="7" fontId="5" fillId="0" borderId="26" xfId="0" applyNumberFormat="1" applyFont="1" applyBorder="1"/>
    <xf numFmtId="164" fontId="0" fillId="4" borderId="0" xfId="0" applyNumberFormat="1" applyFill="1" applyAlignment="1">
      <alignment horizontal="center"/>
    </xf>
    <xf numFmtId="0" fontId="0" fillId="0" borderId="0" xfId="0" applyAlignment="1">
      <alignment horizontal="center"/>
    </xf>
    <xf numFmtId="0" fontId="0" fillId="4" borderId="0" xfId="0" applyFill="1" applyAlignment="1">
      <alignment horizontal="center"/>
    </xf>
    <xf numFmtId="181" fontId="0" fillId="0" borderId="0" xfId="0" applyNumberFormat="1" applyAlignment="1">
      <alignment horizontal="center"/>
    </xf>
    <xf numFmtId="182" fontId="26" fillId="7" borderId="0" xfId="0" applyNumberFormat="1" applyFont="1" applyFill="1" applyAlignment="1">
      <alignment horizontal="center"/>
    </xf>
    <xf numFmtId="5" fontId="26" fillId="7" borderId="0" xfId="0" applyNumberFormat="1" applyFont="1" applyFill="1" applyAlignment="1">
      <alignment horizontal="center"/>
    </xf>
    <xf numFmtId="0" fontId="22" fillId="0" borderId="0" xfId="0" applyFont="1" applyAlignment="1">
      <alignment horizontal="center"/>
    </xf>
    <xf numFmtId="0" fontId="7" fillId="6" borderId="27" xfId="0" applyFont="1" applyFill="1" applyBorder="1" applyAlignment="1">
      <alignment horizontal="center" wrapText="1"/>
    </xf>
    <xf numFmtId="0" fontId="22" fillId="0" borderId="0" xfId="0" applyFont="1"/>
    <xf numFmtId="14" fontId="0" fillId="0" borderId="0" xfId="0" applyNumberFormat="1" applyAlignment="1">
      <alignment horizontal="center"/>
    </xf>
    <xf numFmtId="0" fontId="7" fillId="4" borderId="0" xfId="0" applyFont="1" applyFill="1" applyAlignment="1">
      <alignment horizontal="center"/>
    </xf>
    <xf numFmtId="183" fontId="7" fillId="4" borderId="0" xfId="0" applyNumberFormat="1" applyFont="1" applyFill="1" applyAlignment="1">
      <alignment horizontal="center"/>
    </xf>
    <xf numFmtId="0" fontId="7" fillId="3" borderId="0" xfId="0" applyFont="1" applyFill="1" applyAlignment="1" applyProtection="1">
      <alignment horizontal="center"/>
      <protection locked="0"/>
    </xf>
    <xf numFmtId="10" fontId="16" fillId="3" borderId="0" xfId="0" applyNumberFormat="1" applyFont="1" applyFill="1" applyAlignment="1" applyProtection="1">
      <protection locked="0"/>
    </xf>
    <xf numFmtId="7" fontId="5" fillId="0" borderId="0" xfId="0" applyNumberFormat="1" applyFont="1"/>
    <xf numFmtId="15" fontId="1" fillId="0" borderId="0" xfId="10" applyNumberFormat="1" applyFont="1" applyFill="1" applyAlignment="1">
      <alignment horizontal="right"/>
    </xf>
    <xf numFmtId="39" fontId="5" fillId="0" borderId="0" xfId="0" applyNumberFormat="1" applyFont="1" applyAlignment="1"/>
    <xf numFmtId="0" fontId="7" fillId="2" borderId="35" xfId="0" applyFont="1" applyFill="1" applyBorder="1" applyAlignment="1" applyProtection="1">
      <alignment horizontal="left"/>
    </xf>
    <xf numFmtId="0" fontId="7" fillId="2" borderId="28" xfId="0" applyFont="1" applyFill="1" applyBorder="1" applyAlignment="1" applyProtection="1">
      <alignment horizontal="left"/>
    </xf>
    <xf numFmtId="0" fontId="7" fillId="2" borderId="24" xfId="0" applyFont="1" applyFill="1" applyBorder="1" applyAlignment="1" applyProtection="1">
      <alignment horizontal="left"/>
    </xf>
    <xf numFmtId="0" fontId="7" fillId="0" borderId="36" xfId="0" applyFont="1" applyBorder="1" applyAlignment="1" applyProtection="1">
      <alignment horizontal="center"/>
    </xf>
    <xf numFmtId="0" fontId="7" fillId="0" borderId="29" xfId="0" applyFont="1" applyBorder="1" applyAlignment="1" applyProtection="1">
      <alignment horizontal="center"/>
    </xf>
    <xf numFmtId="0" fontId="7" fillId="0" borderId="0" xfId="0" applyFont="1" applyAlignment="1" applyProtection="1">
      <alignment horizontal="center"/>
    </xf>
    <xf numFmtId="7" fontId="5" fillId="0" borderId="0" xfId="0" applyNumberFormat="1" applyFont="1" applyFill="1" applyAlignment="1" applyProtection="1">
      <alignment horizontal="right"/>
      <protection locked="0"/>
    </xf>
    <xf numFmtId="0" fontId="16" fillId="0" borderId="0" xfId="0" applyFont="1" applyFill="1" applyAlignment="1" applyProtection="1">
      <alignment horizontal="left"/>
      <protection locked="0"/>
    </xf>
    <xf numFmtId="0" fontId="7" fillId="0" borderId="35" xfId="0" applyFont="1" applyBorder="1" applyAlignment="1" applyProtection="1">
      <alignment horizontal="center"/>
    </xf>
    <xf numFmtId="0" fontId="7" fillId="0" borderId="28" xfId="0" applyFont="1" applyBorder="1" applyAlignment="1" applyProtection="1">
      <alignment horizontal="center"/>
    </xf>
    <xf numFmtId="0" fontId="7" fillId="0" borderId="24" xfId="0" applyFont="1" applyBorder="1" applyAlignment="1" applyProtection="1">
      <alignment horizontal="center"/>
    </xf>
    <xf numFmtId="0" fontId="7" fillId="2" borderId="35" xfId="0" applyFont="1" applyFill="1" applyBorder="1" applyAlignment="1" applyProtection="1">
      <alignment horizontal="center"/>
    </xf>
    <xf numFmtId="0" fontId="7" fillId="2" borderId="28" xfId="0" applyFont="1" applyFill="1" applyBorder="1" applyAlignment="1" applyProtection="1">
      <alignment horizontal="center"/>
    </xf>
    <xf numFmtId="0" fontId="7" fillId="2" borderId="24" xfId="0" applyFont="1" applyFill="1" applyBorder="1" applyAlignment="1" applyProtection="1">
      <alignment horizontal="center"/>
    </xf>
    <xf numFmtId="0" fontId="22" fillId="0" borderId="0" xfId="0" applyFont="1" applyAlignment="1" applyProtection="1">
      <alignment horizontal="center"/>
    </xf>
    <xf numFmtId="0" fontId="17" fillId="3" borderId="0" xfId="0" applyFont="1" applyFill="1" applyAlignment="1" applyProtection="1">
      <alignment horizontal="left"/>
      <protection locked="0"/>
    </xf>
    <xf numFmtId="0" fontId="16" fillId="3" borderId="0" xfId="0" applyFont="1" applyFill="1" applyAlignment="1" applyProtection="1">
      <alignment horizontal="left"/>
      <protection locked="0"/>
    </xf>
    <xf numFmtId="0" fontId="16" fillId="3" borderId="0" xfId="0" applyFont="1" applyFill="1" applyAlignment="1" applyProtection="1">
      <alignment horizontal="right"/>
      <protection locked="0"/>
    </xf>
    <xf numFmtId="170" fontId="16" fillId="3" borderId="0" xfId="0" applyNumberFormat="1" applyFont="1" applyFill="1" applyAlignment="1" applyProtection="1">
      <alignment horizontal="left"/>
      <protection locked="0"/>
    </xf>
    <xf numFmtId="170" fontId="16" fillId="4" borderId="0" xfId="0" applyNumberFormat="1" applyFont="1" applyFill="1" applyAlignment="1" applyProtection="1">
      <alignment horizontal="right"/>
      <protection locked="0"/>
    </xf>
    <xf numFmtId="0" fontId="16" fillId="3" borderId="0" xfId="0" quotePrefix="1" applyFont="1" applyFill="1" applyAlignment="1" applyProtection="1">
      <alignment horizontal="left"/>
      <protection locked="0"/>
    </xf>
    <xf numFmtId="170" fontId="16" fillId="0" borderId="0" xfId="0" applyNumberFormat="1" applyFont="1" applyFill="1" applyAlignment="1" applyProtection="1">
      <alignment horizontal="right"/>
    </xf>
    <xf numFmtId="10" fontId="16" fillId="3" borderId="0" xfId="0" applyNumberFormat="1" applyFont="1" applyFill="1" applyAlignment="1" applyProtection="1">
      <alignment horizontal="center"/>
      <protection locked="0"/>
    </xf>
    <xf numFmtId="0" fontId="7" fillId="0" borderId="0" xfId="0" applyFont="1" applyFill="1" applyAlignment="1" applyProtection="1">
      <alignment horizontal="left"/>
    </xf>
    <xf numFmtId="0" fontId="7" fillId="0" borderId="35" xfId="0" applyFont="1" applyFill="1" applyBorder="1" applyAlignment="1" applyProtection="1">
      <alignment horizontal="left"/>
    </xf>
    <xf numFmtId="0" fontId="7" fillId="0" borderId="28" xfId="0" applyFont="1" applyFill="1" applyBorder="1" applyAlignment="1" applyProtection="1">
      <alignment horizontal="left"/>
    </xf>
    <xf numFmtId="0" fontId="7" fillId="0" borderId="24" xfId="0" applyFont="1" applyFill="1" applyBorder="1" applyAlignment="1" applyProtection="1">
      <alignment horizontal="left"/>
    </xf>
    <xf numFmtId="0" fontId="5" fillId="0" borderId="0" xfId="0" applyFont="1" applyFill="1" applyAlignment="1" applyProtection="1">
      <alignment horizontal="left"/>
    </xf>
    <xf numFmtId="170" fontId="5" fillId="0" borderId="0" xfId="0" applyNumberFormat="1" applyFont="1" applyFill="1" applyAlignment="1" applyProtection="1">
      <alignment horizontal="left"/>
    </xf>
    <xf numFmtId="0" fontId="7" fillId="0" borderId="35" xfId="0" applyFont="1" applyFill="1" applyBorder="1" applyAlignment="1" applyProtection="1">
      <alignment horizontal="center"/>
    </xf>
    <xf numFmtId="0" fontId="7" fillId="0" borderId="28" xfId="0" applyFont="1" applyFill="1" applyBorder="1" applyAlignment="1" applyProtection="1">
      <alignment horizontal="center"/>
    </xf>
    <xf numFmtId="0" fontId="7" fillId="0" borderId="24" xfId="0" applyFont="1" applyFill="1" applyBorder="1" applyAlignment="1" applyProtection="1">
      <alignment horizontal="center"/>
    </xf>
    <xf numFmtId="39" fontId="7" fillId="0" borderId="35" xfId="0" applyNumberFormat="1" applyFont="1" applyFill="1" applyBorder="1" applyAlignment="1">
      <alignment horizontal="center"/>
    </xf>
    <xf numFmtId="39" fontId="7" fillId="0" borderId="28" xfId="0" applyNumberFormat="1" applyFont="1" applyFill="1" applyBorder="1" applyAlignment="1">
      <alignment horizontal="center"/>
    </xf>
    <xf numFmtId="39" fontId="7" fillId="0" borderId="24" xfId="0" applyNumberFormat="1" applyFont="1" applyFill="1" applyBorder="1" applyAlignment="1">
      <alignment horizontal="center"/>
    </xf>
    <xf numFmtId="175" fontId="7" fillId="0" borderId="28" xfId="0" applyNumberFormat="1" applyFont="1" applyBorder="1" applyAlignment="1"/>
    <xf numFmtId="175" fontId="7" fillId="0" borderId="24" xfId="0" applyNumberFormat="1" applyFont="1" applyBorder="1" applyAlignment="1"/>
    <xf numFmtId="175" fontId="7" fillId="0" borderId="27" xfId="0" applyNumberFormat="1" applyFont="1" applyBorder="1" applyAlignment="1"/>
    <xf numFmtId="7" fontId="5" fillId="0" borderId="39" xfId="0" applyNumberFormat="1" applyFont="1" applyFill="1" applyBorder="1" applyAlignment="1"/>
    <xf numFmtId="7" fontId="5" fillId="0" borderId="0" xfId="0" applyNumberFormat="1" applyFont="1" applyFill="1" applyBorder="1" applyAlignment="1"/>
    <xf numFmtId="7" fontId="5" fillId="0" borderId="37" xfId="0" applyNumberFormat="1" applyFont="1" applyFill="1" applyBorder="1" applyAlignment="1"/>
    <xf numFmtId="7" fontId="5" fillId="0" borderId="42" xfId="0" applyNumberFormat="1" applyFont="1" applyFill="1" applyBorder="1" applyAlignment="1"/>
    <xf numFmtId="174" fontId="7" fillId="5" borderId="35" xfId="0" applyNumberFormat="1" applyFont="1" applyFill="1" applyBorder="1" applyAlignment="1">
      <alignment horizontal="center"/>
    </xf>
    <xf numFmtId="174" fontId="7" fillId="5" borderId="28" xfId="0" applyNumberFormat="1" applyFont="1" applyFill="1" applyBorder="1" applyAlignment="1">
      <alignment horizontal="center"/>
    </xf>
    <xf numFmtId="174" fontId="7" fillId="5" borderId="24" xfId="0" applyNumberFormat="1" applyFont="1" applyFill="1" applyBorder="1" applyAlignment="1">
      <alignment horizontal="center"/>
    </xf>
    <xf numFmtId="0" fontId="7" fillId="5" borderId="35" xfId="0" applyFont="1" applyFill="1" applyBorder="1" applyAlignment="1">
      <alignment horizontal="center"/>
    </xf>
    <xf numFmtId="0" fontId="7" fillId="5" borderId="28" xfId="0" applyFont="1" applyFill="1" applyBorder="1" applyAlignment="1">
      <alignment horizontal="center"/>
    </xf>
    <xf numFmtId="0" fontId="7" fillId="5" borderId="24" xfId="0" applyFont="1" applyFill="1" applyBorder="1" applyAlignment="1">
      <alignment horizontal="center"/>
    </xf>
    <xf numFmtId="39" fontId="7" fillId="5" borderId="27" xfId="0" applyNumberFormat="1" applyFont="1" applyFill="1" applyBorder="1" applyAlignment="1">
      <alignment horizontal="center"/>
    </xf>
    <xf numFmtId="174" fontId="22" fillId="0" borderId="0" xfId="0" applyNumberFormat="1" applyFont="1" applyAlignment="1">
      <alignment horizontal="center"/>
    </xf>
    <xf numFmtId="39" fontId="7" fillId="0" borderId="0" xfId="0" applyNumberFormat="1" applyFont="1" applyAlignment="1">
      <alignment horizontal="left"/>
    </xf>
    <xf numFmtId="0" fontId="5" fillId="0" borderId="0" xfId="0" applyNumberFormat="1" applyFont="1" applyAlignment="1">
      <alignment horizontal="left"/>
    </xf>
    <xf numFmtId="39" fontId="5" fillId="0" borderId="0" xfId="0" applyNumberFormat="1" applyFont="1" applyAlignment="1">
      <alignment horizontal="left"/>
    </xf>
    <xf numFmtId="170" fontId="5" fillId="0" borderId="0" xfId="0" applyNumberFormat="1" applyFont="1" applyAlignment="1">
      <alignment horizontal="left"/>
    </xf>
    <xf numFmtId="5" fontId="5" fillId="0" borderId="0" xfId="0" applyNumberFormat="1" applyFont="1" applyAlignment="1"/>
    <xf numFmtId="5" fontId="7" fillId="0" borderId="25" xfId="0" applyNumberFormat="1" applyFont="1" applyBorder="1" applyAlignment="1"/>
    <xf numFmtId="174" fontId="23" fillId="0" borderId="0" xfId="0" applyNumberFormat="1" applyFont="1" applyAlignment="1">
      <alignment horizontal="center"/>
    </xf>
    <xf numFmtId="39" fontId="21" fillId="0" borderId="0" xfId="0" applyNumberFormat="1" applyFont="1" applyAlignment="1">
      <alignment horizontal="left"/>
    </xf>
    <xf numFmtId="7" fontId="5" fillId="0" borderId="31" xfId="0" applyNumberFormat="1" applyFont="1" applyFill="1" applyBorder="1" applyAlignment="1"/>
    <xf numFmtId="0" fontId="22" fillId="0" borderId="0" xfId="0" applyFont="1" applyAlignment="1">
      <alignment horizontal="center"/>
    </xf>
    <xf numFmtId="39" fontId="7" fillId="5" borderId="35" xfId="0" applyNumberFormat="1" applyFont="1" applyFill="1" applyBorder="1" applyAlignment="1">
      <alignment horizontal="center"/>
    </xf>
    <xf numFmtId="39" fontId="7" fillId="5" borderId="24" xfId="0" applyNumberFormat="1" applyFont="1" applyFill="1" applyBorder="1" applyAlignment="1">
      <alignment horizontal="center"/>
    </xf>
    <xf numFmtId="7" fontId="5" fillId="0" borderId="40" xfId="0" applyNumberFormat="1" applyFont="1" applyFill="1" applyBorder="1" applyAlignment="1"/>
    <xf numFmtId="39" fontId="5" fillId="0" borderId="0" xfId="0" applyNumberFormat="1" applyFont="1" applyAlignment="1"/>
    <xf numFmtId="5" fontId="7" fillId="0" borderId="28" xfId="0" applyNumberFormat="1" applyFont="1" applyBorder="1" applyAlignment="1"/>
    <xf numFmtId="5" fontId="7" fillId="0" borderId="24" xfId="0" applyNumberFormat="1" applyFont="1" applyBorder="1" applyAlignment="1"/>
    <xf numFmtId="39" fontId="7" fillId="5" borderId="28" xfId="0" applyNumberFormat="1" applyFont="1" applyFill="1" applyBorder="1" applyAlignment="1">
      <alignment horizontal="center"/>
    </xf>
    <xf numFmtId="0" fontId="27" fillId="0" borderId="0" xfId="0" applyFont="1" applyAlignment="1">
      <alignment horizontal="left" vertical="center" readingOrder="1"/>
    </xf>
  </cellXfs>
  <cellStyles count="13">
    <cellStyle name="Between Paragraphs" xfId="1" xr:uid="{00000000-0005-0000-0000-000000000000}"/>
    <cellStyle name="Currency 2" xfId="8" xr:uid="{00000000-0005-0000-0000-000001000000}"/>
    <cellStyle name="Fact Sheet Body Text" xfId="2" xr:uid="{00000000-0005-0000-0000-000002000000}"/>
    <cellStyle name="Fact Sheet Body Text 2" xfId="12" xr:uid="{FFD6B4CF-7F7D-47BE-A900-56234A6511F7}"/>
    <cellStyle name="Fact Sheet Heading 1" xfId="3" xr:uid="{00000000-0005-0000-0000-000003000000}"/>
    <cellStyle name="Fact Sheet Heading 2" xfId="4" xr:uid="{00000000-0005-0000-0000-000004000000}"/>
    <cellStyle name="Fact Sheet Heading 3" xfId="5" xr:uid="{00000000-0005-0000-0000-000005000000}"/>
    <cellStyle name="Normal" xfId="0" builtinId="0"/>
    <cellStyle name="Normal 2" xfId="6" xr:uid="{00000000-0005-0000-0000-000007000000}"/>
    <cellStyle name="Normal 3" xfId="10" xr:uid="{00000000-0005-0000-0000-000008000000}"/>
    <cellStyle name="Percent" xfId="7" builtinId="5"/>
    <cellStyle name="Percent 2" xfId="9" xr:uid="{00000000-0005-0000-0000-00000A000000}"/>
    <cellStyle name="Percent 3" xfId="11" xr:uid="{00000000-0005-0000-0000-00000B000000}"/>
  </cellStyles>
  <dxfs count="31">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ill>
        <patternFill patternType="lightUp">
          <bgColor indexed="65"/>
        </patternFill>
      </fill>
    </dxf>
    <dxf>
      <fill>
        <patternFill patternType="lightUp">
          <bgColor indexed="65"/>
        </patternFill>
      </fill>
    </dxf>
    <dxf>
      <fill>
        <patternFill patternType="lightUp"/>
      </fill>
    </dxf>
    <dxf>
      <fill>
        <patternFill patternType="lightUp">
          <bgColor indexed="65"/>
        </patternFill>
      </fill>
    </dxf>
    <dxf>
      <fill>
        <patternFill patternType="lightUp"/>
      </fill>
    </dxf>
    <dxf>
      <fill>
        <patternFill patternType="lightUp">
          <bgColor indexed="65"/>
        </patternFill>
      </fill>
    </dxf>
    <dxf>
      <fill>
        <patternFill patternType="lightUp"/>
      </fill>
    </dxf>
    <dxf>
      <fill>
        <patternFill patternType="lightUp">
          <bgColor indexed="65"/>
        </patternFill>
      </fill>
    </dxf>
    <dxf>
      <fill>
        <patternFill patternType="lightUp"/>
      </fill>
    </dxf>
    <dxf>
      <font>
        <b/>
        <i val="0"/>
        <condense val="0"/>
        <extend val="0"/>
        <color indexed="9"/>
      </font>
      <fill>
        <patternFill>
          <bgColor indexed="10"/>
        </patternFill>
      </fill>
    </dxf>
    <dxf>
      <font>
        <b/>
        <i val="0"/>
        <color theme="0"/>
      </font>
      <fill>
        <patternFill>
          <bgColor rgb="FFFF0000"/>
        </patternFill>
      </fill>
    </dxf>
    <dxf>
      <font>
        <b/>
        <i val="0"/>
        <color theme="0"/>
      </font>
      <fill>
        <patternFill>
          <bgColor rgb="FFFF000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ill>
        <patternFill patternType="lightUp">
          <bgColor indexed="65"/>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patternType="lightUp">
          <bgColor indexed="65"/>
        </patternFill>
      </fill>
    </dxf>
    <dxf>
      <fill>
        <patternFill patternType="lightUp"/>
      </fill>
    </dxf>
    <dxf>
      <fill>
        <patternFill patternType="lightUp">
          <bgColor indexed="65"/>
        </patternFill>
      </fill>
    </dxf>
    <dxf>
      <fill>
        <patternFill patternType="lightUp"/>
      </fill>
    </dxf>
    <dxf>
      <fill>
        <patternFill patternType="lightUp">
          <bgColor indexed="65"/>
        </patternFill>
      </fill>
    </dxf>
    <dxf>
      <fill>
        <patternFill patternType="lightUp"/>
      </fill>
    </dxf>
    <dxf>
      <fill>
        <patternFill patternType="lightUp">
          <bgColor indexed="65"/>
        </patternFill>
      </fill>
    </dxf>
    <dxf>
      <fill>
        <patternFill patternType="lightUp"/>
      </fill>
    </dxf>
  </dxfs>
  <tableStyles count="0" defaultTableStyle="TableStyleMedium2" defaultPivotStyle="PivotStyleLight16"/>
  <colors>
    <mruColors>
      <color rgb="FFFFFF99"/>
      <color rgb="FF969696"/>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584835</xdr:colOff>
      <xdr:row>6</xdr:row>
      <xdr:rowOff>95250</xdr:rowOff>
    </xdr:to>
    <xdr:pic>
      <xdr:nvPicPr>
        <xdr:cNvPr id="5" name="Picture 4" descr="Description: AESO Banner 2">
          <a:extLst>
            <a:ext uri="{FF2B5EF4-FFF2-40B4-BE49-F238E27FC236}">
              <a16:creationId xmlns:a16="http://schemas.microsoft.com/office/drawing/2014/main" id="{067A6134-05B2-ADD9-CA0F-39AF9A461C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680960" cy="10668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476249</xdr:colOff>
      <xdr:row>0</xdr:row>
      <xdr:rowOff>9525</xdr:rowOff>
    </xdr:from>
    <xdr:to>
      <xdr:col>11</xdr:col>
      <xdr:colOff>608647</xdr:colOff>
      <xdr:row>6</xdr:row>
      <xdr:rowOff>104775</xdr:rowOff>
    </xdr:to>
    <xdr:pic>
      <xdr:nvPicPr>
        <xdr:cNvPr id="2" name="Picture 1" descr="Description: AESO Banner 2">
          <a:extLst>
            <a:ext uri="{FF2B5EF4-FFF2-40B4-BE49-F238E27FC236}">
              <a16:creationId xmlns:a16="http://schemas.microsoft.com/office/drawing/2014/main" id="{6EB268D5-1EB2-40A8-8AA8-DADC2CFC44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4587" y="9525"/>
          <a:ext cx="7680960" cy="10668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80962</xdr:colOff>
      <xdr:row>6</xdr:row>
      <xdr:rowOff>95250</xdr:rowOff>
    </xdr:to>
    <xdr:pic>
      <xdr:nvPicPr>
        <xdr:cNvPr id="4" name="Picture 3" descr="Description: AESO Banner 2">
          <a:extLst>
            <a:ext uri="{FF2B5EF4-FFF2-40B4-BE49-F238E27FC236}">
              <a16:creationId xmlns:a16="http://schemas.microsoft.com/office/drawing/2014/main" id="{51D829A5-3C6F-966A-4289-97CCC1195D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24725" cy="10668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375285</xdr:colOff>
      <xdr:row>6</xdr:row>
      <xdr:rowOff>95250</xdr:rowOff>
    </xdr:to>
    <xdr:pic>
      <xdr:nvPicPr>
        <xdr:cNvPr id="4" name="Picture 3" descr="Description: AESO Banner 2">
          <a:extLst>
            <a:ext uri="{FF2B5EF4-FFF2-40B4-BE49-F238E27FC236}">
              <a16:creationId xmlns:a16="http://schemas.microsoft.com/office/drawing/2014/main" id="{C8270067-97D8-BBD5-FDFD-647107631E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680960" cy="10668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2590800</xdr:colOff>
      <xdr:row>0</xdr:row>
      <xdr:rowOff>0</xdr:rowOff>
    </xdr:from>
    <xdr:to>
      <xdr:col>11</xdr:col>
      <xdr:colOff>18097</xdr:colOff>
      <xdr:row>5</xdr:row>
      <xdr:rowOff>114300</xdr:rowOff>
    </xdr:to>
    <xdr:pic>
      <xdr:nvPicPr>
        <xdr:cNvPr id="4" name="Picture 3" descr="Description: AESO Banner 2">
          <a:extLst>
            <a:ext uri="{FF2B5EF4-FFF2-40B4-BE49-F238E27FC236}">
              <a16:creationId xmlns:a16="http://schemas.microsoft.com/office/drawing/2014/main" id="{9FEAC309-BDE5-8867-1472-44629A8694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0" y="0"/>
          <a:ext cx="7680960" cy="10668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42863</xdr:colOff>
      <xdr:row>6</xdr:row>
      <xdr:rowOff>95250</xdr:rowOff>
    </xdr:to>
    <xdr:pic>
      <xdr:nvPicPr>
        <xdr:cNvPr id="4" name="Picture 3" descr="Description: AESO Banner 2">
          <a:extLst>
            <a:ext uri="{FF2B5EF4-FFF2-40B4-BE49-F238E27FC236}">
              <a16:creationId xmlns:a16="http://schemas.microsoft.com/office/drawing/2014/main" id="{48E946D4-2E46-E286-285F-9862AE5DA1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138988" cy="10668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8:K65"/>
  <sheetViews>
    <sheetView showGridLines="0" tabSelected="1" zoomScaleNormal="100" workbookViewId="0">
      <selection activeCell="A11" sqref="A11:I11"/>
    </sheetView>
  </sheetViews>
  <sheetFormatPr defaultColWidth="11.6640625" defaultRowHeight="12.75"/>
  <cols>
    <col min="1" max="1" width="4.33203125" style="31" customWidth="1"/>
    <col min="2" max="2" width="11.6640625" style="31" customWidth="1"/>
    <col min="3" max="3" width="9.33203125" style="31" customWidth="1"/>
    <col min="4" max="8" width="11.33203125" style="31" customWidth="1"/>
    <col min="9" max="9" width="12" style="31" bestFit="1" customWidth="1"/>
    <col min="10" max="10" width="5.33203125" style="31" customWidth="1"/>
    <col min="11" max="16384" width="11.6640625" style="31"/>
  </cols>
  <sheetData>
    <row r="8" spans="1:9" ht="22.15">
      <c r="A8" s="474" t="s">
        <v>222</v>
      </c>
    </row>
    <row r="9" spans="1:9" ht="22.15">
      <c r="A9" s="474" t="s">
        <v>223</v>
      </c>
    </row>
    <row r="10" spans="1:9" ht="22.15">
      <c r="A10" s="474" t="s">
        <v>224</v>
      </c>
    </row>
    <row r="11" spans="1:9" ht="24" customHeight="1">
      <c r="A11" s="421" t="s">
        <v>189</v>
      </c>
      <c r="B11" s="421"/>
      <c r="C11" s="421"/>
      <c r="D11" s="421"/>
      <c r="E11" s="421"/>
      <c r="F11" s="421"/>
      <c r="G11" s="421"/>
      <c r="H11" s="421"/>
      <c r="I11" s="421"/>
    </row>
    <row r="12" spans="1:9" s="29" customFormat="1" ht="18.600000000000001" customHeight="1">
      <c r="A12" s="35" t="s">
        <v>201</v>
      </c>
    </row>
    <row r="13" spans="1:9" ht="13.15">
      <c r="A13" s="64" t="s">
        <v>194</v>
      </c>
      <c r="C13" s="422" t="s">
        <v>195</v>
      </c>
      <c r="D13" s="422"/>
      <c r="E13" s="422"/>
      <c r="F13" s="422"/>
      <c r="G13" s="422"/>
      <c r="H13" s="32" t="s">
        <v>0</v>
      </c>
      <c r="I13" s="374" t="s">
        <v>220</v>
      </c>
    </row>
    <row r="14" spans="1:9" ht="13.15">
      <c r="A14" s="64" t="s">
        <v>179</v>
      </c>
      <c r="C14" s="422" t="s">
        <v>143</v>
      </c>
      <c r="D14" s="422"/>
      <c r="E14" s="422"/>
      <c r="F14" s="422"/>
      <c r="G14" s="422"/>
      <c r="H14" s="32" t="s">
        <v>1</v>
      </c>
      <c r="I14" s="367">
        <f>HLOOKUP($I$13,Lookup!$C$1:$Z$3,2,0)</f>
        <v>45658</v>
      </c>
    </row>
    <row r="15" spans="1:9">
      <c r="A15" s="64" t="s">
        <v>178</v>
      </c>
      <c r="C15" s="423" t="s">
        <v>144</v>
      </c>
      <c r="D15" s="423"/>
      <c r="E15" s="33" t="s">
        <v>2</v>
      </c>
      <c r="F15" s="423" t="s">
        <v>74</v>
      </c>
      <c r="G15" s="423"/>
      <c r="H15" s="32" t="s">
        <v>9</v>
      </c>
      <c r="I15" s="362" t="str">
        <f>HLOOKUP($I$13,Lookup!$C$1:$Z$3,3,0)</f>
        <v>Current</v>
      </c>
    </row>
    <row r="16" spans="1:9">
      <c r="A16" s="31" t="s">
        <v>16</v>
      </c>
      <c r="C16" s="423" t="s">
        <v>145</v>
      </c>
      <c r="D16" s="423"/>
      <c r="E16" s="33" t="s">
        <v>17</v>
      </c>
      <c r="F16" s="425" t="s">
        <v>146</v>
      </c>
      <c r="G16" s="425"/>
      <c r="H16" s="34" t="s">
        <v>18</v>
      </c>
      <c r="I16" s="62" t="s">
        <v>221</v>
      </c>
    </row>
    <row r="18" spans="1:11" ht="13.15">
      <c r="A18" s="35" t="s">
        <v>14</v>
      </c>
      <c r="B18" s="35"/>
      <c r="C18" s="35"/>
      <c r="D18" s="35"/>
      <c r="E18" s="35"/>
      <c r="F18" s="35"/>
      <c r="G18" s="35"/>
    </row>
    <row r="19" spans="1:11">
      <c r="A19" s="31" t="s">
        <v>20</v>
      </c>
      <c r="B19" s="31" t="s">
        <v>148</v>
      </c>
      <c r="F19" s="424" t="s">
        <v>8</v>
      </c>
      <c r="G19" s="424"/>
      <c r="J19" s="36" t="str">
        <f>IF(AND(ProjectType="STS Only",ReceivePSC="Yes"),"Error: Primary Service Credit is not applicable to an STS Only Project Type!","")</f>
        <v/>
      </c>
    </row>
    <row r="20" spans="1:11">
      <c r="A20" s="31" t="s">
        <v>21</v>
      </c>
      <c r="B20" s="64" t="s">
        <v>180</v>
      </c>
      <c r="F20" s="424" t="s">
        <v>8</v>
      </c>
      <c r="G20" s="424"/>
      <c r="J20" s="36"/>
    </row>
    <row r="22" spans="1:11" s="37" customFormat="1" ht="13.15">
      <c r="A22" s="38" t="s">
        <v>15</v>
      </c>
      <c r="B22" s="38"/>
      <c r="C22" s="38"/>
      <c r="D22" s="38"/>
      <c r="E22" s="38"/>
      <c r="F22" s="39"/>
      <c r="G22" s="38"/>
      <c r="H22" s="412" t="s">
        <v>19</v>
      </c>
      <c r="I22" s="412"/>
    </row>
    <row r="23" spans="1:11">
      <c r="A23" s="37" t="s">
        <v>22</v>
      </c>
      <c r="B23" s="63" t="s">
        <v>32</v>
      </c>
      <c r="C23" s="63"/>
      <c r="D23" s="63"/>
      <c r="E23" s="63"/>
      <c r="F23" s="424" t="s">
        <v>147</v>
      </c>
      <c r="G23" s="424"/>
      <c r="H23" s="423"/>
      <c r="I23" s="423"/>
    </row>
    <row r="24" spans="1:11">
      <c r="A24" s="37" t="s">
        <v>23</v>
      </c>
      <c r="B24" s="63" t="s">
        <v>33</v>
      </c>
      <c r="C24" s="63"/>
      <c r="D24" s="63"/>
      <c r="E24" s="63"/>
      <c r="F24" s="426"/>
      <c r="G24" s="426"/>
      <c r="H24" s="427"/>
      <c r="I24" s="423"/>
    </row>
    <row r="25" spans="1:11">
      <c r="A25" s="37" t="s">
        <v>24</v>
      </c>
      <c r="B25" s="37" t="s">
        <v>181</v>
      </c>
      <c r="C25" s="63"/>
      <c r="D25" s="63"/>
      <c r="E25" s="63"/>
      <c r="F25" s="428">
        <f>DATE(YEAR(RequestDate),MONTH(RequestDate)+1,1)</f>
        <v>32</v>
      </c>
      <c r="G25" s="428"/>
    </row>
    <row r="26" spans="1:11">
      <c r="A26" s="37" t="s">
        <v>25</v>
      </c>
      <c r="B26" s="37" t="s">
        <v>91</v>
      </c>
      <c r="C26" s="63"/>
      <c r="D26" s="63"/>
      <c r="E26" s="63"/>
      <c r="F26" s="428">
        <f>EffectiveSASDate-30</f>
        <v>44287</v>
      </c>
      <c r="G26" s="428"/>
    </row>
    <row r="27" spans="1:11">
      <c r="A27" s="37" t="s">
        <v>26</v>
      </c>
      <c r="B27" s="63" t="str">
        <f>"Effective Date of "&amp;IF(ReducedOrTerminated="Reduced","Reduction","Termination")&amp;" With PILON:"</f>
        <v>Effective Date of Reduction With PILON:</v>
      </c>
      <c r="C27" s="63"/>
      <c r="D27" s="63"/>
      <c r="E27" s="63"/>
      <c r="F27" s="426">
        <v>44317</v>
      </c>
      <c r="G27" s="426"/>
      <c r="H27" s="423"/>
      <c r="I27" s="423"/>
      <c r="J27" s="36" t="str">
        <f>IF((EffectiveWithPILON-RequestDate)&lt;120,"Error: Effective Date With PILON must be at least 120 days after Date Request Was Received","")</f>
        <v/>
      </c>
    </row>
    <row r="28" spans="1:11">
      <c r="A28" s="37" t="s">
        <v>27</v>
      </c>
      <c r="B28" s="63" t="str">
        <f>"Effective Date of "&amp;IF(ReducedOrTerminated="Reduced","Reduction","Termination")&amp;" Without PILON:"</f>
        <v>Effective Date of Reduction Without PILON:</v>
      </c>
      <c r="C28" s="63"/>
      <c r="D28" s="63"/>
      <c r="E28" s="63"/>
      <c r="F28" s="428">
        <f>DATE(YEAR(NoticeStartDate),MONTH(NoticeStartDate)+60,1)</f>
        <v>1859</v>
      </c>
      <c r="G28" s="428"/>
      <c r="J28" s="36" t="str">
        <f>IF((EffectiveWithPILON-RequestDate)&lt;120,"(90 days for processing and approval before payment plus 30 days after payment)!","")</f>
        <v/>
      </c>
    </row>
    <row r="29" spans="1:11">
      <c r="A29" s="64" t="s">
        <v>28</v>
      </c>
      <c r="B29" s="31" t="s">
        <v>34</v>
      </c>
      <c r="F29" s="429"/>
      <c r="G29" s="429"/>
      <c r="H29" s="423"/>
      <c r="I29" s="423"/>
      <c r="J29" s="36"/>
      <c r="K29" s="64"/>
    </row>
    <row r="30" spans="1:11" s="37" customFormat="1">
      <c r="A30" s="37" t="s">
        <v>29</v>
      </c>
      <c r="B30" s="127" t="s">
        <v>196</v>
      </c>
      <c r="F30" s="426">
        <v>44317</v>
      </c>
      <c r="G30" s="426"/>
      <c r="H30" s="372"/>
      <c r="I30" s="372"/>
    </row>
    <row r="31" spans="1:11" s="37" customFormat="1">
      <c r="B31" s="127"/>
    </row>
    <row r="32" spans="1:11" ht="13.15">
      <c r="A32" s="407" t="s">
        <v>197</v>
      </c>
      <c r="B32" s="408"/>
      <c r="C32" s="409"/>
      <c r="D32" s="418" t="s">
        <v>89</v>
      </c>
      <c r="E32" s="419"/>
      <c r="F32" s="419"/>
      <c r="G32" s="419"/>
      <c r="H32" s="419"/>
      <c r="I32" s="420"/>
    </row>
    <row r="33" spans="1:10" ht="13.15">
      <c r="A33" s="40"/>
      <c r="B33" s="41"/>
      <c r="C33" s="45" t="s">
        <v>37</v>
      </c>
      <c r="D33" s="415" t="s">
        <v>35</v>
      </c>
      <c r="E33" s="416"/>
      <c r="F33" s="417"/>
      <c r="G33" s="415" t="s">
        <v>36</v>
      </c>
      <c r="H33" s="416"/>
      <c r="I33" s="417"/>
    </row>
    <row r="34" spans="1:10" ht="13.15">
      <c r="A34" s="42"/>
      <c r="B34" s="43" t="s">
        <v>4</v>
      </c>
      <c r="C34" s="44" t="s">
        <v>38</v>
      </c>
      <c r="D34" s="410" t="s">
        <v>12</v>
      </c>
      <c r="E34" s="411"/>
      <c r="F34" s="45" t="s">
        <v>10</v>
      </c>
      <c r="G34" s="410" t="s">
        <v>12</v>
      </c>
      <c r="H34" s="411"/>
      <c r="I34" s="45" t="s">
        <v>10</v>
      </c>
    </row>
    <row r="35" spans="1:10" ht="13.15">
      <c r="A35" s="46" t="s">
        <v>8</v>
      </c>
      <c r="B35" s="47" t="s">
        <v>7</v>
      </c>
      <c r="C35" s="48" t="s">
        <v>88</v>
      </c>
      <c r="D35" s="49" t="str">
        <f>IF(OR(ProjectType="DTS Only",ProjectType="DTS and STS (Dual-Use)",ProjectType="DTS and STS - (DFO)"),"DTS","NA")</f>
        <v>DTS</v>
      </c>
      <c r="E35" s="50" t="str">
        <f>IF(OR(ProjectType="STS Only",ProjectType="DTS and STS (Dual-Use)",ProjectType="DTS and STS - (DFO)"),"STS","NA")</f>
        <v>NA</v>
      </c>
      <c r="F35" s="51" t="s">
        <v>11</v>
      </c>
      <c r="G35" s="49" t="str">
        <f>IF(OR(ProjectType="DTS Only",ProjectType="DTS and STS (Dual-Use)",ProjectType="DTS and STS - (DFO)"),"DTS","NA")</f>
        <v>DTS</v>
      </c>
      <c r="H35" s="50" t="str">
        <f>IF(OR(ProjectType="STS Only",ProjectType="DTS and STS (Dual-Use)",ProjectType="DTS and STS - (DFO)"),"STS","NA")</f>
        <v>NA</v>
      </c>
      <c r="I35" s="51" t="s">
        <v>11</v>
      </c>
    </row>
    <row r="36" spans="1:10">
      <c r="A36" s="52">
        <v>1</v>
      </c>
      <c r="B36" s="53">
        <f>NoticeStartDate</f>
        <v>32</v>
      </c>
      <c r="C36" s="54">
        <f>IF(ISNUMBER(B37),MIN(DAYS360(DATE(YEAR(B36),MONTH(B36),1),DATE(YEAR(B37),MONTH(B37),1))/30,(5*12)),(5*12))</f>
        <v>60</v>
      </c>
      <c r="D36" s="20"/>
      <c r="E36" s="23"/>
      <c r="F36" s="24"/>
      <c r="G36" s="20"/>
      <c r="H36" s="23"/>
      <c r="I36" s="24"/>
      <c r="J36" s="36" t="str">
        <f>IF(AND(ProjectType="DTS Only",SUM(E36:E45,H36:H45)&gt;0),"Error: Project Type is DTS Only but STS Capacity exists in input table!","")</f>
        <v/>
      </c>
    </row>
    <row r="37" spans="1:10">
      <c r="A37" s="55">
        <f t="shared" ref="A37:A45" si="0">IF(ISNUMBER(B37),A36+1,0)</f>
        <v>0</v>
      </c>
      <c r="B37" s="18"/>
      <c r="C37" s="56">
        <f>IF(ISNUMBER(B38),MIN(DAYS360(DATE(YEAR(B37),MONTH(B37),1),DATE(YEAR(B38),MONTH(B38),1))/30,(5*12)-SUM(C$36:C36)),(5*12)-SUM(C$36:C36))</f>
        <v>0</v>
      </c>
      <c r="D37" s="21"/>
      <c r="E37" s="25"/>
      <c r="F37" s="26"/>
      <c r="G37" s="21"/>
      <c r="H37" s="25"/>
      <c r="I37" s="26"/>
      <c r="J37" s="36" t="str">
        <f>IF(AND(ProjectType="STS Only",SUM(D36:D45,G36:G45)&gt;0),"Error: Project Type is STS Only but DTS Capacity exists in input table!","")</f>
        <v/>
      </c>
    </row>
    <row r="38" spans="1:10">
      <c r="A38" s="55">
        <f t="shared" si="0"/>
        <v>0</v>
      </c>
      <c r="B38" s="18"/>
      <c r="C38" s="56">
        <f>IF(ISNUMBER(B39),MIN(DAYS360(DATE(YEAR(B38),MONTH(B38),1),DATE(YEAR(B39),MONTH(B39),1))/30,(5*12)-SUM(C$36:C37)),(5*12)-SUM(C$36:C37))</f>
        <v>0</v>
      </c>
      <c r="D38" s="21"/>
      <c r="E38" s="25"/>
      <c r="F38" s="26"/>
      <c r="G38" s="21"/>
      <c r="H38" s="25"/>
      <c r="I38" s="26"/>
      <c r="J38" s="36" t="str">
        <f>IF(AND(OtherParticipant="No",SUM(F36:F45,I36:I45)&gt;0),"Error: No other participant at substation but Capacity exists for Other Participant!","")</f>
        <v/>
      </c>
    </row>
    <row r="39" spans="1:10">
      <c r="A39" s="55">
        <f t="shared" si="0"/>
        <v>0</v>
      </c>
      <c r="B39" s="18"/>
      <c r="C39" s="56">
        <f>IF(ISNUMBER(B40),MIN(DAYS360(DATE(YEAR(B39),MONTH(B39),1),DATE(YEAR(B40),MONTH(B40),1))/30,(5*12)-SUM(C$36:C38)),(5*12)-SUM(C$36:C38))</f>
        <v>0</v>
      </c>
      <c r="D39" s="21"/>
      <c r="E39" s="25"/>
      <c r="F39" s="26"/>
      <c r="G39" s="21"/>
      <c r="H39" s="25"/>
      <c r="I39" s="26"/>
      <c r="J39" s="36"/>
    </row>
    <row r="40" spans="1:10">
      <c r="A40" s="55">
        <f t="shared" si="0"/>
        <v>0</v>
      </c>
      <c r="B40" s="18"/>
      <c r="C40" s="56">
        <f>IF(ISNUMBER(B41),MIN(DAYS360(DATE(YEAR(B40),MONTH(B40),1),DATE(YEAR(B41),MONTH(B41),1))/30,(5*12)-SUM(C$36:C39)),(5*12)-SUM(C$36:C39))</f>
        <v>0</v>
      </c>
      <c r="D40" s="21"/>
      <c r="E40" s="25"/>
      <c r="F40" s="26"/>
      <c r="G40" s="21"/>
      <c r="H40" s="25"/>
      <c r="I40" s="26"/>
    </row>
    <row r="41" spans="1:10">
      <c r="A41" s="55">
        <f t="shared" si="0"/>
        <v>0</v>
      </c>
      <c r="B41" s="18"/>
      <c r="C41" s="56">
        <f>IF(ISNUMBER(B42),MIN(DAYS360(DATE(YEAR(B41),MONTH(B41),1),DATE(YEAR(B42),MONTH(B42),1))/30,(5*12)-SUM(C$36:C40)),(5*12)-SUM(C$36:C40))</f>
        <v>0</v>
      </c>
      <c r="D41" s="21"/>
      <c r="E41" s="25"/>
      <c r="F41" s="26"/>
      <c r="G41" s="21"/>
      <c r="H41" s="25"/>
      <c r="I41" s="26"/>
    </row>
    <row r="42" spans="1:10">
      <c r="A42" s="55">
        <f t="shared" si="0"/>
        <v>0</v>
      </c>
      <c r="B42" s="18"/>
      <c r="C42" s="56">
        <f>IF(ISNUMBER(B43),MIN(DAYS360(DATE(YEAR(B42),MONTH(B42),1),DATE(YEAR(B43),MONTH(B43),1))/30,(5*12)-SUM(C$36:C41)),(5*12)-SUM(C$36:C41))</f>
        <v>0</v>
      </c>
      <c r="D42" s="21"/>
      <c r="E42" s="25"/>
      <c r="F42" s="26"/>
      <c r="G42" s="21"/>
      <c r="H42" s="25"/>
      <c r="I42" s="26"/>
    </row>
    <row r="43" spans="1:10">
      <c r="A43" s="55">
        <f t="shared" si="0"/>
        <v>0</v>
      </c>
      <c r="B43" s="18"/>
      <c r="C43" s="56">
        <f>IF(ISNUMBER(B44),MIN(DAYS360(DATE(YEAR(B43),MONTH(B43),1),DATE(YEAR(B44),MONTH(B44),1))/30,(5*12)-SUM(C$36:C42)),(5*12)-SUM(C$36:C42))</f>
        <v>0</v>
      </c>
      <c r="D43" s="21"/>
      <c r="E43" s="25"/>
      <c r="F43" s="26"/>
      <c r="G43" s="21"/>
      <c r="H43" s="25"/>
      <c r="I43" s="26"/>
    </row>
    <row r="44" spans="1:10">
      <c r="A44" s="55">
        <f t="shared" si="0"/>
        <v>0</v>
      </c>
      <c r="B44" s="18"/>
      <c r="C44" s="56">
        <f>IF(ISNUMBER(B45),MIN(DAYS360(DATE(YEAR(B44),MONTH(B44),1),DATE(YEAR(B45),MONTH(B45),1))/30,(5*12)-SUM(C$36:C43)),(5*12)-SUM(C$36:C43))</f>
        <v>0</v>
      </c>
      <c r="D44" s="21"/>
      <c r="E44" s="25"/>
      <c r="F44" s="26"/>
      <c r="G44" s="21"/>
      <c r="H44" s="25"/>
      <c r="I44" s="26"/>
    </row>
    <row r="45" spans="1:10">
      <c r="A45" s="57">
        <f t="shared" si="0"/>
        <v>0</v>
      </c>
      <c r="B45" s="19"/>
      <c r="C45" s="58">
        <f>IF(ISNUMBER(B46),MIN(DAYS360(DATE(YEAR(B45),MONTH(B45),1),DATE(YEAR(B46),MONTH(B46),1))/30,(5*12)-SUM(C$36:C44)),(5*12)-SUM(C$36:C44))</f>
        <v>0</v>
      </c>
      <c r="D45" s="22"/>
      <c r="E45" s="27"/>
      <c r="F45" s="28"/>
      <c r="G45" s="22"/>
      <c r="H45" s="27"/>
      <c r="I45" s="28"/>
    </row>
    <row r="46" spans="1:10" ht="13.15">
      <c r="A46" s="59"/>
      <c r="B46" s="60" t="s">
        <v>5</v>
      </c>
      <c r="C46" s="61">
        <f>SUM(C36:C45)</f>
        <v>60</v>
      </c>
      <c r="D46" s="35"/>
      <c r="E46" s="35"/>
      <c r="F46" s="35"/>
      <c r="G46" s="35"/>
      <c r="H46" s="35"/>
    </row>
    <row r="48" spans="1:10" s="37" customFormat="1" ht="13.15">
      <c r="A48" s="38" t="s">
        <v>58</v>
      </c>
      <c r="B48" s="38"/>
      <c r="C48" s="38"/>
      <c r="D48" s="38"/>
      <c r="E48" s="38"/>
      <c r="F48" s="39"/>
      <c r="G48" s="38"/>
      <c r="H48" s="412"/>
      <c r="I48" s="412"/>
    </row>
    <row r="49" spans="1:9">
      <c r="A49" s="37" t="s">
        <v>198</v>
      </c>
      <c r="B49" s="64" t="s">
        <v>149</v>
      </c>
      <c r="C49" s="63"/>
      <c r="D49" s="63"/>
      <c r="E49" s="63"/>
      <c r="F49" s="413">
        <f>INDEX(Lookup!$C$18:$Z$18,1,MATCH($I$13,Lookup!$C$1:$Z$1,0))</f>
        <v>54.3</v>
      </c>
      <c r="G49" s="413"/>
      <c r="H49" s="414"/>
      <c r="I49" s="414"/>
    </row>
    <row r="51" spans="1:9" ht="13.15">
      <c r="A51" s="407" t="s">
        <v>199</v>
      </c>
      <c r="B51" s="408"/>
      <c r="C51" s="409"/>
      <c r="D51" s="418" t="s">
        <v>57</v>
      </c>
      <c r="E51" s="419"/>
      <c r="F51" s="419"/>
      <c r="G51" s="419"/>
      <c r="H51" s="419"/>
      <c r="I51" s="420"/>
    </row>
    <row r="52" spans="1:9" ht="13.15">
      <c r="A52" s="40"/>
      <c r="B52" s="41"/>
      <c r="C52" s="45" t="s">
        <v>37</v>
      </c>
      <c r="D52" s="415" t="s">
        <v>59</v>
      </c>
      <c r="E52" s="416"/>
      <c r="F52" s="417"/>
      <c r="G52" s="415" t="s">
        <v>60</v>
      </c>
      <c r="H52" s="416"/>
      <c r="I52" s="417"/>
    </row>
    <row r="53" spans="1:9" ht="13.15">
      <c r="A53" s="42"/>
      <c r="B53" s="43" t="s">
        <v>4</v>
      </c>
      <c r="C53" s="44" t="s">
        <v>38</v>
      </c>
      <c r="D53" s="410" t="s">
        <v>12</v>
      </c>
      <c r="E53" s="411"/>
      <c r="F53" s="45" t="s">
        <v>10</v>
      </c>
      <c r="G53" s="410" t="s">
        <v>12</v>
      </c>
      <c r="H53" s="411"/>
      <c r="I53" s="45" t="s">
        <v>10</v>
      </c>
    </row>
    <row r="54" spans="1:9" ht="13.15">
      <c r="A54" s="46" t="s">
        <v>8</v>
      </c>
      <c r="B54" s="47" t="s">
        <v>7</v>
      </c>
      <c r="C54" s="85" t="s">
        <v>88</v>
      </c>
      <c r="D54" s="49" t="str">
        <f>IF(OR(ProjectType="DTS Only",ProjectType="DTS and STS (Dual-Use)",ProjectType="DTS and STS - (DFO)"),"DTS","NA")</f>
        <v>DTS</v>
      </c>
      <c r="E54" s="50" t="str">
        <f>IF(OR(ProjectType="STS Only",ProjectType="DTS and STS (Dual-Use)",ProjectType="DTS and STS (Dual-Use)",ProjectType="DTS and STS - (DFO)"),"STS","NA")</f>
        <v>NA</v>
      </c>
      <c r="F54" s="51" t="s">
        <v>11</v>
      </c>
      <c r="G54" s="49" t="str">
        <f>IF(OR(ProjectType="DTS Only",ProjectType="DTS and STS (Dual-Use)",ProjectType="DTS and STS - (DFO)"),"DTS","NA")</f>
        <v>DTS</v>
      </c>
      <c r="H54" s="50" t="str">
        <f>IF(OR(ProjectType="STS Only",ProjectType="DTS and STS (Dual-Use)",ProjectType="DTS and STS - (DFO)"),"STS","NA")</f>
        <v>NA</v>
      </c>
      <c r="I54" s="51" t="s">
        <v>11</v>
      </c>
    </row>
    <row r="55" spans="1:9">
      <c r="A55" s="92">
        <f>IF(ISNUMBER('A1 Contract'!A36),'A1 Contract'!A36,"")</f>
        <v>1</v>
      </c>
      <c r="B55" s="93">
        <f>IF(ISNUMBER('A1 Contract'!B36),'A1 Contract'!B36,"")</f>
        <v>32</v>
      </c>
      <c r="C55" s="94">
        <f>IF(ISNUMBER('A1 Contract'!C36),'A1 Contract'!C36,"")</f>
        <v>60</v>
      </c>
      <c r="D55" s="95">
        <f>IF(ProjectType="DTS and STS - (DFO)",1,IF(SUM($D36:$F36)&gt;0,SUM(D36)/SUM($D36:$F36),IF(SUM($D37:$F37)&gt;0,SUM(D37)/SUM($D37:$F37),IF(ProjectType="DTS Only",1,IF(ProjectType="STS Only",0,0.5)))))</f>
        <v>1</v>
      </c>
      <c r="E55" s="96">
        <f>IF(ProjectType="DTS and STS - (DFO)",0,IF(SUM($D36:$F36)&gt;0,SUM(E36)/SUM($D36:$F36),IF(SUM($D37:$F37)&gt;0,SUM(E37)/SUM($D37:$F37),IF(ProjectType="DTS Only",0,IF(ProjectType="STS Only",1,0.5)))))</f>
        <v>0</v>
      </c>
      <c r="F55" s="97">
        <f>IF(SUM($D36:$F36)&gt;0,SUM(F36)/SUM($D36:$F36),IF(SUM($D37:$F37)&gt;0,SUM(F37)/SUM($D37:$F37),0))</f>
        <v>0</v>
      </c>
      <c r="G55" s="95">
        <f>IF(ProjectType="DTS and STS - (DFO)",1,IF(SUM($G36:$I36)&gt;0,SUM(G36)/SUM($G36:$I36),IF(SUM($G37:$I37)&gt;0,SUM(G37)/SUM($G37:$I37),IF(ProjectType="DTS Only",1,IF(ProjectType="STS Only",0,0.5)))))</f>
        <v>1</v>
      </c>
      <c r="H55" s="96">
        <f>IF(ProjectType="DTS and STS - (DFO)",0,IF(SUM($G36:$I36)&gt;0,SUM(H36)/SUM($G36:$I36),IF(SUM($G37:$I37)&gt;0,SUM(H37)/SUM($G37:$I37),IF(ProjectType="DTS Only",0,IF(ProjectType="STS Only",1,0.5)))))</f>
        <v>0</v>
      </c>
      <c r="I55" s="97">
        <f>IF(SUM($G36:$I36)&gt;0,SUM(I36)/SUM($G36:$I36),IF(SUM($G37:$I37)&gt;0,SUM(I37)/SUM($G37:$I37),0))</f>
        <v>0</v>
      </c>
    </row>
    <row r="56" spans="1:9">
      <c r="A56" s="98">
        <f>IF(ISNUMBER('A1 Contract'!A37),'A1 Contract'!A37,"")</f>
        <v>0</v>
      </c>
      <c r="B56" s="99" t="str">
        <f>IF(ISNUMBER('A1 Contract'!B37),'A1 Contract'!B37,"")</f>
        <v/>
      </c>
      <c r="C56" s="100">
        <f>IF(ISNUMBER('A1 Contract'!C37),'A1 Contract'!C37,"")</f>
        <v>0</v>
      </c>
      <c r="D56" s="101" t="str">
        <f t="shared" ref="D56:D63" si="1">IF(AND(ISNUMBER($B56),ProjectType="DTS and STS - (DFO)"),1,IF(ISNUMBER($B56),IF(SUM($D37:$F37)&gt;0,SUM(D37)/SUM($D37:$F37),IF(SUM($D38:$F38)&gt;0,SUM(D38)/SUM($D38:$F38),IF(SUM($D36:$F36)&gt;0,SUM(D36)/SUM($D36:$F36),IF(ProjectType="DTS Only",1,IF(ProjectType="STS Only",0,0.5))))),""))</f>
        <v/>
      </c>
      <c r="E56" s="102" t="str">
        <f t="shared" ref="E56:E63" si="2">IF(AND(ISNUMBER($B56),ProjectType="DTS and STS - (DFO)"),0,IF(ISNUMBER($B56),IF(SUM($D37:$F37)&gt;0,SUM(E37)/SUM($D37:$F37),IF(SUM($D38:$F38)&gt;0,SUM(E38)/SUM($D38:$F38),IF(SUM($D36:$F36)&gt;0,SUM(E36)/SUM($D36:$F36),IF(ProjectType="DTS Only",0,IF(ProjectType="STS Only",1,0.5))))),""))</f>
        <v/>
      </c>
      <c r="F56" s="103" t="str">
        <f t="shared" ref="F56:F63" si="3">IF(ISNUMBER($B56),IF(SUM($D37:$F37)&gt;0,SUM(F37)/SUM($D37:$F37),IF(SUM($D38:$F38)&gt;0,SUM(F38)/SUM($D38:$F38),IF(SUM($D36:$F36)&gt;0,SUM(F36)/SUM($D36:$F36),0))),"")</f>
        <v/>
      </c>
      <c r="G56" s="101" t="str">
        <f t="shared" ref="G56:G63" si="4">IF(AND(ISNUMBER($B56),ProjectType="DTS and STS - (DFO)"),1,IF(ISNUMBER($B56),IF(SUM($G37:$I37)&gt;0,SUM(G37)/SUM($G37:$I37),IF(SUM($G38:$I38)&gt;0,SUM(G38)/SUM($G38:$I38),IF(SUM($G36:$I36)&gt;0,SUM(G36)/SUM($G36:$I36),IF(ProjectType="DTS Only",1,IF(ProjectType="STS Only",0,0.5))))),""))</f>
        <v/>
      </c>
      <c r="H56" s="102" t="str">
        <f t="shared" ref="H56:H63" si="5">IF(AND(ISNUMBER($B56),ProjectType="DTS and STS - (DFO)"),0,IF(ISNUMBER($B56),IF(SUM($G37:$I37)&gt;0,SUM(H37)/SUM($G37:$I37),IF(SUM($G38:$I38)&gt;0,SUM(H38)/SUM($G38:$I38),IF(SUM($G36:$I36)&gt;0,SUM(H36)/SUM($G36:$I36),IF(ProjectType="DTS Only",0,IF(ProjectType="STS Only",1,0.5))))),""))</f>
        <v/>
      </c>
      <c r="I56" s="103" t="str">
        <f t="shared" ref="I56:I63" si="6">IF(ISNUMBER($B56),IF(SUM($G37:$I37)&gt;0,SUM(I37)/SUM($G37:$I37),IF(SUM($G38:$I38)&gt;0,SUM(I38)/SUM($G38:$I38),IF(SUM($G36:$I36)&gt;0,SUM(I36)/SUM($G36:$I36),0))),"")</f>
        <v/>
      </c>
    </row>
    <row r="57" spans="1:9">
      <c r="A57" s="98">
        <f>IF(ISNUMBER('A1 Contract'!A38),'A1 Contract'!A38,"")</f>
        <v>0</v>
      </c>
      <c r="B57" s="99" t="str">
        <f>IF(ISNUMBER('A1 Contract'!B38),'A1 Contract'!B38,"")</f>
        <v/>
      </c>
      <c r="C57" s="100">
        <f>IF(ISNUMBER('A1 Contract'!C38),'A1 Contract'!C38,"")</f>
        <v>0</v>
      </c>
      <c r="D57" s="101" t="str">
        <f t="shared" si="1"/>
        <v/>
      </c>
      <c r="E57" s="102" t="str">
        <f t="shared" si="2"/>
        <v/>
      </c>
      <c r="F57" s="103" t="str">
        <f t="shared" si="3"/>
        <v/>
      </c>
      <c r="G57" s="101" t="str">
        <f t="shared" si="4"/>
        <v/>
      </c>
      <c r="H57" s="102" t="str">
        <f t="shared" si="5"/>
        <v/>
      </c>
      <c r="I57" s="103" t="str">
        <f t="shared" si="6"/>
        <v/>
      </c>
    </row>
    <row r="58" spans="1:9">
      <c r="A58" s="98">
        <f>IF(ISNUMBER('A1 Contract'!A39),'A1 Contract'!A39,"")</f>
        <v>0</v>
      </c>
      <c r="B58" s="99" t="str">
        <f>IF(ISNUMBER('A1 Contract'!B39),'A1 Contract'!B39,"")</f>
        <v/>
      </c>
      <c r="C58" s="100">
        <f>IF(ISNUMBER('A1 Contract'!C39),'A1 Contract'!C39,"")</f>
        <v>0</v>
      </c>
      <c r="D58" s="101" t="str">
        <f t="shared" si="1"/>
        <v/>
      </c>
      <c r="E58" s="102" t="str">
        <f t="shared" si="2"/>
        <v/>
      </c>
      <c r="F58" s="103" t="str">
        <f t="shared" si="3"/>
        <v/>
      </c>
      <c r="G58" s="101" t="str">
        <f t="shared" si="4"/>
        <v/>
      </c>
      <c r="H58" s="102" t="str">
        <f t="shared" si="5"/>
        <v/>
      </c>
      <c r="I58" s="103" t="str">
        <f t="shared" si="6"/>
        <v/>
      </c>
    </row>
    <row r="59" spans="1:9">
      <c r="A59" s="98">
        <f>IF(ISNUMBER('A1 Contract'!A40),'A1 Contract'!A40,"")</f>
        <v>0</v>
      </c>
      <c r="B59" s="99" t="str">
        <f>IF(ISNUMBER('A1 Contract'!B40),'A1 Contract'!B40,"")</f>
        <v/>
      </c>
      <c r="C59" s="100">
        <f>IF(ISNUMBER('A1 Contract'!C40),'A1 Contract'!C40,"")</f>
        <v>0</v>
      </c>
      <c r="D59" s="101" t="str">
        <f t="shared" si="1"/>
        <v/>
      </c>
      <c r="E59" s="102" t="str">
        <f t="shared" si="2"/>
        <v/>
      </c>
      <c r="F59" s="103" t="str">
        <f t="shared" si="3"/>
        <v/>
      </c>
      <c r="G59" s="101" t="str">
        <f t="shared" si="4"/>
        <v/>
      </c>
      <c r="H59" s="102" t="str">
        <f t="shared" si="5"/>
        <v/>
      </c>
      <c r="I59" s="103" t="str">
        <f t="shared" si="6"/>
        <v/>
      </c>
    </row>
    <row r="60" spans="1:9">
      <c r="A60" s="98">
        <f>IF(ISNUMBER('A1 Contract'!A41),'A1 Contract'!A41,"")</f>
        <v>0</v>
      </c>
      <c r="B60" s="99" t="str">
        <f>IF(ISNUMBER('A1 Contract'!B41),'A1 Contract'!B41,"")</f>
        <v/>
      </c>
      <c r="C60" s="100">
        <f>IF(ISNUMBER('A1 Contract'!C41),'A1 Contract'!C41,"")</f>
        <v>0</v>
      </c>
      <c r="D60" s="101" t="str">
        <f t="shared" si="1"/>
        <v/>
      </c>
      <c r="E60" s="102" t="str">
        <f t="shared" si="2"/>
        <v/>
      </c>
      <c r="F60" s="103" t="str">
        <f t="shared" si="3"/>
        <v/>
      </c>
      <c r="G60" s="101" t="str">
        <f t="shared" si="4"/>
        <v/>
      </c>
      <c r="H60" s="102" t="str">
        <f t="shared" si="5"/>
        <v/>
      </c>
      <c r="I60" s="103" t="str">
        <f t="shared" si="6"/>
        <v/>
      </c>
    </row>
    <row r="61" spans="1:9">
      <c r="A61" s="98">
        <f>IF(ISNUMBER('A1 Contract'!A42),'A1 Contract'!A42,"")</f>
        <v>0</v>
      </c>
      <c r="B61" s="99" t="str">
        <f>IF(ISNUMBER('A1 Contract'!B42),'A1 Contract'!B42,"")</f>
        <v/>
      </c>
      <c r="C61" s="100">
        <f>IF(ISNUMBER('A1 Contract'!C42),'A1 Contract'!C42,"")</f>
        <v>0</v>
      </c>
      <c r="D61" s="101" t="str">
        <f t="shared" si="1"/>
        <v/>
      </c>
      <c r="E61" s="102" t="str">
        <f t="shared" si="2"/>
        <v/>
      </c>
      <c r="F61" s="103" t="str">
        <f t="shared" si="3"/>
        <v/>
      </c>
      <c r="G61" s="101" t="str">
        <f t="shared" si="4"/>
        <v/>
      </c>
      <c r="H61" s="102" t="str">
        <f t="shared" si="5"/>
        <v/>
      </c>
      <c r="I61" s="103" t="str">
        <f t="shared" si="6"/>
        <v/>
      </c>
    </row>
    <row r="62" spans="1:9">
      <c r="A62" s="98">
        <f>IF(ISNUMBER('A1 Contract'!A43),'A1 Contract'!A43,"")</f>
        <v>0</v>
      </c>
      <c r="B62" s="99" t="str">
        <f>IF(ISNUMBER('A1 Contract'!B43),'A1 Contract'!B43,"")</f>
        <v/>
      </c>
      <c r="C62" s="100">
        <f>IF(ISNUMBER('A1 Contract'!C43),'A1 Contract'!C43,"")</f>
        <v>0</v>
      </c>
      <c r="D62" s="101" t="str">
        <f t="shared" si="1"/>
        <v/>
      </c>
      <c r="E62" s="102" t="str">
        <f t="shared" si="2"/>
        <v/>
      </c>
      <c r="F62" s="103" t="str">
        <f t="shared" si="3"/>
        <v/>
      </c>
      <c r="G62" s="101" t="str">
        <f t="shared" si="4"/>
        <v/>
      </c>
      <c r="H62" s="102" t="str">
        <f t="shared" si="5"/>
        <v/>
      </c>
      <c r="I62" s="103" t="str">
        <f t="shared" si="6"/>
        <v/>
      </c>
    </row>
    <row r="63" spans="1:9">
      <c r="A63" s="98">
        <f>IF(ISNUMBER('A1 Contract'!A44),'A1 Contract'!A44,"")</f>
        <v>0</v>
      </c>
      <c r="B63" s="99" t="str">
        <f>IF(ISNUMBER('A1 Contract'!B44),'A1 Contract'!B44,"")</f>
        <v/>
      </c>
      <c r="C63" s="100">
        <f>IF(ISNUMBER('A1 Contract'!C44),'A1 Contract'!C44,"")</f>
        <v>0</v>
      </c>
      <c r="D63" s="101" t="str">
        <f t="shared" si="1"/>
        <v/>
      </c>
      <c r="E63" s="102" t="str">
        <f t="shared" si="2"/>
        <v/>
      </c>
      <c r="F63" s="103" t="str">
        <f t="shared" si="3"/>
        <v/>
      </c>
      <c r="G63" s="101" t="str">
        <f t="shared" si="4"/>
        <v/>
      </c>
      <c r="H63" s="102" t="str">
        <f t="shared" si="5"/>
        <v/>
      </c>
      <c r="I63" s="103" t="str">
        <f t="shared" si="6"/>
        <v/>
      </c>
    </row>
    <row r="64" spans="1:9">
      <c r="A64" s="104">
        <f>IF(ISNUMBER('A1 Contract'!A45),'A1 Contract'!A45,"")</f>
        <v>0</v>
      </c>
      <c r="B64" s="105" t="str">
        <f>IF(ISNUMBER('A1 Contract'!B45),'A1 Contract'!B45,"")</f>
        <v/>
      </c>
      <c r="C64" s="106">
        <f>IF(ISNUMBER('A1 Contract'!C45),'A1 Contract'!C45,"")</f>
        <v>0</v>
      </c>
      <c r="D64" s="107" t="str">
        <f>IF(AND(ISNUMBER($B64),ProjectType="DTS and STS - (DFO)"),1,IF(ISNUMBER($B64),IF(SUM($D45:$F45)&gt;0,SUM(D45)/SUM($D45:$F45),IF(SUM($D44:$F44)&gt;0,SUM(D44)/SUM($D44:$F44),IF(ProjectType="DTS Only",1,IF(ProjectType="STS Only",0,0.5)))),""))</f>
        <v/>
      </c>
      <c r="E64" s="108" t="str">
        <f>IF(AND(ISNUMBER($B64),ProjectType="DTS and STS - (DFO)"),0,IF(ISNUMBER($B64),IF(SUM($D45:$F45)&gt;0,SUM(E45)/SUM($D45:$F45),IF(SUM($D44:$F44)&gt;0,SUM(E44)/SUM($D44:$F44),IF(ProjectType="DTS Only",0,IF(ProjectType="STS Only",1,0.5)))),""))</f>
        <v/>
      </c>
      <c r="F64" s="109" t="str">
        <f>IF(ISNUMBER($B64),IF(SUM($D45:$F45)&gt;0,SUM(F45)/SUM($D45:$F45),IF(SUM($D44:$F44)&gt;0,SUM(F44)/SUM($D44:$F44),0)),"")</f>
        <v/>
      </c>
      <c r="G64" s="107" t="str">
        <f>IF(AND(ISNUMBER($B64),ProjectType="DTS and STS - (DFO)"),1,IF(ISNUMBER($B64),IF(SUM($G45:$I45)&gt;0,SUM(G45)/SUM($G45:$I45),IF(SUM($G44:$I44)&gt;0,SUM(G44)/SUM($G44:$I44),IF(ProjectType="DTS Only",1,IF(ProjectType="STS Only",0,0.5)))),""))</f>
        <v/>
      </c>
      <c r="H64" s="108" t="str">
        <f>IF(AND(ISNUMBER($B64),ProjectType="DTS and STS - (DFO)"),0,IF(ISNUMBER($B64),IF(SUM($G45:$I45)&gt;0,SUM(H45)/SUM($G45:$I45),IF(SUM($G44:$I44)&gt;0,SUM(H44)/SUM($G44:$I44),IF(ProjectType="DTS Only",0,IF(ProjectType="STS Only",1,0.5)))),""))</f>
        <v/>
      </c>
      <c r="I64" s="109" t="str">
        <f>IF(ISNUMBER($B64),IF(SUM($G45:$I45)&gt;0,SUM(I45)/SUM($G45:$I45),IF(SUM($G44:$I44)&gt;0,SUM(I44)/SUM($G44:$I44),0)),"")</f>
        <v/>
      </c>
    </row>
    <row r="65" spans="1:9" ht="13.15">
      <c r="A65" s="59"/>
      <c r="B65" s="60" t="s">
        <v>5</v>
      </c>
      <c r="C65" s="110">
        <f>SUM(C55:C64)</f>
        <v>60</v>
      </c>
      <c r="D65" s="111"/>
      <c r="E65" s="111"/>
      <c r="F65" s="112"/>
      <c r="G65" s="113"/>
      <c r="H65" s="113"/>
      <c r="I65" s="113"/>
    </row>
  </sheetData>
  <dataConsolidate/>
  <mergeCells count="37">
    <mergeCell ref="F30:G30"/>
    <mergeCell ref="H24:I24"/>
    <mergeCell ref="H23:I23"/>
    <mergeCell ref="G33:I33"/>
    <mergeCell ref="D34:E34"/>
    <mergeCell ref="F28:G28"/>
    <mergeCell ref="H29:I29"/>
    <mergeCell ref="G34:H34"/>
    <mergeCell ref="H27:I27"/>
    <mergeCell ref="F25:G25"/>
    <mergeCell ref="F29:G29"/>
    <mergeCell ref="F27:G27"/>
    <mergeCell ref="F26:G26"/>
    <mergeCell ref="F23:G23"/>
    <mergeCell ref="F24:G24"/>
    <mergeCell ref="D33:F33"/>
    <mergeCell ref="A11:I11"/>
    <mergeCell ref="H22:I22"/>
    <mergeCell ref="C13:G13"/>
    <mergeCell ref="C14:G14"/>
    <mergeCell ref="C15:D15"/>
    <mergeCell ref="C16:D16"/>
    <mergeCell ref="F19:G19"/>
    <mergeCell ref="F20:G20"/>
    <mergeCell ref="F16:G16"/>
    <mergeCell ref="F15:G15"/>
    <mergeCell ref="A51:C51"/>
    <mergeCell ref="D53:E53"/>
    <mergeCell ref="G53:H53"/>
    <mergeCell ref="A32:C32"/>
    <mergeCell ref="H48:I48"/>
    <mergeCell ref="F49:G49"/>
    <mergeCell ref="H49:I49"/>
    <mergeCell ref="G52:I52"/>
    <mergeCell ref="D51:I51"/>
    <mergeCell ref="D52:F52"/>
    <mergeCell ref="D32:I32"/>
  </mergeCells>
  <phoneticPr fontId="6" type="noConversion"/>
  <conditionalFormatting sqref="D35">
    <cfRule type="cellIs" dxfId="30" priority="30" stopIfTrue="1" operator="notEqual">
      <formula>"DTS"</formula>
    </cfRule>
  </conditionalFormatting>
  <conditionalFormatting sqref="D36:D45">
    <cfRule type="expression" dxfId="29" priority="31" stopIfTrue="1">
      <formula>$D$35&lt;&gt;"DTS"</formula>
    </cfRule>
  </conditionalFormatting>
  <conditionalFormatting sqref="D54">
    <cfRule type="cellIs" dxfId="28" priority="12" stopIfTrue="1" operator="notEqual">
      <formula>"DTS"</formula>
    </cfRule>
  </conditionalFormatting>
  <conditionalFormatting sqref="D55:D64">
    <cfRule type="expression" dxfId="27" priority="4" stopIfTrue="1">
      <formula>$D$54&lt;&gt;"DTS"</formula>
    </cfRule>
  </conditionalFormatting>
  <conditionalFormatting sqref="E35">
    <cfRule type="cellIs" dxfId="26" priority="33" stopIfTrue="1" operator="notEqual">
      <formula>"STS"</formula>
    </cfRule>
  </conditionalFormatting>
  <conditionalFormatting sqref="E36:E45">
    <cfRule type="expression" dxfId="25" priority="32" stopIfTrue="1">
      <formula>$E$35&lt;&gt;"STS"</formula>
    </cfRule>
  </conditionalFormatting>
  <conditionalFormatting sqref="E54">
    <cfRule type="cellIs" dxfId="24" priority="13" stopIfTrue="1" operator="notEqual">
      <formula>"STS"</formula>
    </cfRule>
  </conditionalFormatting>
  <conditionalFormatting sqref="E55:E64">
    <cfRule type="expression" dxfId="23" priority="5" stopIfTrue="1">
      <formula>$E$54&lt;&gt;"STS"</formula>
    </cfRule>
  </conditionalFormatting>
  <conditionalFormatting sqref="F19">
    <cfRule type="expression" dxfId="22" priority="44" stopIfTrue="1">
      <formula>LEFT($J$19,5)="Error"</formula>
    </cfRule>
  </conditionalFormatting>
  <conditionalFormatting sqref="F29">
    <cfRule type="expression" dxfId="21" priority="43" stopIfTrue="1">
      <formula>AND(ISNUMBER(B37),ISBLANK(DiscountRate))</formula>
    </cfRule>
  </conditionalFormatting>
  <conditionalFormatting sqref="F36:F45">
    <cfRule type="expression" dxfId="20" priority="35" stopIfTrue="1">
      <formula>OtherParticipant="No"</formula>
    </cfRule>
  </conditionalFormatting>
  <conditionalFormatting sqref="F55:F64">
    <cfRule type="expression" dxfId="19" priority="6" stopIfTrue="1">
      <formula>OtherParticipant="No"</formula>
    </cfRule>
  </conditionalFormatting>
  <conditionalFormatting sqref="F15:G15">
    <cfRule type="expression" dxfId="18" priority="41" stopIfTrue="1">
      <formula>OR(LEFT($J$50,5)="Error",LEFT($J$51,5)="Error")</formula>
    </cfRule>
  </conditionalFormatting>
  <conditionalFormatting sqref="F20:G20">
    <cfRule type="expression" dxfId="17" priority="40" stopIfTrue="1">
      <formula>AND(NewOrExpansion="New Service",NewOrExistingSub="Existing Substation",OtherParticipant="No")</formula>
    </cfRule>
  </conditionalFormatting>
  <conditionalFormatting sqref="F23:G23">
    <cfRule type="expression" dxfId="16" priority="27" stopIfTrue="1">
      <formula>LEFT($J$19,5)="Error"</formula>
    </cfRule>
  </conditionalFormatting>
  <conditionalFormatting sqref="F24:G24 F27:G27">
    <cfRule type="expression" dxfId="15" priority="3">
      <formula>(EffectiveWithPILON-RequestDate)&lt;120</formula>
    </cfRule>
  </conditionalFormatting>
  <conditionalFormatting sqref="F30:G30">
    <cfRule type="expression" dxfId="14" priority="1">
      <formula>(EffectiveWithPILON-RequestDate)&lt;120</formula>
    </cfRule>
  </conditionalFormatting>
  <conditionalFormatting sqref="F49:G49">
    <cfRule type="expression" dxfId="13" priority="14" stopIfTrue="1">
      <formula>LEFT($J$19,5)="Error"</formula>
    </cfRule>
  </conditionalFormatting>
  <conditionalFormatting sqref="G35">
    <cfRule type="cellIs" dxfId="12" priority="22" stopIfTrue="1" operator="notEqual">
      <formula>"DTS"</formula>
    </cfRule>
  </conditionalFormatting>
  <conditionalFormatting sqref="G36:G45">
    <cfRule type="expression" dxfId="11" priority="23" stopIfTrue="1">
      <formula>$D$35&lt;&gt;"DTS"</formula>
    </cfRule>
  </conditionalFormatting>
  <conditionalFormatting sqref="G54">
    <cfRule type="cellIs" dxfId="10" priority="10" stopIfTrue="1" operator="notEqual">
      <formula>"DTS"</formula>
    </cfRule>
  </conditionalFormatting>
  <conditionalFormatting sqref="G55:G64">
    <cfRule type="expression" dxfId="9" priority="7" stopIfTrue="1">
      <formula>$G$54&lt;&gt;"DTS"</formula>
    </cfRule>
  </conditionalFormatting>
  <conditionalFormatting sqref="H35">
    <cfRule type="cellIs" dxfId="8" priority="25" stopIfTrue="1" operator="notEqual">
      <formula>"STS"</formula>
    </cfRule>
  </conditionalFormatting>
  <conditionalFormatting sqref="H36:H45">
    <cfRule type="expression" dxfId="7" priority="24" stopIfTrue="1">
      <formula>$E$35&lt;&gt;"STS"</formula>
    </cfRule>
  </conditionalFormatting>
  <conditionalFormatting sqref="H54">
    <cfRule type="cellIs" dxfId="6" priority="11" stopIfTrue="1" operator="notEqual">
      <formula>"STS"</formula>
    </cfRule>
  </conditionalFormatting>
  <conditionalFormatting sqref="H55:H64">
    <cfRule type="expression" dxfId="5" priority="8" stopIfTrue="1">
      <formula>$H$54&lt;&gt;"STS"</formula>
    </cfRule>
  </conditionalFormatting>
  <conditionalFormatting sqref="I36:I45">
    <cfRule type="expression" dxfId="4" priority="26" stopIfTrue="1">
      <formula>OtherParticipant="No"</formula>
    </cfRule>
  </conditionalFormatting>
  <conditionalFormatting sqref="I55:I64">
    <cfRule type="expression" dxfId="3" priority="9" stopIfTrue="1">
      <formula>OtherParticipant="No"</formula>
    </cfRule>
  </conditionalFormatting>
  <dataValidations xWindow="728" yWindow="341" count="23">
    <dataValidation type="list" showInputMessage="1" showErrorMessage="1" errorTitle="Type of Service" error="Please select type of service from list." promptTitle="Type of Service" prompt="Select type of system access service being provided to market participant." sqref="F15:G15" xr:uid="{00000000-0002-0000-0400-000000000000}">
      <formula1>"DTS Only, STS Only, DTS and STS (Dual-Use), DTS and STS - (DFO)"</formula1>
    </dataValidation>
    <dataValidation allowBlank="1" showInputMessage="1" showErrorMessage="1" promptTitle="Market Participant" prompt="Enter name of market participant who is receiving system access service and who will sign the system access service agreement for this project." sqref="C13:G13" xr:uid="{00000000-0002-0000-0400-000001000000}"/>
    <dataValidation allowBlank="1" showInputMessage="1" showErrorMessage="1" promptTitle="Project Name" prompt="Enter name of connection project, including substation number if applicable." sqref="C14:G14" xr:uid="{00000000-0002-0000-0400-000002000000}"/>
    <dataValidation allowBlank="1" showInputMessage="1" showErrorMessage="1" promptTitle="Project Number" prompt="Enter project number (3 or 4 digits) for connection project." sqref="C15:D15" xr:uid="{00000000-0002-0000-0400-000003000000}"/>
    <dataValidation allowBlank="1" showInputMessage="1" showErrorMessage="1" promptTitle="Preparer Name" prompt="Enter your name." sqref="C16:D16" xr:uid="{00000000-0002-0000-0400-000004000000}"/>
    <dataValidation allowBlank="1" showInputMessage="1" showErrorMessage="1" promptTitle="Preparation Date" prompt="Enter date on which this PILON calculation is being prepared." sqref="F16:G16" xr:uid="{00000000-0002-0000-0400-000005000000}"/>
    <dataValidation type="decimal" allowBlank="1" showInputMessage="1" showErrorMessage="1" errorTitle="Invalid Data" error="Discount rate must be between 4% and 12%." promptTitle="Discount Rate" prompt="Enter the discount rate provided in section 4.9 of the ISO tariff (applicable to the net present value calculation of a payment in lieu of notice in accordance with subsection 5.3(3)(a)." sqref="F29" xr:uid="{00000000-0002-0000-0400-000006000000}">
      <formula1>0.04</formula1>
      <formula2>0.12</formula2>
    </dataValidation>
    <dataValidation type="list" showInputMessage="1" showErrorMessage="1" promptTitle="Primary Service Credit" prompt="Select 'Yes' if the market participant owns and operates its own transformer facilities or if service is provided through an unconventional connection." sqref="F19" xr:uid="{00000000-0002-0000-0400-000007000000}">
      <formula1>"Yes, No"</formula1>
    </dataValidation>
    <dataValidation type="list" showInputMessage="1" showErrorMessage="1" promptTitle="Other Market Participants" prompt="Select 'Yes' if one or more other market participants receive service at the same substation under either Rate DTS or Rate STS." sqref="F20:G20" xr:uid="{00000000-0002-0000-0400-000008000000}">
      <formula1>"Yes, No"</formula1>
    </dataValidation>
    <dataValidation type="date" operator="greaterThan" allowBlank="1" showInputMessage="1" showErrorMessage="1" errorTitle="Invalid Date" error="Date must be no more than five years before the April 1, 2016 effective date of the 2016 tariff." promptTitle="Start Date" prompt="Enter the start date, in format “mmm d, yyyy”, of any increases or decreases in contract capacity after the date a request for reduction or termination  was received by the AESO." sqref="B37:B45" xr:uid="{00000000-0002-0000-0400-000009000000}">
      <formula1>42767</formula1>
    </dataValidation>
    <dataValidation type="decimal" operator="greaterThanOrEqual" allowBlank="1" showInputMessage="1" showErrorMessage="1" errorTitle="Invalid Capacity" error="Contract capacity must be 0 MW or greater." promptTitle="Rate DTS Capacity" prompt="Enter the amount, in MW, of contract capacity under Rate DTS that will be contracted for after the request for reduction or termination. The total (not incremental) amount should be entered for each contract stage." sqref="D36:D45" xr:uid="{00000000-0002-0000-0400-00000A000000}">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ill be contracted for after the request for reduction or termination. The total (not incremental) amount should be entered for each contract stage." sqref="E36:E45" xr:uid="{00000000-0002-0000-0400-00000B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contracted under Rates DTS and STS by other market participant(s) at the substation after the request for reduction or termination." sqref="F36:F45" xr:uid="{00000000-0002-0000-0400-00000C000000}">
      <formula1>0</formula1>
    </dataValidation>
    <dataValidation type="list" showInputMessage="1" showErrorMessage="1" promptTitle="Reduction or Termination" prompt="Select 'Reduced' if the service will continue at a reduced contract capacity, or select 'Terminated' if the service will no longer be required." sqref="F23:G23" xr:uid="{00000000-0002-0000-0400-00000D000000}">
      <formula1>"Reduced, Terminated"</formula1>
    </dataValidation>
    <dataValidation type="date" operator="greaterThanOrEqual" allowBlank="1" showInputMessage="1" showErrorMessage="1" errorTitle="Invalid Date" error="Date must be no more than five years before the January 1, 2018 effective date of the 2018 tariff." promptTitle="Request Date" prompt="Enter the date, in format “mmm dd, yyyy”, when the AESO received the market participant’s request for reduction or termination of contract capacity for the service." sqref="F24:G24" xr:uid="{00000000-0002-0000-0400-00000E000000}">
      <formula1>43466</formula1>
    </dataValidation>
    <dataValidation type="date" operator="greaterThanOrEqual" allowBlank="1" showInputMessage="1" showErrorMessage="1" errorTitle="Invalid Date" error="Date must be on or after the January 1, 2018 effective date of the 2018 tariff." promptTitle="Effective Date With PILON" prompt="Enter the date, in format “mmm dd, yyyy”, of the first of the month when the reduction or termination of contract capacity will become effective if a PILON is paid." sqref="F27:G27" xr:uid="{00000000-0002-0000-0400-00000F000000}">
      <formula1>43586</formula1>
    </dataValidation>
    <dataValidation type="decimal" operator="greaterThanOrEqual" allowBlank="1" showInputMessage="1" showErrorMessage="1" errorTitle="Invalid Capacity" error="Contract capacity must be 0 MW or greater." promptTitle="Rate DTS Capacity" prompt="Enter the amount, in MW, of contract capacity under Rate DTS that was previously contracted for prior to a request for reduction or termination. The total (not incremental) amount should be entered for each contract stage." sqref="G36:G45" xr:uid="{00000000-0002-0000-0400-000010000000}">
      <formula1>0</formula1>
    </dataValidation>
    <dataValidation type="decimal" operator="greaterThanOrEqual" allowBlank="1" showInputMessage="1" showErrorMessage="1" errorTitle="Invalid Capacity" error="Contract capacity must be 0 MW or greater." promptTitle="Rate STS Contract Capacity" prompt="Enter the amount, in MW, of contract capacity under Rate STS that was previously contracted for prior to a request for reduction or termination. The total (not incremental) amount should be entered for each contract stage." sqref="H36:H45" xr:uid="{00000000-0002-0000-0400-000011000000}">
      <formula1>0</formula1>
    </dataValidation>
    <dataValidation type="decimal" operator="greaterThanOrEqual" allowBlank="1" showInputMessage="1" showErrorMessage="1" errorTitle="Invalid Capacity" error="Contract capacity must be 0 MW or greater." promptTitle="Other Participant Capacity" prompt="Enter the total amount, in MW, that was previously contracted under Rates DTS and STS by other market participant(s) at the substation prior to a request for reduction or termination." sqref="I36:I45" xr:uid="{00000000-0002-0000-0400-000012000000}">
      <formula1>0</formula1>
    </dataValidation>
    <dataValidation operator="greaterThanOrEqual" allowBlank="1" showInputMessage="1" promptTitle="Date PILON Must Be Received" prompt="The market participant’s payment in lieu of notice must be received by the AESO at least 30 days before the effective date of a change to a System Access Service Agreement, in accordance with subsection 5.7(1) of the ISO tariff." sqref="F26:G26" xr:uid="{00000000-0002-0000-0400-000013000000}"/>
    <dataValidation operator="greaterThanOrEqual" allowBlank="1" showInputMessage="1" promptTitle="Effective Date Without PILON" prompt="If a PILON is not paid, a requested reduction or termination of contract capacity will become effective after five years, in accordance with section 5.3(1) of the ISO tariff." sqref="F28:G28" xr:uid="{00000000-0002-0000-0400-000014000000}"/>
    <dataValidation operator="greaterThanOrEqual" allowBlank="1" showInputMessage="1" promptTitle="Start of Five-Year Notice Period" prompt="The five-year notice period starts on the first day of the month following receipt of the request for reduction or termination of contract capacity." sqref="F25:G25" xr:uid="{00000000-0002-0000-0400-000015000000}"/>
    <dataValidation operator="greaterThanOrEqual" allowBlank="1" showInputMessage="1" promptTitle="Effective Date of SAS Agreement" prompt="Enter the effective date for the System Access Service Agreement date in format &quot;mmm dd, yyyy&quot;." sqref="F30:G30" xr:uid="{1558A610-8AAF-4CFF-A5EC-B3E2833DF8B8}"/>
  </dataValidations>
  <pageMargins left="0.51181102362204722" right="0.51181102362204722" top="0.23622047244094491" bottom="0.51181102362204722" header="0.31496062992125984" footer="0.31496062992125984"/>
  <pageSetup scale="91" orientation="portrait" r:id="rId1"/>
  <headerFooter alignWithMargins="0">
    <oddFooter>&amp;L&amp;8Attachment to ISO Tariff - PILON Calculator (AESO ID No. 2025-010T)
Filename: &amp;F — Page &amp;P of &amp;N&amp;R&amp;8Proprietary When Completed</oddFooter>
  </headerFooter>
  <ignoredErrors>
    <ignoredError sqref="F49" unlockedFormula="1"/>
  </ignoredErrors>
  <drawing r:id="rId2"/>
  <extLst>
    <ext xmlns:x14="http://schemas.microsoft.com/office/spreadsheetml/2009/9/main" uri="{CCE6A557-97BC-4b89-ADB6-D9C93CAAB3DF}">
      <x14:dataValidations xmlns:xm="http://schemas.microsoft.com/office/excel/2006/main" xWindow="728" yWindow="341" count="1">
        <x14:dataValidation type="list" allowBlank="1" showInputMessage="1" showErrorMessage="1" promptTitle="Applicable ISO Tariff" prompt="Enter the tariff in effect at the time of the notice of reduction or termination is received." xr:uid="{00000000-0002-0000-0400-000016000000}">
          <x14:formula1>
            <xm:f>Lookup!$C$1:$Z$1</xm:f>
          </x14:formula1>
          <xm:sqref>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L52"/>
  <sheetViews>
    <sheetView showGridLines="0" zoomScaleNormal="100" workbookViewId="0">
      <selection activeCell="A11" sqref="C11"/>
    </sheetView>
  </sheetViews>
  <sheetFormatPr defaultColWidth="11.33203125" defaultRowHeight="12.75"/>
  <cols>
    <col min="1" max="1" width="6.33203125" style="31" customWidth="1"/>
    <col min="2" max="2" width="9.46484375" style="31" customWidth="1"/>
    <col min="3" max="3" width="11.33203125" style="205" customWidth="1"/>
    <col min="4" max="4" width="11.33203125" style="31" customWidth="1"/>
    <col min="5" max="5" width="25.6640625" style="31" customWidth="1"/>
    <col min="6" max="6" width="11.33203125" style="225" customWidth="1"/>
    <col min="7" max="10" width="11.33203125" style="31" customWidth="1"/>
    <col min="11" max="11" width="12" style="31" bestFit="1" customWidth="1"/>
    <col min="12" max="16384" width="11.33203125" style="31"/>
  </cols>
  <sheetData>
    <row r="8" spans="1:11" ht="22.15">
      <c r="A8" s="474" t="s">
        <v>222</v>
      </c>
    </row>
    <row r="9" spans="1:11" ht="22.15">
      <c r="A9" s="474" t="s">
        <v>223</v>
      </c>
    </row>
    <row r="10" spans="1:11" ht="22.15">
      <c r="A10" s="474" t="s">
        <v>224</v>
      </c>
    </row>
    <row r="11" spans="1:11" s="369" customFormat="1" ht="15">
      <c r="A11" s="421" t="s">
        <v>190</v>
      </c>
      <c r="B11" s="421"/>
      <c r="C11" s="421"/>
      <c r="D11" s="421"/>
      <c r="E11" s="421"/>
      <c r="F11" s="421"/>
      <c r="G11" s="421"/>
      <c r="H11" s="421"/>
      <c r="I11" s="421"/>
      <c r="J11" s="421"/>
      <c r="K11" s="421"/>
    </row>
    <row r="12" spans="1:11" s="30" customFormat="1" ht="7.5">
      <c r="C12" s="197"/>
      <c r="F12" s="216"/>
    </row>
    <row r="13" spans="1:11" s="37" customFormat="1" ht="13.15">
      <c r="A13" s="37" t="s">
        <v>194</v>
      </c>
      <c r="C13" s="430" t="str">
        <f>"  "&amp;ParticipantName</f>
        <v>  Name of Market Participant</v>
      </c>
      <c r="D13" s="430"/>
      <c r="E13" s="430"/>
      <c r="F13" s="430"/>
      <c r="G13" s="430"/>
      <c r="H13" s="349"/>
      <c r="I13" s="349"/>
      <c r="J13" s="206" t="s">
        <v>0</v>
      </c>
      <c r="K13" s="31" t="str">
        <f>'A1 Contract'!I13</f>
        <v>AESO 2025</v>
      </c>
    </row>
    <row r="14" spans="1:11" s="37" customFormat="1" ht="13.15">
      <c r="A14" s="37" t="s">
        <v>179</v>
      </c>
      <c r="C14" s="430" t="str">
        <f>"  "&amp;ProjectName</f>
        <v>  Project Name</v>
      </c>
      <c r="D14" s="430"/>
      <c r="E14" s="430"/>
      <c r="F14" s="430"/>
      <c r="G14" s="430"/>
      <c r="H14" s="349"/>
      <c r="I14" s="349"/>
      <c r="J14" s="206" t="s">
        <v>1</v>
      </c>
      <c r="K14" s="367">
        <f>'A1 Contract'!I14</f>
        <v>45658</v>
      </c>
    </row>
    <row r="15" spans="1:11" s="37" customFormat="1">
      <c r="A15" s="37" t="s">
        <v>178</v>
      </c>
      <c r="C15" s="434" t="str">
        <f>"  "&amp;ProjectNumber</f>
        <v>  Project Number</v>
      </c>
      <c r="D15" s="434"/>
      <c r="E15" s="434"/>
      <c r="F15" s="33" t="s">
        <v>2</v>
      </c>
      <c r="G15" s="434" t="str">
        <f>ProjectType</f>
        <v>DTS Only</v>
      </c>
      <c r="H15" s="434"/>
      <c r="I15" s="434"/>
      <c r="J15" s="206" t="s">
        <v>9</v>
      </c>
      <c r="K15" s="362" t="str">
        <f>'A1 Contract'!I15</f>
        <v>Current</v>
      </c>
    </row>
    <row r="16" spans="1:11" s="37" customFormat="1">
      <c r="A16" s="37" t="s">
        <v>16</v>
      </c>
      <c r="C16" s="434" t="str">
        <f>"  "&amp;PreparerName</f>
        <v>  Name of Preparer</v>
      </c>
      <c r="D16" s="434"/>
      <c r="E16" s="434"/>
      <c r="F16" s="33" t="s">
        <v>17</v>
      </c>
      <c r="G16" s="435" t="str">
        <f>PreparationDate</f>
        <v>Date Prepared</v>
      </c>
      <c r="H16" s="435"/>
      <c r="I16" s="435"/>
      <c r="J16" s="207" t="s">
        <v>18</v>
      </c>
      <c r="K16" s="65" t="str">
        <f>'A1 Contract'!I16</f>
        <v>2025.0.0</v>
      </c>
    </row>
    <row r="17" spans="1:12" s="37" customFormat="1">
      <c r="C17" s="198"/>
      <c r="F17" s="217"/>
    </row>
    <row r="18" spans="1:12" ht="13.15">
      <c r="A18" s="35" t="s">
        <v>56</v>
      </c>
      <c r="B18" s="35"/>
      <c r="C18" s="350"/>
      <c r="D18" s="35"/>
      <c r="E18" s="35"/>
      <c r="F18" s="351"/>
      <c r="G18" s="35"/>
      <c r="H18" s="35"/>
      <c r="I18" s="35"/>
    </row>
    <row r="19" spans="1:12">
      <c r="D19" s="205"/>
      <c r="E19" s="205"/>
      <c r="F19" s="31"/>
      <c r="G19" s="225"/>
    </row>
    <row r="20" spans="1:12" ht="13.15">
      <c r="A20" s="69"/>
      <c r="B20" s="69"/>
      <c r="C20" s="199"/>
      <c r="D20" s="339"/>
      <c r="E20" s="339"/>
      <c r="F20" s="66"/>
      <c r="G20" s="218"/>
      <c r="H20" s="66" t="s">
        <v>44</v>
      </c>
      <c r="I20" s="45" t="s">
        <v>44</v>
      </c>
      <c r="J20" s="67"/>
      <c r="K20" s="45"/>
    </row>
    <row r="21" spans="1:12" ht="13.15">
      <c r="A21" s="70"/>
      <c r="B21" s="70" t="s">
        <v>47</v>
      </c>
      <c r="C21" s="200"/>
      <c r="D21" s="340"/>
      <c r="E21" s="340"/>
      <c r="F21" s="43"/>
      <c r="G21" s="219" t="s">
        <v>5</v>
      </c>
      <c r="H21" s="43" t="s">
        <v>41</v>
      </c>
      <c r="I21" s="44" t="s">
        <v>46</v>
      </c>
      <c r="J21" s="68"/>
      <c r="K21" s="44"/>
    </row>
    <row r="22" spans="1:12" ht="13.15">
      <c r="A22" s="70" t="s">
        <v>13</v>
      </c>
      <c r="B22" s="70" t="s">
        <v>48</v>
      </c>
      <c r="C22" s="200" t="s">
        <v>39</v>
      </c>
      <c r="D22" s="340" t="s">
        <v>139</v>
      </c>
      <c r="E22" s="340" t="s">
        <v>139</v>
      </c>
      <c r="F22" s="43" t="s">
        <v>40</v>
      </c>
      <c r="G22" s="219" t="s">
        <v>42</v>
      </c>
      <c r="H22" s="43" t="s">
        <v>42</v>
      </c>
      <c r="I22" s="44" t="s">
        <v>42</v>
      </c>
      <c r="J22" s="68" t="s">
        <v>51</v>
      </c>
      <c r="K22" s="44" t="s">
        <v>49</v>
      </c>
    </row>
    <row r="23" spans="1:12" ht="13.15">
      <c r="A23" s="70" t="s">
        <v>87</v>
      </c>
      <c r="B23" s="70" t="s">
        <v>13</v>
      </c>
      <c r="C23" s="200" t="s">
        <v>13</v>
      </c>
      <c r="D23" s="340" t="s">
        <v>140</v>
      </c>
      <c r="E23" s="340" t="s">
        <v>141</v>
      </c>
      <c r="F23" s="43" t="s">
        <v>31</v>
      </c>
      <c r="G23" s="219" t="s">
        <v>45</v>
      </c>
      <c r="H23" s="43" t="s">
        <v>43</v>
      </c>
      <c r="I23" s="44" t="s">
        <v>43</v>
      </c>
      <c r="J23" s="68" t="s">
        <v>50</v>
      </c>
      <c r="K23" s="44" t="s">
        <v>50</v>
      </c>
    </row>
    <row r="24" spans="1:12">
      <c r="A24" s="82"/>
      <c r="B24" s="83"/>
      <c r="C24" s="201"/>
      <c r="D24" s="341"/>
      <c r="E24" s="341"/>
      <c r="F24" s="84" t="s">
        <v>52</v>
      </c>
      <c r="G24" s="220" t="s">
        <v>53</v>
      </c>
      <c r="H24" s="84" t="s">
        <v>52</v>
      </c>
      <c r="I24" s="85" t="s">
        <v>52</v>
      </c>
      <c r="J24" s="86" t="s">
        <v>54</v>
      </c>
      <c r="K24" s="87" t="s">
        <v>54</v>
      </c>
    </row>
    <row r="25" spans="1:12">
      <c r="A25" s="208" t="str">
        <f>IF(ISBLANK(C25),"",DATE(LEFT(C25,4),RIGHT(C25,2),1))</f>
        <v/>
      </c>
      <c r="B25" s="71" t="str">
        <f>IF(ISBLANK(C25),"",DAY(DATE(RIGHT(C25),RIGHT(C25,2)+1,1)-1))</f>
        <v/>
      </c>
      <c r="C25" s="202"/>
      <c r="D25" s="343"/>
      <c r="E25" s="344"/>
      <c r="F25" s="117"/>
      <c r="G25" s="221"/>
      <c r="H25" s="117"/>
      <c r="I25" s="121"/>
      <c r="J25" s="73" t="str">
        <f t="shared" ref="J25:J48" si="0">IF(ISNUMBER(I25),IF(H25=0,0,I25/H25),"")</f>
        <v/>
      </c>
      <c r="K25" s="74" t="str">
        <f t="shared" ref="K25:K48" si="1">IF(ISNUMBER(G25),IF(OR(H25=0,B25=0),0,G25/(H25*B25*24)),"")</f>
        <v/>
      </c>
      <c r="L25" s="91"/>
    </row>
    <row r="26" spans="1:12">
      <c r="A26" s="209" t="str">
        <f>IF(ISBLANK(C26),"",DATE(LEFT(C26,4),RIGHT(C26,2),1))</f>
        <v/>
      </c>
      <c r="B26" s="72" t="str">
        <f>IF(ISBLANK(C26),"",DAY(DATE(RIGHT(C26),RIGHT(C26,2)+1,1)-1))</f>
        <v/>
      </c>
      <c r="C26" s="203"/>
      <c r="D26" s="345"/>
      <c r="E26" s="346"/>
      <c r="F26" s="118"/>
      <c r="G26" s="222"/>
      <c r="H26" s="118"/>
      <c r="I26" s="122"/>
      <c r="J26" s="75" t="str">
        <f t="shared" si="0"/>
        <v/>
      </c>
      <c r="K26" s="76" t="str">
        <f t="shared" si="1"/>
        <v/>
      </c>
    </row>
    <row r="27" spans="1:12">
      <c r="A27" s="209" t="str">
        <f t="shared" ref="A27:A48" si="2">IF(ISBLANK(C27),"",DATE(LEFT(C27,4),RIGHT(C27,2),1))</f>
        <v/>
      </c>
      <c r="B27" s="72" t="str">
        <f t="shared" ref="B27:B48" si="3">IF(ISBLANK(C27),"",DAY(DATE(RIGHT(C27),RIGHT(C27,2)+1,1)-1))</f>
        <v/>
      </c>
      <c r="C27" s="203"/>
      <c r="D27" s="345"/>
      <c r="E27" s="346"/>
      <c r="F27" s="118"/>
      <c r="G27" s="222"/>
      <c r="H27" s="118"/>
      <c r="I27" s="122"/>
      <c r="J27" s="75" t="str">
        <f t="shared" si="0"/>
        <v/>
      </c>
      <c r="K27" s="76" t="str">
        <f t="shared" si="1"/>
        <v/>
      </c>
    </row>
    <row r="28" spans="1:12">
      <c r="A28" s="209" t="str">
        <f t="shared" si="2"/>
        <v/>
      </c>
      <c r="B28" s="72" t="str">
        <f t="shared" si="3"/>
        <v/>
      </c>
      <c r="C28" s="203"/>
      <c r="D28" s="345"/>
      <c r="E28" s="346"/>
      <c r="F28" s="118"/>
      <c r="G28" s="222"/>
      <c r="H28" s="118"/>
      <c r="I28" s="122"/>
      <c r="J28" s="75" t="str">
        <f t="shared" si="0"/>
        <v/>
      </c>
      <c r="K28" s="76" t="str">
        <f t="shared" si="1"/>
        <v/>
      </c>
    </row>
    <row r="29" spans="1:12">
      <c r="A29" s="209" t="str">
        <f t="shared" si="2"/>
        <v/>
      </c>
      <c r="B29" s="72" t="str">
        <f t="shared" si="3"/>
        <v/>
      </c>
      <c r="C29" s="203"/>
      <c r="D29" s="345"/>
      <c r="E29" s="346"/>
      <c r="F29" s="118"/>
      <c r="G29" s="222"/>
      <c r="H29" s="118"/>
      <c r="I29" s="122"/>
      <c r="J29" s="75" t="str">
        <f t="shared" si="0"/>
        <v/>
      </c>
      <c r="K29" s="76" t="str">
        <f t="shared" si="1"/>
        <v/>
      </c>
    </row>
    <row r="30" spans="1:12">
      <c r="A30" s="209" t="str">
        <f t="shared" si="2"/>
        <v/>
      </c>
      <c r="B30" s="72" t="str">
        <f t="shared" si="3"/>
        <v/>
      </c>
      <c r="C30" s="203"/>
      <c r="D30" s="345"/>
      <c r="E30" s="346"/>
      <c r="F30" s="118"/>
      <c r="G30" s="222"/>
      <c r="H30" s="118"/>
      <c r="I30" s="122"/>
      <c r="J30" s="75" t="str">
        <f t="shared" si="0"/>
        <v/>
      </c>
      <c r="K30" s="76" t="str">
        <f t="shared" si="1"/>
        <v/>
      </c>
    </row>
    <row r="31" spans="1:12">
      <c r="A31" s="209" t="str">
        <f t="shared" si="2"/>
        <v/>
      </c>
      <c r="B31" s="72" t="str">
        <f t="shared" si="3"/>
        <v/>
      </c>
      <c r="C31" s="203"/>
      <c r="D31" s="345"/>
      <c r="E31" s="346"/>
      <c r="F31" s="118"/>
      <c r="G31" s="222"/>
      <c r="H31" s="118"/>
      <c r="I31" s="122"/>
      <c r="J31" s="75" t="str">
        <f t="shared" si="0"/>
        <v/>
      </c>
      <c r="K31" s="76" t="str">
        <f t="shared" si="1"/>
        <v/>
      </c>
    </row>
    <row r="32" spans="1:12">
      <c r="A32" s="209" t="str">
        <f t="shared" si="2"/>
        <v/>
      </c>
      <c r="B32" s="72" t="str">
        <f t="shared" si="3"/>
        <v/>
      </c>
      <c r="C32" s="203"/>
      <c r="D32" s="345"/>
      <c r="E32" s="346"/>
      <c r="F32" s="118"/>
      <c r="G32" s="222"/>
      <c r="H32" s="118"/>
      <c r="I32" s="122"/>
      <c r="J32" s="75" t="str">
        <f t="shared" si="0"/>
        <v/>
      </c>
      <c r="K32" s="76" t="str">
        <f t="shared" si="1"/>
        <v/>
      </c>
    </row>
    <row r="33" spans="1:11">
      <c r="A33" s="209" t="str">
        <f t="shared" si="2"/>
        <v/>
      </c>
      <c r="B33" s="72" t="str">
        <f t="shared" si="3"/>
        <v/>
      </c>
      <c r="C33" s="203"/>
      <c r="D33" s="345"/>
      <c r="E33" s="346"/>
      <c r="F33" s="118"/>
      <c r="G33" s="222"/>
      <c r="H33" s="118"/>
      <c r="I33" s="122"/>
      <c r="J33" s="75" t="str">
        <f t="shared" si="0"/>
        <v/>
      </c>
      <c r="K33" s="76" t="str">
        <f t="shared" si="1"/>
        <v/>
      </c>
    </row>
    <row r="34" spans="1:11">
      <c r="A34" s="209" t="str">
        <f t="shared" si="2"/>
        <v/>
      </c>
      <c r="B34" s="72" t="str">
        <f t="shared" si="3"/>
        <v/>
      </c>
      <c r="C34" s="203"/>
      <c r="D34" s="345"/>
      <c r="E34" s="346"/>
      <c r="F34" s="118"/>
      <c r="G34" s="222"/>
      <c r="H34" s="118"/>
      <c r="I34" s="122"/>
      <c r="J34" s="75" t="str">
        <f t="shared" si="0"/>
        <v/>
      </c>
      <c r="K34" s="76" t="str">
        <f t="shared" si="1"/>
        <v/>
      </c>
    </row>
    <row r="35" spans="1:11">
      <c r="A35" s="209" t="str">
        <f t="shared" si="2"/>
        <v/>
      </c>
      <c r="B35" s="72" t="str">
        <f t="shared" si="3"/>
        <v/>
      </c>
      <c r="C35" s="203"/>
      <c r="D35" s="345"/>
      <c r="E35" s="346"/>
      <c r="F35" s="118"/>
      <c r="G35" s="222"/>
      <c r="H35" s="118"/>
      <c r="I35" s="122"/>
      <c r="J35" s="75" t="str">
        <f t="shared" si="0"/>
        <v/>
      </c>
      <c r="K35" s="76" t="str">
        <f t="shared" si="1"/>
        <v/>
      </c>
    </row>
    <row r="36" spans="1:11">
      <c r="A36" s="209" t="str">
        <f t="shared" si="2"/>
        <v/>
      </c>
      <c r="B36" s="72" t="str">
        <f t="shared" si="3"/>
        <v/>
      </c>
      <c r="C36" s="203"/>
      <c r="D36" s="345"/>
      <c r="E36" s="346"/>
      <c r="F36" s="118"/>
      <c r="G36" s="222"/>
      <c r="H36" s="118"/>
      <c r="I36" s="122"/>
      <c r="J36" s="75" t="str">
        <f t="shared" si="0"/>
        <v/>
      </c>
      <c r="K36" s="76" t="str">
        <f t="shared" si="1"/>
        <v/>
      </c>
    </row>
    <row r="37" spans="1:11">
      <c r="A37" s="209" t="str">
        <f t="shared" si="2"/>
        <v/>
      </c>
      <c r="B37" s="72" t="str">
        <f t="shared" si="3"/>
        <v/>
      </c>
      <c r="C37" s="203"/>
      <c r="D37" s="345"/>
      <c r="E37" s="346"/>
      <c r="F37" s="118"/>
      <c r="G37" s="222"/>
      <c r="H37" s="118"/>
      <c r="I37" s="122"/>
      <c r="J37" s="75" t="str">
        <f t="shared" si="0"/>
        <v/>
      </c>
      <c r="K37" s="76" t="str">
        <f t="shared" si="1"/>
        <v/>
      </c>
    </row>
    <row r="38" spans="1:11">
      <c r="A38" s="209" t="str">
        <f t="shared" si="2"/>
        <v/>
      </c>
      <c r="B38" s="72" t="str">
        <f t="shared" si="3"/>
        <v/>
      </c>
      <c r="C38" s="203"/>
      <c r="D38" s="345"/>
      <c r="E38" s="346"/>
      <c r="F38" s="118"/>
      <c r="G38" s="222"/>
      <c r="H38" s="118"/>
      <c r="I38" s="122"/>
      <c r="J38" s="75" t="str">
        <f t="shared" si="0"/>
        <v/>
      </c>
      <c r="K38" s="76" t="str">
        <f t="shared" si="1"/>
        <v/>
      </c>
    </row>
    <row r="39" spans="1:11">
      <c r="A39" s="209" t="str">
        <f t="shared" si="2"/>
        <v/>
      </c>
      <c r="B39" s="72" t="str">
        <f t="shared" si="3"/>
        <v/>
      </c>
      <c r="C39" s="203"/>
      <c r="D39" s="345"/>
      <c r="E39" s="346"/>
      <c r="F39" s="118"/>
      <c r="G39" s="222"/>
      <c r="H39" s="118"/>
      <c r="I39" s="122"/>
      <c r="J39" s="75" t="str">
        <f t="shared" si="0"/>
        <v/>
      </c>
      <c r="K39" s="76" t="str">
        <f t="shared" si="1"/>
        <v/>
      </c>
    </row>
    <row r="40" spans="1:11">
      <c r="A40" s="209" t="str">
        <f t="shared" si="2"/>
        <v/>
      </c>
      <c r="B40" s="72" t="str">
        <f t="shared" si="3"/>
        <v/>
      </c>
      <c r="C40" s="203"/>
      <c r="D40" s="345"/>
      <c r="E40" s="346"/>
      <c r="F40" s="118"/>
      <c r="G40" s="222"/>
      <c r="H40" s="118"/>
      <c r="I40" s="122"/>
      <c r="J40" s="75" t="str">
        <f t="shared" si="0"/>
        <v/>
      </c>
      <c r="K40" s="76" t="str">
        <f t="shared" si="1"/>
        <v/>
      </c>
    </row>
    <row r="41" spans="1:11">
      <c r="A41" s="209" t="str">
        <f t="shared" si="2"/>
        <v/>
      </c>
      <c r="B41" s="72" t="str">
        <f t="shared" si="3"/>
        <v/>
      </c>
      <c r="C41" s="203"/>
      <c r="D41" s="345"/>
      <c r="E41" s="346"/>
      <c r="F41" s="118"/>
      <c r="G41" s="222"/>
      <c r="H41" s="118"/>
      <c r="I41" s="122"/>
      <c r="J41" s="75" t="str">
        <f t="shared" si="0"/>
        <v/>
      </c>
      <c r="K41" s="76" t="str">
        <f t="shared" si="1"/>
        <v/>
      </c>
    </row>
    <row r="42" spans="1:11">
      <c r="A42" s="209" t="str">
        <f t="shared" si="2"/>
        <v/>
      </c>
      <c r="B42" s="72" t="str">
        <f t="shared" si="3"/>
        <v/>
      </c>
      <c r="C42" s="203"/>
      <c r="D42" s="345"/>
      <c r="E42" s="346"/>
      <c r="F42" s="118"/>
      <c r="G42" s="222"/>
      <c r="H42" s="118"/>
      <c r="I42" s="122"/>
      <c r="J42" s="75" t="str">
        <f t="shared" si="0"/>
        <v/>
      </c>
      <c r="K42" s="76" t="str">
        <f t="shared" si="1"/>
        <v/>
      </c>
    </row>
    <row r="43" spans="1:11">
      <c r="A43" s="209" t="str">
        <f t="shared" si="2"/>
        <v/>
      </c>
      <c r="B43" s="72" t="str">
        <f t="shared" si="3"/>
        <v/>
      </c>
      <c r="C43" s="203"/>
      <c r="D43" s="345"/>
      <c r="E43" s="346"/>
      <c r="F43" s="118"/>
      <c r="G43" s="222"/>
      <c r="H43" s="118"/>
      <c r="I43" s="122"/>
      <c r="J43" s="75" t="str">
        <f t="shared" si="0"/>
        <v/>
      </c>
      <c r="K43" s="76" t="str">
        <f t="shared" si="1"/>
        <v/>
      </c>
    </row>
    <row r="44" spans="1:11">
      <c r="A44" s="209" t="str">
        <f t="shared" si="2"/>
        <v/>
      </c>
      <c r="B44" s="72" t="str">
        <f t="shared" si="3"/>
        <v/>
      </c>
      <c r="C44" s="203"/>
      <c r="D44" s="345"/>
      <c r="E44" s="346"/>
      <c r="F44" s="118"/>
      <c r="G44" s="222"/>
      <c r="H44" s="118"/>
      <c r="I44" s="122"/>
      <c r="J44" s="75" t="str">
        <f t="shared" si="0"/>
        <v/>
      </c>
      <c r="K44" s="76" t="str">
        <f t="shared" si="1"/>
        <v/>
      </c>
    </row>
    <row r="45" spans="1:11">
      <c r="A45" s="209" t="str">
        <f t="shared" si="2"/>
        <v/>
      </c>
      <c r="B45" s="72" t="str">
        <f t="shared" si="3"/>
        <v/>
      </c>
      <c r="C45" s="203"/>
      <c r="D45" s="345"/>
      <c r="E45" s="346"/>
      <c r="F45" s="118"/>
      <c r="G45" s="222"/>
      <c r="H45" s="118"/>
      <c r="I45" s="122"/>
      <c r="J45" s="75" t="str">
        <f t="shared" si="0"/>
        <v/>
      </c>
      <c r="K45" s="76" t="str">
        <f t="shared" si="1"/>
        <v/>
      </c>
    </row>
    <row r="46" spans="1:11">
      <c r="A46" s="209" t="str">
        <f t="shared" si="2"/>
        <v/>
      </c>
      <c r="B46" s="72" t="str">
        <f t="shared" si="3"/>
        <v/>
      </c>
      <c r="C46" s="203"/>
      <c r="D46" s="345"/>
      <c r="E46" s="346"/>
      <c r="F46" s="118"/>
      <c r="G46" s="222"/>
      <c r="H46" s="118"/>
      <c r="I46" s="122"/>
      <c r="J46" s="75" t="str">
        <f t="shared" si="0"/>
        <v/>
      </c>
      <c r="K46" s="76" t="str">
        <f t="shared" si="1"/>
        <v/>
      </c>
    </row>
    <row r="47" spans="1:11">
      <c r="A47" s="209" t="str">
        <f t="shared" si="2"/>
        <v/>
      </c>
      <c r="B47" s="72" t="str">
        <f t="shared" si="3"/>
        <v/>
      </c>
      <c r="C47" s="203"/>
      <c r="D47" s="345"/>
      <c r="E47" s="346"/>
      <c r="F47" s="118"/>
      <c r="G47" s="222"/>
      <c r="H47" s="118"/>
      <c r="I47" s="122"/>
      <c r="J47" s="75" t="str">
        <f t="shared" si="0"/>
        <v/>
      </c>
      <c r="K47" s="76" t="str">
        <f t="shared" si="1"/>
        <v/>
      </c>
    </row>
    <row r="48" spans="1:11">
      <c r="A48" s="209" t="str">
        <f t="shared" si="2"/>
        <v/>
      </c>
      <c r="B48" s="72" t="str">
        <f t="shared" si="3"/>
        <v/>
      </c>
      <c r="C48" s="204"/>
      <c r="D48" s="347"/>
      <c r="E48" s="348"/>
      <c r="F48" s="119"/>
      <c r="G48" s="223"/>
      <c r="H48" s="119"/>
      <c r="I48" s="123"/>
      <c r="J48" s="77" t="str">
        <f t="shared" si="0"/>
        <v/>
      </c>
      <c r="K48" s="78" t="str">
        <f t="shared" si="1"/>
        <v/>
      </c>
    </row>
    <row r="49" spans="1:11" ht="13.15">
      <c r="A49" s="431" t="s">
        <v>142</v>
      </c>
      <c r="B49" s="432"/>
      <c r="C49" s="432"/>
      <c r="D49" s="432"/>
      <c r="E49" s="433"/>
      <c r="F49" s="342" t="str">
        <f>IF($C25&gt;$C48,IF(ISNUMBER(AVERAGE(F25:F36)),AVERAGE(F25:F36),""),IF(ISNUMBER(AVERAGE(F37:F48)),AVERAGE(F37:F48),""))</f>
        <v/>
      </c>
      <c r="G49" s="79" t="str">
        <f>IF($C25&gt;$C48,IF(ISNUMBER(AVERAGE(G25:G36)),AVERAGE(G25:G36),""),IF(ISNUMBER(AVERAGE(G37:G48)),AVERAGE(G37:G48),""))</f>
        <v/>
      </c>
      <c r="H49" s="120" t="str">
        <f t="shared" ref="H49:K49" si="4">IF($C25&gt;$C48,IF(ISNUMBER(AVERAGE(H25:H36)),AVERAGE(H25:H36),""),IF(ISNUMBER(AVERAGE(H37:H48)),AVERAGE(H37:H48),""))</f>
        <v/>
      </c>
      <c r="I49" s="124" t="str">
        <f t="shared" si="4"/>
        <v/>
      </c>
      <c r="J49" s="80" t="str">
        <f t="shared" si="4"/>
        <v/>
      </c>
      <c r="K49" s="81" t="str">
        <f t="shared" si="4"/>
        <v/>
      </c>
    </row>
    <row r="50" spans="1:11" ht="13.15">
      <c r="A50" s="114" t="s">
        <v>182</v>
      </c>
      <c r="B50" s="88"/>
      <c r="C50" s="352"/>
      <c r="D50" s="352"/>
      <c r="E50" s="352"/>
      <c r="F50" s="90"/>
      <c r="G50" s="224"/>
      <c r="H50" s="90"/>
      <c r="I50" s="89" t="s">
        <v>55</v>
      </c>
      <c r="J50" s="353"/>
      <c r="K50" s="354"/>
    </row>
    <row r="51" spans="1:11">
      <c r="C51" s="31"/>
      <c r="F51" s="31"/>
    </row>
    <row r="52" spans="1:11">
      <c r="D52" s="205"/>
      <c r="E52" s="205"/>
      <c r="F52" s="31"/>
      <c r="G52" s="225"/>
    </row>
  </sheetData>
  <dataConsolidate/>
  <mergeCells count="8">
    <mergeCell ref="A11:K11"/>
    <mergeCell ref="C13:G13"/>
    <mergeCell ref="C14:G14"/>
    <mergeCell ref="A49:E49"/>
    <mergeCell ref="C15:E15"/>
    <mergeCell ref="C16:E16"/>
    <mergeCell ref="G15:I15"/>
    <mergeCell ref="G16:I16"/>
  </mergeCells>
  <conditionalFormatting sqref="G15">
    <cfRule type="expression" dxfId="2" priority="20" stopIfTrue="1">
      <formula>OR(LEFT($L$21,5)="Error",LEFT($L$22,5)="Error")</formula>
    </cfRule>
  </conditionalFormatting>
  <pageMargins left="0.51181102362204722" right="0.51181102362204722" top="0.23622047244094491" bottom="0.51181102362204722" header="0.31496062992125984" footer="0.31496062992125984"/>
  <pageSetup scale="73" orientation="portrait" r:id="rId1"/>
  <headerFooter alignWithMargins="0">
    <oddFooter>&amp;L&amp;8Attachment to ISO Tariff - PILON Calculator (AESO ID No. 2025-010T)
Filename: &amp;F — Page &amp;P of &amp;N&amp;R&amp;8Proprietary When Completed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J106"/>
  <sheetViews>
    <sheetView showGridLines="0" zoomScaleNormal="100" workbookViewId="0">
      <selection activeCell="A11" sqref="A11"/>
    </sheetView>
  </sheetViews>
  <sheetFormatPr defaultColWidth="8.6640625" defaultRowHeight="12.75"/>
  <cols>
    <col min="1" max="1" width="8.53125" style="116" customWidth="1"/>
    <col min="2" max="2" width="8.53125" style="125" customWidth="1"/>
    <col min="3" max="4" width="8.6640625" style="126" customWidth="1"/>
    <col min="5" max="5" width="8.6640625" style="127" customWidth="1"/>
    <col min="6" max="6" width="10.6640625" style="126" customWidth="1"/>
    <col min="7" max="8" width="8.6640625" style="126" customWidth="1"/>
    <col min="9" max="9" width="9.6640625" style="126" customWidth="1"/>
    <col min="10" max="10" width="12" style="126" customWidth="1"/>
    <col min="11" max="16384" width="8.6640625" style="127"/>
  </cols>
  <sheetData>
    <row r="8" spans="1:10" ht="22.15">
      <c r="A8" s="474" t="s">
        <v>222</v>
      </c>
    </row>
    <row r="9" spans="1:10" ht="22.15">
      <c r="A9" s="474" t="s">
        <v>223</v>
      </c>
    </row>
    <row r="10" spans="1:10" ht="22.15">
      <c r="A10" s="474" t="s">
        <v>224</v>
      </c>
    </row>
    <row r="11" spans="1:10" ht="22.15">
      <c r="A11" s="474"/>
    </row>
    <row r="12" spans="1:10" ht="15">
      <c r="A12" s="456" t="s">
        <v>191</v>
      </c>
      <c r="B12" s="456"/>
      <c r="C12" s="456"/>
      <c r="D12" s="456"/>
      <c r="E12" s="456"/>
      <c r="F12" s="456"/>
      <c r="G12" s="456"/>
      <c r="H12" s="456"/>
      <c r="I12" s="456"/>
      <c r="J12" s="456"/>
    </row>
    <row r="13" spans="1:10" ht="8" customHeight="1"/>
    <row r="14" spans="1:10" ht="13.15">
      <c r="A14" s="116" t="s">
        <v>194</v>
      </c>
      <c r="C14" s="457" t="str">
        <f>ParticipantName</f>
        <v>Name of Market Participant</v>
      </c>
      <c r="D14" s="457"/>
      <c r="E14" s="457"/>
      <c r="F14" s="457"/>
      <c r="G14" s="457"/>
      <c r="I14" s="126" t="s">
        <v>0</v>
      </c>
      <c r="J14" s="165" t="str">
        <f>'A1 Contract'!I13</f>
        <v>AESO 2025</v>
      </c>
    </row>
    <row r="15" spans="1:10" ht="13.15">
      <c r="A15" s="116" t="s">
        <v>179</v>
      </c>
      <c r="C15" s="457" t="str">
        <f>ProjectName</f>
        <v>Project Name</v>
      </c>
      <c r="D15" s="457"/>
      <c r="E15" s="457"/>
      <c r="F15" s="457"/>
      <c r="G15" s="457"/>
      <c r="I15" s="126" t="s">
        <v>1</v>
      </c>
      <c r="J15" s="367">
        <f>'A1 Contract'!I14</f>
        <v>45658</v>
      </c>
    </row>
    <row r="16" spans="1:10">
      <c r="A16" s="116" t="s">
        <v>178</v>
      </c>
      <c r="C16" s="458" t="str">
        <f>ProjectNumber</f>
        <v>Project Number</v>
      </c>
      <c r="D16" s="458"/>
      <c r="E16" s="458"/>
      <c r="F16" s="154" t="s">
        <v>2</v>
      </c>
      <c r="G16" s="459" t="str">
        <f>ProjectType</f>
        <v>DTS Only</v>
      </c>
      <c r="H16" s="459"/>
      <c r="I16" s="126" t="s">
        <v>9</v>
      </c>
      <c r="J16" s="362" t="str">
        <f>'A1 Contract'!I15</f>
        <v>Current</v>
      </c>
    </row>
    <row r="17" spans="1:10">
      <c r="A17" s="116" t="s">
        <v>16</v>
      </c>
      <c r="C17" s="459" t="str">
        <f>PreparerName</f>
        <v>Name of Preparer</v>
      </c>
      <c r="D17" s="459"/>
      <c r="E17" s="459"/>
      <c r="F17" s="154" t="s">
        <v>17</v>
      </c>
      <c r="G17" s="460" t="str">
        <f>PreparationDate</f>
        <v>Date Prepared</v>
      </c>
      <c r="H17" s="460"/>
      <c r="I17" s="231" t="s">
        <v>18</v>
      </c>
      <c r="J17" s="232" t="str">
        <f>'A1 Contract'!I16</f>
        <v>2025.0.0</v>
      </c>
    </row>
    <row r="18" spans="1:10">
      <c r="C18" s="158"/>
      <c r="D18" s="158"/>
      <c r="E18" s="158"/>
      <c r="F18" s="154"/>
      <c r="G18" s="158"/>
      <c r="H18" s="158"/>
      <c r="J18" s="158"/>
    </row>
    <row r="19" spans="1:10" ht="13.15">
      <c r="A19" s="155" t="s">
        <v>193</v>
      </c>
      <c r="B19" s="156"/>
      <c r="C19" s="166"/>
      <c r="D19" s="166"/>
      <c r="E19" s="166"/>
      <c r="F19" s="179"/>
      <c r="G19" s="166"/>
      <c r="H19" s="166"/>
      <c r="I19" s="17"/>
      <c r="J19" s="166"/>
    </row>
    <row r="20" spans="1:10">
      <c r="A20" s="116" t="str">
        <f>"From date of payment to end of 5-year notice period ("&amp;TEXT(PILONDate,"mmm yyyy")&amp;" to "&amp;TEXT(EffectiveWithoutPILON-1,"mmm yyyy")&amp;"):"</f>
        <v>From date of payment to end of 5-year notice period (Apr 2021 to Jan 1905):</v>
      </c>
      <c r="C20" s="165"/>
      <c r="D20" s="165"/>
      <c r="E20" s="165"/>
      <c r="F20" s="154"/>
      <c r="G20" s="165"/>
      <c r="H20" s="165"/>
      <c r="J20" s="165"/>
    </row>
    <row r="21" spans="1:10">
      <c r="A21" s="116" t="s">
        <v>79</v>
      </c>
      <c r="C21" s="165"/>
      <c r="D21" s="165"/>
      <c r="E21" s="165"/>
      <c r="F21" s="154"/>
      <c r="G21" s="165"/>
      <c r="H21" s="165"/>
      <c r="I21" s="461" t="e">
        <f>E46</f>
        <v>#NUM!</v>
      </c>
      <c r="J21" s="461"/>
    </row>
    <row r="22" spans="1:10">
      <c r="A22" s="116" t="s">
        <v>80</v>
      </c>
      <c r="C22" s="165"/>
      <c r="D22" s="165"/>
      <c r="E22" s="165"/>
      <c r="F22" s="154"/>
      <c r="G22" s="165"/>
      <c r="H22" s="165"/>
      <c r="I22" s="461" t="e">
        <f>I46</f>
        <v>#NUM!</v>
      </c>
      <c r="J22" s="461"/>
    </row>
    <row r="23" spans="1:10" ht="13.15">
      <c r="A23" s="155" t="s">
        <v>81</v>
      </c>
      <c r="B23" s="156"/>
      <c r="C23" s="166"/>
      <c r="D23" s="166"/>
      <c r="E23" s="166"/>
      <c r="F23" s="179"/>
      <c r="G23" s="166"/>
      <c r="H23" s="166"/>
      <c r="I23" s="462" t="e">
        <f>I21-I22</f>
        <v>#NUM!</v>
      </c>
      <c r="J23" s="462"/>
    </row>
    <row r="24" spans="1:10">
      <c r="C24" s="165"/>
      <c r="D24" s="165"/>
      <c r="E24" s="165"/>
      <c r="F24" s="154"/>
      <c r="G24" s="165"/>
      <c r="H24" s="165"/>
      <c r="J24" s="165"/>
    </row>
    <row r="25" spans="1:10">
      <c r="A25" s="116" t="s">
        <v>86</v>
      </c>
      <c r="C25" s="165"/>
      <c r="D25" s="165"/>
    </row>
    <row r="26" spans="1:10" ht="20" customHeight="1">
      <c r="A26" s="373" t="s">
        <v>200</v>
      </c>
      <c r="C26" s="158"/>
      <c r="D26" s="158"/>
      <c r="H26" s="158"/>
      <c r="J26" s="158"/>
    </row>
    <row r="27" spans="1:10" ht="13.15">
      <c r="C27" s="455" t="s">
        <v>83</v>
      </c>
      <c r="D27" s="455"/>
      <c r="E27" s="455"/>
      <c r="F27" s="455" t="s">
        <v>103</v>
      </c>
      <c r="G27" s="455"/>
      <c r="H27" s="455"/>
      <c r="J27" s="158"/>
    </row>
    <row r="28" spans="1:10" ht="13.15">
      <c r="C28" s="183" t="s">
        <v>85</v>
      </c>
      <c r="D28" s="183"/>
      <c r="E28" s="183"/>
      <c r="F28" s="183"/>
      <c r="G28" s="183"/>
      <c r="H28" s="183"/>
      <c r="J28" s="158"/>
    </row>
    <row r="29" spans="1:10">
      <c r="C29" s="184" t="s">
        <v>71</v>
      </c>
      <c r="D29" s="185"/>
      <c r="E29" s="187"/>
      <c r="F29" s="319"/>
      <c r="G29" s="185"/>
      <c r="H29" s="187"/>
      <c r="J29" s="158"/>
    </row>
    <row r="30" spans="1:10">
      <c r="C30" s="188" t="s">
        <v>120</v>
      </c>
      <c r="D30" s="189"/>
      <c r="E30" s="254"/>
      <c r="F30" s="445">
        <f>INDEX(Lookup!$C$4:$Z$4,1,MATCH($J$14,Lookup!$C$1:$Z$1,0))</f>
        <v>11164</v>
      </c>
      <c r="G30" s="446"/>
      <c r="H30" s="191" t="s">
        <v>82</v>
      </c>
      <c r="J30" s="158"/>
    </row>
    <row r="31" spans="1:10">
      <c r="C31" s="192" t="s">
        <v>121</v>
      </c>
      <c r="D31" s="193"/>
      <c r="E31" s="326"/>
      <c r="F31" s="447">
        <f>INDEX(Lookup!$C$5:$Z$5,1,MATCH($J$14,Lookup!$C$1:$Z$1,0))</f>
        <v>1.23</v>
      </c>
      <c r="G31" s="448"/>
      <c r="H31" s="195" t="s">
        <v>73</v>
      </c>
      <c r="J31" s="158"/>
    </row>
    <row r="32" spans="1:10">
      <c r="B32" s="127"/>
      <c r="C32" s="184" t="s">
        <v>72</v>
      </c>
      <c r="D32" s="185"/>
      <c r="E32" s="187"/>
      <c r="F32" s="319"/>
      <c r="G32" s="196"/>
      <c r="H32" s="187"/>
      <c r="J32" s="158"/>
    </row>
    <row r="33" spans="1:10">
      <c r="B33" s="127"/>
      <c r="C33" s="188" t="s">
        <v>122</v>
      </c>
      <c r="D33" s="189"/>
      <c r="E33" s="254"/>
      <c r="F33" s="445">
        <f>INDEX(Lookup!$C$6:$Z$6,1,MATCH($J$14,Lookup!$C$1:$Z$1,0))</f>
        <v>2945</v>
      </c>
      <c r="G33" s="446"/>
      <c r="H33" s="191" t="s">
        <v>82</v>
      </c>
      <c r="J33" s="158"/>
    </row>
    <row r="34" spans="1:10">
      <c r="C34" s="192" t="s">
        <v>123</v>
      </c>
      <c r="D34" s="193"/>
      <c r="E34" s="326"/>
      <c r="F34" s="447">
        <f>INDEX(Lookup!$C$7:$Z$7,1,MATCH($J$14,Lookup!$C$1:$Z$1,0))</f>
        <v>0.93</v>
      </c>
      <c r="G34" s="448"/>
      <c r="H34" s="195" t="s">
        <v>73</v>
      </c>
      <c r="J34" s="158"/>
    </row>
    <row r="35" spans="1:10">
      <c r="C35" s="158"/>
      <c r="D35" s="158"/>
      <c r="E35" s="158"/>
      <c r="F35" s="154"/>
      <c r="G35" s="158"/>
      <c r="H35" s="158"/>
      <c r="J35" s="158"/>
    </row>
    <row r="36" spans="1:10" ht="13.15">
      <c r="C36" s="452" t="s">
        <v>116</v>
      </c>
      <c r="D36" s="453"/>
      <c r="E36" s="454"/>
      <c r="F36" s="452" t="s">
        <v>112</v>
      </c>
      <c r="G36" s="453"/>
      <c r="H36" s="454"/>
      <c r="J36" s="165"/>
    </row>
    <row r="37" spans="1:10">
      <c r="C37" s="184" t="s">
        <v>126</v>
      </c>
      <c r="D37" s="324"/>
      <c r="E37" s="187"/>
      <c r="F37" s="327"/>
      <c r="G37" s="328">
        <f>IF(ISNUMBER(OverrideCF),OverrideCF,IF(ISNUMBER(AverageCF),AverageCF,75%))</f>
        <v>0.75</v>
      </c>
      <c r="H37" s="187"/>
      <c r="J37" s="165"/>
    </row>
    <row r="38" spans="1:10">
      <c r="C38" s="188" t="s">
        <v>124</v>
      </c>
      <c r="D38" s="252"/>
      <c r="E38" s="254"/>
      <c r="F38" s="329"/>
      <c r="G38" s="330">
        <f>IF(ISNUMBER(OverrideLF),OverrideLF,IF(ISNUMBER(AverageLF),AverageLF,65%))</f>
        <v>0.65</v>
      </c>
      <c r="H38" s="254"/>
      <c r="J38" s="165"/>
    </row>
    <row r="39" spans="1:10">
      <c r="C39" s="325" t="s">
        <v>125</v>
      </c>
      <c r="D39" s="194"/>
      <c r="E39" s="326"/>
      <c r="F39" s="331"/>
      <c r="G39" s="263">
        <f>DiscountRate</f>
        <v>0</v>
      </c>
      <c r="H39" s="326"/>
      <c r="J39" s="165"/>
    </row>
    <row r="40" spans="1:10">
      <c r="C40" s="165"/>
      <c r="D40" s="165"/>
      <c r="E40" s="165"/>
      <c r="F40" s="154"/>
      <c r="G40" s="165"/>
      <c r="H40" s="165"/>
      <c r="J40" s="165"/>
    </row>
    <row r="41" spans="1:10" ht="13.15">
      <c r="A41" s="449" t="s">
        <v>183</v>
      </c>
      <c r="B41" s="450"/>
      <c r="C41" s="450"/>
      <c r="D41" s="450"/>
      <c r="E41" s="450"/>
      <c r="F41" s="450"/>
      <c r="G41" s="450"/>
      <c r="H41" s="450"/>
      <c r="I41" s="450"/>
      <c r="J41" s="451"/>
    </row>
    <row r="42" spans="1:10" ht="13.15">
      <c r="A42" s="2"/>
      <c r="B42" s="12"/>
      <c r="C42" s="436" t="s">
        <v>76</v>
      </c>
      <c r="D42" s="437"/>
      <c r="E42" s="437"/>
      <c r="F42" s="438"/>
      <c r="G42" s="439" t="s">
        <v>75</v>
      </c>
      <c r="H42" s="440"/>
      <c r="I42" s="440"/>
      <c r="J42" s="441"/>
    </row>
    <row r="43" spans="1:10" s="115" customFormat="1" ht="13.15">
      <c r="A43" s="181"/>
      <c r="B43" s="139" t="s">
        <v>42</v>
      </c>
      <c r="C43" s="16" t="s">
        <v>61</v>
      </c>
      <c r="D43" s="146" t="s">
        <v>67</v>
      </c>
      <c r="E43" s="146" t="s">
        <v>69</v>
      </c>
      <c r="F43" s="137" t="s">
        <v>68</v>
      </c>
      <c r="G43" s="138" t="s">
        <v>61</v>
      </c>
      <c r="H43" s="146" t="s">
        <v>67</v>
      </c>
      <c r="I43" s="146" t="s">
        <v>69</v>
      </c>
      <c r="J43" s="137" t="s">
        <v>68</v>
      </c>
    </row>
    <row r="44" spans="1:10" s="115" customFormat="1" ht="13.15">
      <c r="A44" s="181" t="s">
        <v>13</v>
      </c>
      <c r="B44" s="139" t="s">
        <v>43</v>
      </c>
      <c r="C44" s="140" t="s">
        <v>31</v>
      </c>
      <c r="D44" s="141" t="s">
        <v>68</v>
      </c>
      <c r="E44" s="141" t="s">
        <v>68</v>
      </c>
      <c r="F44" s="139" t="s">
        <v>70</v>
      </c>
      <c r="G44" s="157" t="s">
        <v>31</v>
      </c>
      <c r="H44" s="141" t="s">
        <v>68</v>
      </c>
      <c r="I44" s="141" t="s">
        <v>68</v>
      </c>
      <c r="J44" s="139" t="s">
        <v>70</v>
      </c>
    </row>
    <row r="45" spans="1:10" s="115" customFormat="1" ht="13.15">
      <c r="A45" s="182"/>
      <c r="B45" s="210" t="s">
        <v>52</v>
      </c>
      <c r="C45" s="211" t="s">
        <v>52</v>
      </c>
      <c r="D45" s="212" t="s">
        <v>77</v>
      </c>
      <c r="E45" s="212" t="s">
        <v>77</v>
      </c>
      <c r="F45" s="213" t="s">
        <v>77</v>
      </c>
      <c r="G45" s="214" t="s">
        <v>52</v>
      </c>
      <c r="H45" s="212" t="s">
        <v>77</v>
      </c>
      <c r="I45" s="212" t="s">
        <v>77</v>
      </c>
      <c r="J45" s="213" t="s">
        <v>77</v>
      </c>
    </row>
    <row r="46" spans="1:10" s="174" customFormat="1" ht="13.15">
      <c r="A46" s="175" t="s">
        <v>78</v>
      </c>
      <c r="B46" s="176"/>
      <c r="C46" s="177"/>
      <c r="D46" s="176"/>
      <c r="E46" s="443" t="e">
        <f>NPV(DiscountRate/12,F47:F106)</f>
        <v>#NUM!</v>
      </c>
      <c r="F46" s="444"/>
      <c r="G46" s="178"/>
      <c r="H46" s="176"/>
      <c r="I46" s="442" t="e">
        <f>NPV(DiscountRate/12,J47:J106)</f>
        <v>#NUM!</v>
      </c>
      <c r="J46" s="443"/>
    </row>
    <row r="47" spans="1:10">
      <c r="A47" s="170" t="e">
        <f>'A4 Demands'!B48</f>
        <v>#NUM!</v>
      </c>
      <c r="B47" s="128" t="e">
        <f>'A4 Demands'!C48</f>
        <v>#NUM!</v>
      </c>
      <c r="C47" s="131" t="e">
        <f>'A4 Demands'!F48</f>
        <v>#NUM!</v>
      </c>
      <c r="D47" s="159" t="e">
        <f t="shared" ref="D47:D78" si="0">IF(A47&lt;DATE(YEAR(PILONDate),MONTH(PILONDate),1),"",(B47*G$37*F$30)+(B47*G$38*(DATE(YEAR(A47),MONTH(A47)+1,1)-A47)*24*F$31))</f>
        <v>#NUM!</v>
      </c>
      <c r="E47" s="159" t="e">
        <f t="shared" ref="E47:E78" si="1">IF(A47&lt;DATE(YEAR(PILONDate),MONTH(PILONDate),1),"",(C47*F$33)+(B47*G$38*(DATE(YEAR(A47),MONTH(A47)+1,1)-A47)*24*F$34))</f>
        <v>#NUM!</v>
      </c>
      <c r="F47" s="160" t="e">
        <f t="shared" ref="F47:F78" si="2">IF(A47&lt;DATE(YEAR(PILONDate),MONTH(PILONDate),1),"",SUM(D47:E47))</f>
        <v>#NUM!</v>
      </c>
      <c r="G47" s="6" t="e">
        <f>'A4 Demands'!K48</f>
        <v>#NUM!</v>
      </c>
      <c r="H47" s="163" t="e">
        <f t="shared" ref="H47:H78" si="3">IF(A47&lt;DATE(YEAR(PILONDate),MONTH(PILONDate),1),"",(B47*G$37*F$30)+(B47*G$38*(DATE(YEAR(A47),MONTH(A47)+1,1)-A47)*24*F$31))</f>
        <v>#NUM!</v>
      </c>
      <c r="I47" s="163" t="e">
        <f t="shared" ref="I47:I78" si="4">IF(A47&lt;DATE(YEAR(PILONDate),MONTH(PILONDate),1),"",(G47*F$33)+(B47*G$38*(DATE(YEAR(A47),MONTH(A47)+1,1)-A47)*24*F$34))</f>
        <v>#NUM!</v>
      </c>
      <c r="J47" s="160" t="e">
        <f t="shared" ref="J47:J78" si="5">IF(A47&lt;DATE(YEAR(PILONDate),MONTH(PILONDate),1),"",SUM(H47:I47))</f>
        <v>#NUM!</v>
      </c>
    </row>
    <row r="48" spans="1:10">
      <c r="A48" s="171" t="e">
        <f>'A4 Demands'!B49</f>
        <v>#NUM!</v>
      </c>
      <c r="B48" s="129" t="e">
        <f>'A4 Demands'!C49</f>
        <v>#NUM!</v>
      </c>
      <c r="C48" s="133" t="e">
        <f>'A4 Demands'!F49</f>
        <v>#NUM!</v>
      </c>
      <c r="D48" s="161" t="e">
        <f t="shared" si="0"/>
        <v>#NUM!</v>
      </c>
      <c r="E48" s="161" t="e">
        <f t="shared" si="1"/>
        <v>#NUM!</v>
      </c>
      <c r="F48" s="162" t="e">
        <f t="shared" si="2"/>
        <v>#NUM!</v>
      </c>
      <c r="G48" s="8" t="e">
        <f>'A4 Demands'!K49</f>
        <v>#NUM!</v>
      </c>
      <c r="H48" s="164" t="e">
        <f t="shared" si="3"/>
        <v>#NUM!</v>
      </c>
      <c r="I48" s="164" t="e">
        <f t="shared" si="4"/>
        <v>#NUM!</v>
      </c>
      <c r="J48" s="162" t="e">
        <f t="shared" si="5"/>
        <v>#NUM!</v>
      </c>
    </row>
    <row r="49" spans="1:10">
      <c r="A49" s="171" t="e">
        <f>'A4 Demands'!B50</f>
        <v>#NUM!</v>
      </c>
      <c r="B49" s="129" t="e">
        <f>'A4 Demands'!C50</f>
        <v>#NUM!</v>
      </c>
      <c r="C49" s="133" t="e">
        <f>'A4 Demands'!F50</f>
        <v>#NUM!</v>
      </c>
      <c r="D49" s="161" t="e">
        <f t="shared" si="0"/>
        <v>#NUM!</v>
      </c>
      <c r="E49" s="161" t="e">
        <f t="shared" si="1"/>
        <v>#NUM!</v>
      </c>
      <c r="F49" s="162" t="e">
        <f t="shared" si="2"/>
        <v>#NUM!</v>
      </c>
      <c r="G49" s="8" t="e">
        <f>'A4 Demands'!K50</f>
        <v>#NUM!</v>
      </c>
      <c r="H49" s="164" t="e">
        <f t="shared" si="3"/>
        <v>#NUM!</v>
      </c>
      <c r="I49" s="164" t="e">
        <f t="shared" si="4"/>
        <v>#NUM!</v>
      </c>
      <c r="J49" s="162" t="e">
        <f t="shared" si="5"/>
        <v>#NUM!</v>
      </c>
    </row>
    <row r="50" spans="1:10">
      <c r="A50" s="171" t="e">
        <f>'A4 Demands'!B51</f>
        <v>#NUM!</v>
      </c>
      <c r="B50" s="129" t="e">
        <f>'A4 Demands'!C51</f>
        <v>#NUM!</v>
      </c>
      <c r="C50" s="133" t="e">
        <f>'A4 Demands'!F51</f>
        <v>#NUM!</v>
      </c>
      <c r="D50" s="161" t="e">
        <f t="shared" si="0"/>
        <v>#NUM!</v>
      </c>
      <c r="E50" s="161" t="e">
        <f t="shared" si="1"/>
        <v>#NUM!</v>
      </c>
      <c r="F50" s="162" t="e">
        <f t="shared" si="2"/>
        <v>#NUM!</v>
      </c>
      <c r="G50" s="8" t="e">
        <f>'A4 Demands'!K51</f>
        <v>#NUM!</v>
      </c>
      <c r="H50" s="164" t="e">
        <f t="shared" si="3"/>
        <v>#NUM!</v>
      </c>
      <c r="I50" s="164" t="e">
        <f t="shared" si="4"/>
        <v>#NUM!</v>
      </c>
      <c r="J50" s="162" t="e">
        <f t="shared" si="5"/>
        <v>#NUM!</v>
      </c>
    </row>
    <row r="51" spans="1:10">
      <c r="A51" s="171" t="e">
        <f>'A4 Demands'!B52</f>
        <v>#NUM!</v>
      </c>
      <c r="B51" s="129" t="e">
        <f>'A4 Demands'!C52</f>
        <v>#NUM!</v>
      </c>
      <c r="C51" s="133" t="e">
        <f>'A4 Demands'!F52</f>
        <v>#NUM!</v>
      </c>
      <c r="D51" s="161" t="e">
        <f t="shared" si="0"/>
        <v>#NUM!</v>
      </c>
      <c r="E51" s="161" t="e">
        <f t="shared" si="1"/>
        <v>#NUM!</v>
      </c>
      <c r="F51" s="162" t="e">
        <f t="shared" si="2"/>
        <v>#NUM!</v>
      </c>
      <c r="G51" s="8" t="e">
        <f>'A4 Demands'!K52</f>
        <v>#NUM!</v>
      </c>
      <c r="H51" s="164" t="e">
        <f t="shared" si="3"/>
        <v>#NUM!</v>
      </c>
      <c r="I51" s="164" t="e">
        <f t="shared" si="4"/>
        <v>#NUM!</v>
      </c>
      <c r="J51" s="162" t="e">
        <f t="shared" si="5"/>
        <v>#NUM!</v>
      </c>
    </row>
    <row r="52" spans="1:10">
      <c r="A52" s="171" t="e">
        <f>'A4 Demands'!B53</f>
        <v>#NUM!</v>
      </c>
      <c r="B52" s="129" t="e">
        <f>'A4 Demands'!C53</f>
        <v>#NUM!</v>
      </c>
      <c r="C52" s="133" t="e">
        <f>'A4 Demands'!F53</f>
        <v>#NUM!</v>
      </c>
      <c r="D52" s="161" t="e">
        <f t="shared" si="0"/>
        <v>#NUM!</v>
      </c>
      <c r="E52" s="161" t="e">
        <f t="shared" si="1"/>
        <v>#NUM!</v>
      </c>
      <c r="F52" s="162" t="e">
        <f t="shared" si="2"/>
        <v>#NUM!</v>
      </c>
      <c r="G52" s="8" t="e">
        <f>'A4 Demands'!K53</f>
        <v>#NUM!</v>
      </c>
      <c r="H52" s="164" t="e">
        <f t="shared" si="3"/>
        <v>#NUM!</v>
      </c>
      <c r="I52" s="164" t="e">
        <f t="shared" si="4"/>
        <v>#NUM!</v>
      </c>
      <c r="J52" s="162" t="e">
        <f t="shared" si="5"/>
        <v>#NUM!</v>
      </c>
    </row>
    <row r="53" spans="1:10">
      <c r="A53" s="171" t="e">
        <f>'A4 Demands'!B54</f>
        <v>#NUM!</v>
      </c>
      <c r="B53" s="129" t="e">
        <f>'A4 Demands'!C54</f>
        <v>#NUM!</v>
      </c>
      <c r="C53" s="133" t="e">
        <f>'A4 Demands'!F54</f>
        <v>#NUM!</v>
      </c>
      <c r="D53" s="161" t="e">
        <f t="shared" si="0"/>
        <v>#NUM!</v>
      </c>
      <c r="E53" s="161" t="e">
        <f t="shared" si="1"/>
        <v>#NUM!</v>
      </c>
      <c r="F53" s="162" t="e">
        <f t="shared" si="2"/>
        <v>#NUM!</v>
      </c>
      <c r="G53" s="8" t="e">
        <f>'A4 Demands'!K54</f>
        <v>#NUM!</v>
      </c>
      <c r="H53" s="164" t="e">
        <f t="shared" si="3"/>
        <v>#NUM!</v>
      </c>
      <c r="I53" s="164" t="e">
        <f t="shared" si="4"/>
        <v>#NUM!</v>
      </c>
      <c r="J53" s="162" t="e">
        <f t="shared" si="5"/>
        <v>#NUM!</v>
      </c>
    </row>
    <row r="54" spans="1:10">
      <c r="A54" s="171" t="e">
        <f>'A4 Demands'!B55</f>
        <v>#NUM!</v>
      </c>
      <c r="B54" s="129" t="e">
        <f>'A4 Demands'!C55</f>
        <v>#NUM!</v>
      </c>
      <c r="C54" s="133" t="e">
        <f>'A4 Demands'!F55</f>
        <v>#NUM!</v>
      </c>
      <c r="D54" s="161" t="e">
        <f t="shared" si="0"/>
        <v>#NUM!</v>
      </c>
      <c r="E54" s="161" t="e">
        <f t="shared" si="1"/>
        <v>#NUM!</v>
      </c>
      <c r="F54" s="162" t="e">
        <f t="shared" si="2"/>
        <v>#NUM!</v>
      </c>
      <c r="G54" s="8" t="e">
        <f>'A4 Demands'!K55</f>
        <v>#NUM!</v>
      </c>
      <c r="H54" s="164" t="e">
        <f t="shared" si="3"/>
        <v>#NUM!</v>
      </c>
      <c r="I54" s="164" t="e">
        <f t="shared" si="4"/>
        <v>#NUM!</v>
      </c>
      <c r="J54" s="162" t="e">
        <f t="shared" si="5"/>
        <v>#NUM!</v>
      </c>
    </row>
    <row r="55" spans="1:10">
      <c r="A55" s="171" t="e">
        <f>'A4 Demands'!B56</f>
        <v>#NUM!</v>
      </c>
      <c r="B55" s="129" t="e">
        <f>'A4 Demands'!C56</f>
        <v>#NUM!</v>
      </c>
      <c r="C55" s="133" t="e">
        <f>'A4 Demands'!F56</f>
        <v>#NUM!</v>
      </c>
      <c r="D55" s="161" t="e">
        <f t="shared" si="0"/>
        <v>#NUM!</v>
      </c>
      <c r="E55" s="161" t="e">
        <f t="shared" si="1"/>
        <v>#NUM!</v>
      </c>
      <c r="F55" s="162" t="e">
        <f t="shared" si="2"/>
        <v>#NUM!</v>
      </c>
      <c r="G55" s="8" t="e">
        <f>'A4 Demands'!K56</f>
        <v>#NUM!</v>
      </c>
      <c r="H55" s="164" t="e">
        <f t="shared" si="3"/>
        <v>#NUM!</v>
      </c>
      <c r="I55" s="164" t="e">
        <f t="shared" si="4"/>
        <v>#NUM!</v>
      </c>
      <c r="J55" s="162" t="e">
        <f t="shared" si="5"/>
        <v>#NUM!</v>
      </c>
    </row>
    <row r="56" spans="1:10">
      <c r="A56" s="171" t="e">
        <f>'A4 Demands'!B57</f>
        <v>#NUM!</v>
      </c>
      <c r="B56" s="129" t="e">
        <f>'A4 Demands'!C57</f>
        <v>#NUM!</v>
      </c>
      <c r="C56" s="133" t="e">
        <f>'A4 Demands'!F57</f>
        <v>#NUM!</v>
      </c>
      <c r="D56" s="161" t="e">
        <f t="shared" si="0"/>
        <v>#NUM!</v>
      </c>
      <c r="E56" s="161" t="e">
        <f t="shared" si="1"/>
        <v>#NUM!</v>
      </c>
      <c r="F56" s="162" t="e">
        <f t="shared" si="2"/>
        <v>#NUM!</v>
      </c>
      <c r="G56" s="8" t="e">
        <f>'A4 Demands'!K57</f>
        <v>#NUM!</v>
      </c>
      <c r="H56" s="164" t="e">
        <f t="shared" si="3"/>
        <v>#NUM!</v>
      </c>
      <c r="I56" s="164" t="e">
        <f t="shared" si="4"/>
        <v>#NUM!</v>
      </c>
      <c r="J56" s="162" t="e">
        <f t="shared" si="5"/>
        <v>#NUM!</v>
      </c>
    </row>
    <row r="57" spans="1:10">
      <c r="A57" s="171" t="e">
        <f>'A4 Demands'!B58</f>
        <v>#NUM!</v>
      </c>
      <c r="B57" s="129" t="e">
        <f>'A4 Demands'!C58</f>
        <v>#NUM!</v>
      </c>
      <c r="C57" s="133" t="e">
        <f>'A4 Demands'!F58</f>
        <v>#NUM!</v>
      </c>
      <c r="D57" s="161" t="e">
        <f t="shared" si="0"/>
        <v>#NUM!</v>
      </c>
      <c r="E57" s="161" t="e">
        <f t="shared" si="1"/>
        <v>#NUM!</v>
      </c>
      <c r="F57" s="162" t="e">
        <f t="shared" si="2"/>
        <v>#NUM!</v>
      </c>
      <c r="G57" s="8" t="e">
        <f>'A4 Demands'!K58</f>
        <v>#NUM!</v>
      </c>
      <c r="H57" s="164" t="e">
        <f t="shared" si="3"/>
        <v>#NUM!</v>
      </c>
      <c r="I57" s="164" t="e">
        <f t="shared" si="4"/>
        <v>#NUM!</v>
      </c>
      <c r="J57" s="162" t="e">
        <f t="shared" si="5"/>
        <v>#NUM!</v>
      </c>
    </row>
    <row r="58" spans="1:10">
      <c r="A58" s="171" t="e">
        <f>'A4 Demands'!B59</f>
        <v>#NUM!</v>
      </c>
      <c r="B58" s="129" t="e">
        <f>'A4 Demands'!C59</f>
        <v>#NUM!</v>
      </c>
      <c r="C58" s="133" t="e">
        <f>'A4 Demands'!F59</f>
        <v>#NUM!</v>
      </c>
      <c r="D58" s="161" t="e">
        <f t="shared" si="0"/>
        <v>#NUM!</v>
      </c>
      <c r="E58" s="161" t="e">
        <f t="shared" si="1"/>
        <v>#NUM!</v>
      </c>
      <c r="F58" s="162" t="e">
        <f t="shared" si="2"/>
        <v>#NUM!</v>
      </c>
      <c r="G58" s="8" t="e">
        <f>'A4 Demands'!K59</f>
        <v>#NUM!</v>
      </c>
      <c r="H58" s="164" t="e">
        <f t="shared" si="3"/>
        <v>#NUM!</v>
      </c>
      <c r="I58" s="164" t="e">
        <f t="shared" si="4"/>
        <v>#NUM!</v>
      </c>
      <c r="J58" s="162" t="e">
        <f t="shared" si="5"/>
        <v>#NUM!</v>
      </c>
    </row>
    <row r="59" spans="1:10">
      <c r="A59" s="171" t="e">
        <f>'A4 Demands'!B60</f>
        <v>#NUM!</v>
      </c>
      <c r="B59" s="129" t="e">
        <f>'A4 Demands'!C60</f>
        <v>#NUM!</v>
      </c>
      <c r="C59" s="133" t="e">
        <f>'A4 Demands'!F60</f>
        <v>#NUM!</v>
      </c>
      <c r="D59" s="161" t="e">
        <f t="shared" si="0"/>
        <v>#NUM!</v>
      </c>
      <c r="E59" s="161" t="e">
        <f t="shared" si="1"/>
        <v>#NUM!</v>
      </c>
      <c r="F59" s="162" t="e">
        <f t="shared" si="2"/>
        <v>#NUM!</v>
      </c>
      <c r="G59" s="8" t="e">
        <f>'A4 Demands'!K60</f>
        <v>#NUM!</v>
      </c>
      <c r="H59" s="164" t="e">
        <f t="shared" si="3"/>
        <v>#NUM!</v>
      </c>
      <c r="I59" s="164" t="e">
        <f t="shared" si="4"/>
        <v>#NUM!</v>
      </c>
      <c r="J59" s="162" t="e">
        <f t="shared" si="5"/>
        <v>#NUM!</v>
      </c>
    </row>
    <row r="60" spans="1:10">
      <c r="A60" s="171" t="e">
        <f>'A4 Demands'!B61</f>
        <v>#NUM!</v>
      </c>
      <c r="B60" s="129" t="e">
        <f>'A4 Demands'!C61</f>
        <v>#NUM!</v>
      </c>
      <c r="C60" s="133" t="e">
        <f>'A4 Demands'!F61</f>
        <v>#NUM!</v>
      </c>
      <c r="D60" s="161" t="e">
        <f t="shared" si="0"/>
        <v>#NUM!</v>
      </c>
      <c r="E60" s="161" t="e">
        <f t="shared" si="1"/>
        <v>#NUM!</v>
      </c>
      <c r="F60" s="162" t="e">
        <f t="shared" si="2"/>
        <v>#NUM!</v>
      </c>
      <c r="G60" s="8" t="e">
        <f>'A4 Demands'!K61</f>
        <v>#NUM!</v>
      </c>
      <c r="H60" s="164" t="e">
        <f t="shared" si="3"/>
        <v>#NUM!</v>
      </c>
      <c r="I60" s="164" t="e">
        <f t="shared" si="4"/>
        <v>#NUM!</v>
      </c>
      <c r="J60" s="162" t="e">
        <f t="shared" si="5"/>
        <v>#NUM!</v>
      </c>
    </row>
    <row r="61" spans="1:10">
      <c r="A61" s="171" t="e">
        <f>'A4 Demands'!B62</f>
        <v>#NUM!</v>
      </c>
      <c r="B61" s="129" t="e">
        <f>'A4 Demands'!C62</f>
        <v>#NUM!</v>
      </c>
      <c r="C61" s="133" t="e">
        <f>'A4 Demands'!F62</f>
        <v>#NUM!</v>
      </c>
      <c r="D61" s="161" t="e">
        <f t="shared" si="0"/>
        <v>#NUM!</v>
      </c>
      <c r="E61" s="161" t="e">
        <f t="shared" si="1"/>
        <v>#NUM!</v>
      </c>
      <c r="F61" s="162" t="e">
        <f t="shared" si="2"/>
        <v>#NUM!</v>
      </c>
      <c r="G61" s="8" t="e">
        <f>'A4 Demands'!K62</f>
        <v>#NUM!</v>
      </c>
      <c r="H61" s="164" t="e">
        <f t="shared" si="3"/>
        <v>#NUM!</v>
      </c>
      <c r="I61" s="164" t="e">
        <f t="shared" si="4"/>
        <v>#NUM!</v>
      </c>
      <c r="J61" s="162" t="e">
        <f t="shared" si="5"/>
        <v>#NUM!</v>
      </c>
    </row>
    <row r="62" spans="1:10">
      <c r="A62" s="171" t="e">
        <f>'A4 Demands'!B63</f>
        <v>#NUM!</v>
      </c>
      <c r="B62" s="129" t="e">
        <f>'A4 Demands'!C63</f>
        <v>#NUM!</v>
      </c>
      <c r="C62" s="133" t="e">
        <f>'A4 Demands'!F63</f>
        <v>#NUM!</v>
      </c>
      <c r="D62" s="161" t="e">
        <f t="shared" si="0"/>
        <v>#NUM!</v>
      </c>
      <c r="E62" s="161" t="e">
        <f t="shared" si="1"/>
        <v>#NUM!</v>
      </c>
      <c r="F62" s="162" t="e">
        <f t="shared" si="2"/>
        <v>#NUM!</v>
      </c>
      <c r="G62" s="8" t="e">
        <f>'A4 Demands'!K63</f>
        <v>#NUM!</v>
      </c>
      <c r="H62" s="164" t="e">
        <f t="shared" si="3"/>
        <v>#NUM!</v>
      </c>
      <c r="I62" s="164" t="e">
        <f t="shared" si="4"/>
        <v>#NUM!</v>
      </c>
      <c r="J62" s="162" t="e">
        <f t="shared" si="5"/>
        <v>#NUM!</v>
      </c>
    </row>
    <row r="63" spans="1:10">
      <c r="A63" s="171" t="e">
        <f>'A4 Demands'!B64</f>
        <v>#NUM!</v>
      </c>
      <c r="B63" s="129" t="e">
        <f>'A4 Demands'!C64</f>
        <v>#NUM!</v>
      </c>
      <c r="C63" s="133" t="e">
        <f>'A4 Demands'!F64</f>
        <v>#NUM!</v>
      </c>
      <c r="D63" s="161" t="e">
        <f t="shared" si="0"/>
        <v>#NUM!</v>
      </c>
      <c r="E63" s="161" t="e">
        <f t="shared" si="1"/>
        <v>#NUM!</v>
      </c>
      <c r="F63" s="162" t="e">
        <f t="shared" si="2"/>
        <v>#NUM!</v>
      </c>
      <c r="G63" s="8" t="e">
        <f>'A4 Demands'!K64</f>
        <v>#NUM!</v>
      </c>
      <c r="H63" s="164" t="e">
        <f t="shared" si="3"/>
        <v>#NUM!</v>
      </c>
      <c r="I63" s="164" t="e">
        <f t="shared" si="4"/>
        <v>#NUM!</v>
      </c>
      <c r="J63" s="162" t="e">
        <f t="shared" si="5"/>
        <v>#NUM!</v>
      </c>
    </row>
    <row r="64" spans="1:10">
      <c r="A64" s="171" t="e">
        <f>'A4 Demands'!B65</f>
        <v>#NUM!</v>
      </c>
      <c r="B64" s="129" t="e">
        <f>'A4 Demands'!C65</f>
        <v>#NUM!</v>
      </c>
      <c r="C64" s="133" t="e">
        <f>'A4 Demands'!F65</f>
        <v>#NUM!</v>
      </c>
      <c r="D64" s="161" t="e">
        <f t="shared" si="0"/>
        <v>#NUM!</v>
      </c>
      <c r="E64" s="161" t="e">
        <f t="shared" si="1"/>
        <v>#NUM!</v>
      </c>
      <c r="F64" s="162" t="e">
        <f t="shared" si="2"/>
        <v>#NUM!</v>
      </c>
      <c r="G64" s="8" t="e">
        <f>'A4 Demands'!K65</f>
        <v>#NUM!</v>
      </c>
      <c r="H64" s="164" t="e">
        <f t="shared" si="3"/>
        <v>#NUM!</v>
      </c>
      <c r="I64" s="164" t="e">
        <f t="shared" si="4"/>
        <v>#NUM!</v>
      </c>
      <c r="J64" s="162" t="e">
        <f t="shared" si="5"/>
        <v>#NUM!</v>
      </c>
    </row>
    <row r="65" spans="1:10">
      <c r="A65" s="171" t="e">
        <f>'A4 Demands'!B66</f>
        <v>#NUM!</v>
      </c>
      <c r="B65" s="129" t="e">
        <f>'A4 Demands'!C66</f>
        <v>#NUM!</v>
      </c>
      <c r="C65" s="133" t="e">
        <f>'A4 Demands'!F66</f>
        <v>#NUM!</v>
      </c>
      <c r="D65" s="161" t="e">
        <f t="shared" si="0"/>
        <v>#NUM!</v>
      </c>
      <c r="E65" s="161" t="e">
        <f t="shared" si="1"/>
        <v>#NUM!</v>
      </c>
      <c r="F65" s="162" t="e">
        <f t="shared" si="2"/>
        <v>#NUM!</v>
      </c>
      <c r="G65" s="8" t="e">
        <f>'A4 Demands'!K66</f>
        <v>#NUM!</v>
      </c>
      <c r="H65" s="164" t="e">
        <f t="shared" si="3"/>
        <v>#NUM!</v>
      </c>
      <c r="I65" s="164" t="e">
        <f t="shared" si="4"/>
        <v>#NUM!</v>
      </c>
      <c r="J65" s="162" t="e">
        <f t="shared" si="5"/>
        <v>#NUM!</v>
      </c>
    </row>
    <row r="66" spans="1:10">
      <c r="A66" s="171" t="e">
        <f>'A4 Demands'!B67</f>
        <v>#NUM!</v>
      </c>
      <c r="B66" s="129" t="e">
        <f>'A4 Demands'!C67</f>
        <v>#NUM!</v>
      </c>
      <c r="C66" s="133" t="e">
        <f>'A4 Demands'!F67</f>
        <v>#NUM!</v>
      </c>
      <c r="D66" s="161" t="e">
        <f t="shared" si="0"/>
        <v>#NUM!</v>
      </c>
      <c r="E66" s="161" t="e">
        <f t="shared" si="1"/>
        <v>#NUM!</v>
      </c>
      <c r="F66" s="162" t="e">
        <f t="shared" si="2"/>
        <v>#NUM!</v>
      </c>
      <c r="G66" s="8" t="e">
        <f>'A4 Demands'!K67</f>
        <v>#NUM!</v>
      </c>
      <c r="H66" s="164" t="e">
        <f t="shared" si="3"/>
        <v>#NUM!</v>
      </c>
      <c r="I66" s="164" t="e">
        <f t="shared" si="4"/>
        <v>#NUM!</v>
      </c>
      <c r="J66" s="162" t="e">
        <f t="shared" si="5"/>
        <v>#NUM!</v>
      </c>
    </row>
    <row r="67" spans="1:10">
      <c r="A67" s="171" t="e">
        <f>'A4 Demands'!B68</f>
        <v>#NUM!</v>
      </c>
      <c r="B67" s="129" t="e">
        <f>'A4 Demands'!C68</f>
        <v>#NUM!</v>
      </c>
      <c r="C67" s="133" t="e">
        <f>'A4 Demands'!F68</f>
        <v>#NUM!</v>
      </c>
      <c r="D67" s="161" t="e">
        <f t="shared" si="0"/>
        <v>#NUM!</v>
      </c>
      <c r="E67" s="161" t="e">
        <f t="shared" si="1"/>
        <v>#NUM!</v>
      </c>
      <c r="F67" s="162" t="e">
        <f t="shared" si="2"/>
        <v>#NUM!</v>
      </c>
      <c r="G67" s="8" t="e">
        <f>'A4 Demands'!K68</f>
        <v>#NUM!</v>
      </c>
      <c r="H67" s="164" t="e">
        <f t="shared" si="3"/>
        <v>#NUM!</v>
      </c>
      <c r="I67" s="164" t="e">
        <f t="shared" si="4"/>
        <v>#NUM!</v>
      </c>
      <c r="J67" s="162" t="e">
        <f t="shared" si="5"/>
        <v>#NUM!</v>
      </c>
    </row>
    <row r="68" spans="1:10">
      <c r="A68" s="171" t="e">
        <f>'A4 Demands'!B69</f>
        <v>#NUM!</v>
      </c>
      <c r="B68" s="129" t="e">
        <f>'A4 Demands'!C69</f>
        <v>#NUM!</v>
      </c>
      <c r="C68" s="133" t="e">
        <f>'A4 Demands'!F69</f>
        <v>#NUM!</v>
      </c>
      <c r="D68" s="161" t="e">
        <f t="shared" si="0"/>
        <v>#NUM!</v>
      </c>
      <c r="E68" s="161" t="e">
        <f t="shared" si="1"/>
        <v>#NUM!</v>
      </c>
      <c r="F68" s="162" t="e">
        <f t="shared" si="2"/>
        <v>#NUM!</v>
      </c>
      <c r="G68" s="8" t="e">
        <f>'A4 Demands'!K69</f>
        <v>#NUM!</v>
      </c>
      <c r="H68" s="164" t="e">
        <f t="shared" si="3"/>
        <v>#NUM!</v>
      </c>
      <c r="I68" s="164" t="e">
        <f t="shared" si="4"/>
        <v>#NUM!</v>
      </c>
      <c r="J68" s="162" t="e">
        <f t="shared" si="5"/>
        <v>#NUM!</v>
      </c>
    </row>
    <row r="69" spans="1:10">
      <c r="A69" s="171" t="e">
        <f>'A4 Demands'!B70</f>
        <v>#NUM!</v>
      </c>
      <c r="B69" s="129" t="e">
        <f>'A4 Demands'!C70</f>
        <v>#NUM!</v>
      </c>
      <c r="C69" s="133" t="e">
        <f>'A4 Demands'!F70</f>
        <v>#NUM!</v>
      </c>
      <c r="D69" s="161" t="e">
        <f t="shared" si="0"/>
        <v>#NUM!</v>
      </c>
      <c r="E69" s="161" t="e">
        <f t="shared" si="1"/>
        <v>#NUM!</v>
      </c>
      <c r="F69" s="162" t="e">
        <f t="shared" si="2"/>
        <v>#NUM!</v>
      </c>
      <c r="G69" s="8" t="e">
        <f>'A4 Demands'!K70</f>
        <v>#NUM!</v>
      </c>
      <c r="H69" s="164" t="e">
        <f t="shared" si="3"/>
        <v>#NUM!</v>
      </c>
      <c r="I69" s="164" t="e">
        <f t="shared" si="4"/>
        <v>#NUM!</v>
      </c>
      <c r="J69" s="162" t="e">
        <f t="shared" si="5"/>
        <v>#NUM!</v>
      </c>
    </row>
    <row r="70" spans="1:10">
      <c r="A70" s="171" t="e">
        <f>'A4 Demands'!B71</f>
        <v>#NUM!</v>
      </c>
      <c r="B70" s="129" t="e">
        <f>'A4 Demands'!C71</f>
        <v>#NUM!</v>
      </c>
      <c r="C70" s="133" t="e">
        <f>'A4 Demands'!F71</f>
        <v>#NUM!</v>
      </c>
      <c r="D70" s="161" t="e">
        <f t="shared" si="0"/>
        <v>#NUM!</v>
      </c>
      <c r="E70" s="161" t="e">
        <f t="shared" si="1"/>
        <v>#NUM!</v>
      </c>
      <c r="F70" s="162" t="e">
        <f t="shared" si="2"/>
        <v>#NUM!</v>
      </c>
      <c r="G70" s="8" t="e">
        <f>'A4 Demands'!K71</f>
        <v>#NUM!</v>
      </c>
      <c r="H70" s="164" t="e">
        <f t="shared" si="3"/>
        <v>#NUM!</v>
      </c>
      <c r="I70" s="164" t="e">
        <f t="shared" si="4"/>
        <v>#NUM!</v>
      </c>
      <c r="J70" s="162" t="e">
        <f t="shared" si="5"/>
        <v>#NUM!</v>
      </c>
    </row>
    <row r="71" spans="1:10">
      <c r="A71" s="171" t="e">
        <f>'A4 Demands'!B72</f>
        <v>#NUM!</v>
      </c>
      <c r="B71" s="129" t="e">
        <f>'A4 Demands'!C72</f>
        <v>#NUM!</v>
      </c>
      <c r="C71" s="133" t="e">
        <f>'A4 Demands'!F72</f>
        <v>#NUM!</v>
      </c>
      <c r="D71" s="161" t="e">
        <f t="shared" si="0"/>
        <v>#NUM!</v>
      </c>
      <c r="E71" s="161" t="e">
        <f t="shared" si="1"/>
        <v>#NUM!</v>
      </c>
      <c r="F71" s="162" t="e">
        <f t="shared" si="2"/>
        <v>#NUM!</v>
      </c>
      <c r="G71" s="8" t="e">
        <f>'A4 Demands'!K72</f>
        <v>#NUM!</v>
      </c>
      <c r="H71" s="164" t="e">
        <f t="shared" si="3"/>
        <v>#NUM!</v>
      </c>
      <c r="I71" s="164" t="e">
        <f t="shared" si="4"/>
        <v>#NUM!</v>
      </c>
      <c r="J71" s="162" t="e">
        <f t="shared" si="5"/>
        <v>#NUM!</v>
      </c>
    </row>
    <row r="72" spans="1:10">
      <c r="A72" s="171" t="e">
        <f>'A4 Demands'!B73</f>
        <v>#NUM!</v>
      </c>
      <c r="B72" s="129" t="e">
        <f>'A4 Demands'!C73</f>
        <v>#NUM!</v>
      </c>
      <c r="C72" s="133" t="e">
        <f>'A4 Demands'!F73</f>
        <v>#NUM!</v>
      </c>
      <c r="D72" s="161" t="e">
        <f t="shared" si="0"/>
        <v>#NUM!</v>
      </c>
      <c r="E72" s="161" t="e">
        <f t="shared" si="1"/>
        <v>#NUM!</v>
      </c>
      <c r="F72" s="162" t="e">
        <f t="shared" si="2"/>
        <v>#NUM!</v>
      </c>
      <c r="G72" s="8" t="e">
        <f>'A4 Demands'!K73</f>
        <v>#NUM!</v>
      </c>
      <c r="H72" s="164" t="e">
        <f t="shared" si="3"/>
        <v>#NUM!</v>
      </c>
      <c r="I72" s="164" t="e">
        <f t="shared" si="4"/>
        <v>#NUM!</v>
      </c>
      <c r="J72" s="162" t="e">
        <f t="shared" si="5"/>
        <v>#NUM!</v>
      </c>
    </row>
    <row r="73" spans="1:10">
      <c r="A73" s="171" t="e">
        <f>'A4 Demands'!B74</f>
        <v>#NUM!</v>
      </c>
      <c r="B73" s="129" t="e">
        <f>'A4 Demands'!C74</f>
        <v>#NUM!</v>
      </c>
      <c r="C73" s="133" t="e">
        <f>'A4 Demands'!F74</f>
        <v>#NUM!</v>
      </c>
      <c r="D73" s="161" t="e">
        <f t="shared" si="0"/>
        <v>#NUM!</v>
      </c>
      <c r="E73" s="161" t="e">
        <f t="shared" si="1"/>
        <v>#NUM!</v>
      </c>
      <c r="F73" s="162" t="e">
        <f t="shared" si="2"/>
        <v>#NUM!</v>
      </c>
      <c r="G73" s="8" t="e">
        <f>'A4 Demands'!K74</f>
        <v>#NUM!</v>
      </c>
      <c r="H73" s="164" t="e">
        <f t="shared" si="3"/>
        <v>#NUM!</v>
      </c>
      <c r="I73" s="164" t="e">
        <f t="shared" si="4"/>
        <v>#NUM!</v>
      </c>
      <c r="J73" s="162" t="e">
        <f t="shared" si="5"/>
        <v>#NUM!</v>
      </c>
    </row>
    <row r="74" spans="1:10">
      <c r="A74" s="171" t="e">
        <f>'A4 Demands'!B75</f>
        <v>#NUM!</v>
      </c>
      <c r="B74" s="129" t="e">
        <f>'A4 Demands'!C75</f>
        <v>#NUM!</v>
      </c>
      <c r="C74" s="133" t="e">
        <f>'A4 Demands'!F75</f>
        <v>#NUM!</v>
      </c>
      <c r="D74" s="161" t="e">
        <f t="shared" si="0"/>
        <v>#NUM!</v>
      </c>
      <c r="E74" s="161" t="e">
        <f t="shared" si="1"/>
        <v>#NUM!</v>
      </c>
      <c r="F74" s="162" t="e">
        <f t="shared" si="2"/>
        <v>#NUM!</v>
      </c>
      <c r="G74" s="8" t="e">
        <f>'A4 Demands'!K75</f>
        <v>#NUM!</v>
      </c>
      <c r="H74" s="164" t="e">
        <f t="shared" si="3"/>
        <v>#NUM!</v>
      </c>
      <c r="I74" s="164" t="e">
        <f t="shared" si="4"/>
        <v>#NUM!</v>
      </c>
      <c r="J74" s="162" t="e">
        <f t="shared" si="5"/>
        <v>#NUM!</v>
      </c>
    </row>
    <row r="75" spans="1:10">
      <c r="A75" s="171" t="e">
        <f>'A4 Demands'!B76</f>
        <v>#NUM!</v>
      </c>
      <c r="B75" s="129" t="e">
        <f>'A4 Demands'!C76</f>
        <v>#NUM!</v>
      </c>
      <c r="C75" s="133" t="e">
        <f>'A4 Demands'!F76</f>
        <v>#NUM!</v>
      </c>
      <c r="D75" s="161" t="e">
        <f t="shared" si="0"/>
        <v>#NUM!</v>
      </c>
      <c r="E75" s="161" t="e">
        <f t="shared" si="1"/>
        <v>#NUM!</v>
      </c>
      <c r="F75" s="162" t="e">
        <f t="shared" si="2"/>
        <v>#NUM!</v>
      </c>
      <c r="G75" s="8" t="e">
        <f>'A4 Demands'!K76</f>
        <v>#NUM!</v>
      </c>
      <c r="H75" s="164" t="e">
        <f t="shared" si="3"/>
        <v>#NUM!</v>
      </c>
      <c r="I75" s="164" t="e">
        <f t="shared" si="4"/>
        <v>#NUM!</v>
      </c>
      <c r="J75" s="162" t="e">
        <f t="shared" si="5"/>
        <v>#NUM!</v>
      </c>
    </row>
    <row r="76" spans="1:10">
      <c r="A76" s="171" t="e">
        <f>'A4 Demands'!B77</f>
        <v>#NUM!</v>
      </c>
      <c r="B76" s="129" t="e">
        <f>'A4 Demands'!C77</f>
        <v>#NUM!</v>
      </c>
      <c r="C76" s="133" t="e">
        <f>'A4 Demands'!F77</f>
        <v>#NUM!</v>
      </c>
      <c r="D76" s="161" t="e">
        <f t="shared" si="0"/>
        <v>#NUM!</v>
      </c>
      <c r="E76" s="161" t="e">
        <f t="shared" si="1"/>
        <v>#NUM!</v>
      </c>
      <c r="F76" s="162" t="e">
        <f t="shared" si="2"/>
        <v>#NUM!</v>
      </c>
      <c r="G76" s="8" t="e">
        <f>'A4 Demands'!K77</f>
        <v>#NUM!</v>
      </c>
      <c r="H76" s="164" t="e">
        <f t="shared" si="3"/>
        <v>#NUM!</v>
      </c>
      <c r="I76" s="164" t="e">
        <f t="shared" si="4"/>
        <v>#NUM!</v>
      </c>
      <c r="J76" s="162" t="e">
        <f t="shared" si="5"/>
        <v>#NUM!</v>
      </c>
    </row>
    <row r="77" spans="1:10">
      <c r="A77" s="171" t="e">
        <f>'A4 Demands'!B78</f>
        <v>#NUM!</v>
      </c>
      <c r="B77" s="129" t="e">
        <f>'A4 Demands'!C78</f>
        <v>#NUM!</v>
      </c>
      <c r="C77" s="133" t="e">
        <f>'A4 Demands'!F78</f>
        <v>#NUM!</v>
      </c>
      <c r="D77" s="161" t="e">
        <f t="shared" si="0"/>
        <v>#NUM!</v>
      </c>
      <c r="E77" s="161" t="e">
        <f t="shared" si="1"/>
        <v>#NUM!</v>
      </c>
      <c r="F77" s="162" t="e">
        <f t="shared" si="2"/>
        <v>#NUM!</v>
      </c>
      <c r="G77" s="8" t="e">
        <f>'A4 Demands'!K78</f>
        <v>#NUM!</v>
      </c>
      <c r="H77" s="164" t="e">
        <f t="shared" si="3"/>
        <v>#NUM!</v>
      </c>
      <c r="I77" s="164" t="e">
        <f t="shared" si="4"/>
        <v>#NUM!</v>
      </c>
      <c r="J77" s="162" t="e">
        <f t="shared" si="5"/>
        <v>#NUM!</v>
      </c>
    </row>
    <row r="78" spans="1:10">
      <c r="A78" s="171" t="e">
        <f>'A4 Demands'!B79</f>
        <v>#NUM!</v>
      </c>
      <c r="B78" s="129" t="e">
        <f>'A4 Demands'!C79</f>
        <v>#NUM!</v>
      </c>
      <c r="C78" s="133" t="e">
        <f>'A4 Demands'!F79</f>
        <v>#NUM!</v>
      </c>
      <c r="D78" s="161" t="e">
        <f t="shared" si="0"/>
        <v>#NUM!</v>
      </c>
      <c r="E78" s="161" t="e">
        <f t="shared" si="1"/>
        <v>#NUM!</v>
      </c>
      <c r="F78" s="162" t="e">
        <f t="shared" si="2"/>
        <v>#NUM!</v>
      </c>
      <c r="G78" s="8" t="e">
        <f>'A4 Demands'!K79</f>
        <v>#NUM!</v>
      </c>
      <c r="H78" s="164" t="e">
        <f t="shared" si="3"/>
        <v>#NUM!</v>
      </c>
      <c r="I78" s="164" t="e">
        <f t="shared" si="4"/>
        <v>#NUM!</v>
      </c>
      <c r="J78" s="162" t="e">
        <f t="shared" si="5"/>
        <v>#NUM!</v>
      </c>
    </row>
    <row r="79" spans="1:10">
      <c r="A79" s="171" t="e">
        <f>'A4 Demands'!B80</f>
        <v>#NUM!</v>
      </c>
      <c r="B79" s="129" t="e">
        <f>'A4 Demands'!C80</f>
        <v>#NUM!</v>
      </c>
      <c r="C79" s="133" t="e">
        <f>'A4 Demands'!F80</f>
        <v>#NUM!</v>
      </c>
      <c r="D79" s="161" t="e">
        <f t="shared" ref="D79:D106" si="6">IF(A79&lt;DATE(YEAR(PILONDate),MONTH(PILONDate),1),"",(B79*G$37*F$30)+(B79*G$38*(DATE(YEAR(A79),MONTH(A79)+1,1)-A79)*24*F$31))</f>
        <v>#NUM!</v>
      </c>
      <c r="E79" s="161" t="e">
        <f t="shared" ref="E79:E106" si="7">IF(A79&lt;DATE(YEAR(PILONDate),MONTH(PILONDate),1),"",(C79*F$33)+(B79*G$38*(DATE(YEAR(A79),MONTH(A79)+1,1)-A79)*24*F$34))</f>
        <v>#NUM!</v>
      </c>
      <c r="F79" s="162" t="e">
        <f t="shared" ref="F79:F106" si="8">IF(A79&lt;DATE(YEAR(PILONDate),MONTH(PILONDate),1),"",SUM(D79:E79))</f>
        <v>#NUM!</v>
      </c>
      <c r="G79" s="8" t="e">
        <f>'A4 Demands'!K80</f>
        <v>#NUM!</v>
      </c>
      <c r="H79" s="164" t="e">
        <f t="shared" ref="H79:H106" si="9">IF(A79&lt;DATE(YEAR(PILONDate),MONTH(PILONDate),1),"",(B79*G$37*F$30)+(B79*G$38*(DATE(YEAR(A79),MONTH(A79)+1,1)-A79)*24*F$31))</f>
        <v>#NUM!</v>
      </c>
      <c r="I79" s="164" t="e">
        <f t="shared" ref="I79:I106" si="10">IF(A79&lt;DATE(YEAR(PILONDate),MONTH(PILONDate),1),"",(G79*F$33)+(B79*G$38*(DATE(YEAR(A79),MONTH(A79)+1,1)-A79)*24*F$34))</f>
        <v>#NUM!</v>
      </c>
      <c r="J79" s="162" t="e">
        <f t="shared" ref="J79:J106" si="11">IF(A79&lt;DATE(YEAR(PILONDate),MONTH(PILONDate),1),"",SUM(H79:I79))</f>
        <v>#NUM!</v>
      </c>
    </row>
    <row r="80" spans="1:10">
      <c r="A80" s="171" t="e">
        <f>'A4 Demands'!B81</f>
        <v>#NUM!</v>
      </c>
      <c r="B80" s="129" t="e">
        <f>'A4 Demands'!C81</f>
        <v>#NUM!</v>
      </c>
      <c r="C80" s="133" t="e">
        <f>'A4 Demands'!F81</f>
        <v>#NUM!</v>
      </c>
      <c r="D80" s="161" t="e">
        <f t="shared" si="6"/>
        <v>#NUM!</v>
      </c>
      <c r="E80" s="161" t="e">
        <f t="shared" si="7"/>
        <v>#NUM!</v>
      </c>
      <c r="F80" s="162" t="e">
        <f t="shared" si="8"/>
        <v>#NUM!</v>
      </c>
      <c r="G80" s="8" t="e">
        <f>'A4 Demands'!K81</f>
        <v>#NUM!</v>
      </c>
      <c r="H80" s="164" t="e">
        <f t="shared" si="9"/>
        <v>#NUM!</v>
      </c>
      <c r="I80" s="164" t="e">
        <f t="shared" si="10"/>
        <v>#NUM!</v>
      </c>
      <c r="J80" s="162" t="e">
        <f t="shared" si="11"/>
        <v>#NUM!</v>
      </c>
    </row>
    <row r="81" spans="1:10">
      <c r="A81" s="171" t="e">
        <f>'A4 Demands'!B82</f>
        <v>#NUM!</v>
      </c>
      <c r="B81" s="129" t="e">
        <f>'A4 Demands'!C82</f>
        <v>#NUM!</v>
      </c>
      <c r="C81" s="133" t="e">
        <f>'A4 Demands'!F82</f>
        <v>#NUM!</v>
      </c>
      <c r="D81" s="161" t="e">
        <f t="shared" si="6"/>
        <v>#NUM!</v>
      </c>
      <c r="E81" s="161" t="e">
        <f t="shared" si="7"/>
        <v>#NUM!</v>
      </c>
      <c r="F81" s="162" t="e">
        <f t="shared" si="8"/>
        <v>#NUM!</v>
      </c>
      <c r="G81" s="8" t="e">
        <f>'A4 Demands'!K82</f>
        <v>#NUM!</v>
      </c>
      <c r="H81" s="164" t="e">
        <f t="shared" si="9"/>
        <v>#NUM!</v>
      </c>
      <c r="I81" s="164" t="e">
        <f t="shared" si="10"/>
        <v>#NUM!</v>
      </c>
      <c r="J81" s="162" t="e">
        <f t="shared" si="11"/>
        <v>#NUM!</v>
      </c>
    </row>
    <row r="82" spans="1:10">
      <c r="A82" s="171" t="e">
        <f>'A4 Demands'!B83</f>
        <v>#NUM!</v>
      </c>
      <c r="B82" s="129" t="e">
        <f>'A4 Demands'!C83</f>
        <v>#NUM!</v>
      </c>
      <c r="C82" s="133" t="e">
        <f>'A4 Demands'!F83</f>
        <v>#NUM!</v>
      </c>
      <c r="D82" s="161" t="e">
        <f t="shared" si="6"/>
        <v>#NUM!</v>
      </c>
      <c r="E82" s="161" t="e">
        <f t="shared" si="7"/>
        <v>#NUM!</v>
      </c>
      <c r="F82" s="162" t="e">
        <f t="shared" si="8"/>
        <v>#NUM!</v>
      </c>
      <c r="G82" s="8" t="e">
        <f>'A4 Demands'!K83</f>
        <v>#NUM!</v>
      </c>
      <c r="H82" s="164" t="e">
        <f t="shared" si="9"/>
        <v>#NUM!</v>
      </c>
      <c r="I82" s="164" t="e">
        <f t="shared" si="10"/>
        <v>#NUM!</v>
      </c>
      <c r="J82" s="162" t="e">
        <f t="shared" si="11"/>
        <v>#NUM!</v>
      </c>
    </row>
    <row r="83" spans="1:10">
      <c r="A83" s="171" t="e">
        <f>'A4 Demands'!B84</f>
        <v>#NUM!</v>
      </c>
      <c r="B83" s="129" t="e">
        <f>'A4 Demands'!C84</f>
        <v>#NUM!</v>
      </c>
      <c r="C83" s="133" t="e">
        <f>'A4 Demands'!F84</f>
        <v>#NUM!</v>
      </c>
      <c r="D83" s="161" t="e">
        <f t="shared" si="6"/>
        <v>#NUM!</v>
      </c>
      <c r="E83" s="161" t="e">
        <f t="shared" si="7"/>
        <v>#NUM!</v>
      </c>
      <c r="F83" s="162" t="e">
        <f t="shared" si="8"/>
        <v>#NUM!</v>
      </c>
      <c r="G83" s="8" t="e">
        <f>'A4 Demands'!K84</f>
        <v>#NUM!</v>
      </c>
      <c r="H83" s="164" t="e">
        <f t="shared" si="9"/>
        <v>#NUM!</v>
      </c>
      <c r="I83" s="164" t="e">
        <f t="shared" si="10"/>
        <v>#NUM!</v>
      </c>
      <c r="J83" s="162" t="e">
        <f t="shared" si="11"/>
        <v>#NUM!</v>
      </c>
    </row>
    <row r="84" spans="1:10">
      <c r="A84" s="171" t="e">
        <f>'A4 Demands'!B85</f>
        <v>#NUM!</v>
      </c>
      <c r="B84" s="129" t="e">
        <f>'A4 Demands'!C85</f>
        <v>#NUM!</v>
      </c>
      <c r="C84" s="133" t="e">
        <f>'A4 Demands'!F85</f>
        <v>#NUM!</v>
      </c>
      <c r="D84" s="161" t="e">
        <f t="shared" si="6"/>
        <v>#NUM!</v>
      </c>
      <c r="E84" s="161" t="e">
        <f t="shared" si="7"/>
        <v>#NUM!</v>
      </c>
      <c r="F84" s="162" t="e">
        <f t="shared" si="8"/>
        <v>#NUM!</v>
      </c>
      <c r="G84" s="8" t="e">
        <f>'A4 Demands'!K85</f>
        <v>#NUM!</v>
      </c>
      <c r="H84" s="164" t="e">
        <f t="shared" si="9"/>
        <v>#NUM!</v>
      </c>
      <c r="I84" s="164" t="e">
        <f t="shared" si="10"/>
        <v>#NUM!</v>
      </c>
      <c r="J84" s="162" t="e">
        <f t="shared" si="11"/>
        <v>#NUM!</v>
      </c>
    </row>
    <row r="85" spans="1:10">
      <c r="A85" s="171" t="e">
        <f>'A4 Demands'!B86</f>
        <v>#NUM!</v>
      </c>
      <c r="B85" s="129" t="e">
        <f>'A4 Demands'!C86</f>
        <v>#NUM!</v>
      </c>
      <c r="C85" s="133" t="e">
        <f>'A4 Demands'!F86</f>
        <v>#NUM!</v>
      </c>
      <c r="D85" s="161" t="e">
        <f t="shared" si="6"/>
        <v>#NUM!</v>
      </c>
      <c r="E85" s="161" t="e">
        <f t="shared" si="7"/>
        <v>#NUM!</v>
      </c>
      <c r="F85" s="162" t="e">
        <f t="shared" si="8"/>
        <v>#NUM!</v>
      </c>
      <c r="G85" s="8" t="e">
        <f>'A4 Demands'!K86</f>
        <v>#NUM!</v>
      </c>
      <c r="H85" s="164" t="e">
        <f t="shared" si="9"/>
        <v>#NUM!</v>
      </c>
      <c r="I85" s="164" t="e">
        <f t="shared" si="10"/>
        <v>#NUM!</v>
      </c>
      <c r="J85" s="162" t="e">
        <f t="shared" si="11"/>
        <v>#NUM!</v>
      </c>
    </row>
    <row r="86" spans="1:10">
      <c r="A86" s="171" t="e">
        <f>'A4 Demands'!B87</f>
        <v>#NUM!</v>
      </c>
      <c r="B86" s="129" t="e">
        <f>'A4 Demands'!C87</f>
        <v>#NUM!</v>
      </c>
      <c r="C86" s="133" t="e">
        <f>'A4 Demands'!F87</f>
        <v>#NUM!</v>
      </c>
      <c r="D86" s="161" t="e">
        <f t="shared" si="6"/>
        <v>#NUM!</v>
      </c>
      <c r="E86" s="161" t="e">
        <f t="shared" si="7"/>
        <v>#NUM!</v>
      </c>
      <c r="F86" s="162" t="e">
        <f t="shared" si="8"/>
        <v>#NUM!</v>
      </c>
      <c r="G86" s="8" t="e">
        <f>'A4 Demands'!K87</f>
        <v>#NUM!</v>
      </c>
      <c r="H86" s="164" t="e">
        <f t="shared" si="9"/>
        <v>#NUM!</v>
      </c>
      <c r="I86" s="164" t="e">
        <f t="shared" si="10"/>
        <v>#NUM!</v>
      </c>
      <c r="J86" s="162" t="e">
        <f t="shared" si="11"/>
        <v>#NUM!</v>
      </c>
    </row>
    <row r="87" spans="1:10">
      <c r="A87" s="171" t="e">
        <f>'A4 Demands'!B88</f>
        <v>#NUM!</v>
      </c>
      <c r="B87" s="129" t="e">
        <f>'A4 Demands'!C88</f>
        <v>#NUM!</v>
      </c>
      <c r="C87" s="133" t="e">
        <f>'A4 Demands'!F88</f>
        <v>#NUM!</v>
      </c>
      <c r="D87" s="161" t="e">
        <f t="shared" si="6"/>
        <v>#NUM!</v>
      </c>
      <c r="E87" s="161" t="e">
        <f t="shared" si="7"/>
        <v>#NUM!</v>
      </c>
      <c r="F87" s="162" t="e">
        <f t="shared" si="8"/>
        <v>#NUM!</v>
      </c>
      <c r="G87" s="8" t="e">
        <f>'A4 Demands'!K88</f>
        <v>#NUM!</v>
      </c>
      <c r="H87" s="164" t="e">
        <f t="shared" si="9"/>
        <v>#NUM!</v>
      </c>
      <c r="I87" s="164" t="e">
        <f t="shared" si="10"/>
        <v>#NUM!</v>
      </c>
      <c r="J87" s="162" t="e">
        <f t="shared" si="11"/>
        <v>#NUM!</v>
      </c>
    </row>
    <row r="88" spans="1:10">
      <c r="A88" s="171" t="e">
        <f>'A4 Demands'!B89</f>
        <v>#NUM!</v>
      </c>
      <c r="B88" s="129" t="e">
        <f>'A4 Demands'!C89</f>
        <v>#NUM!</v>
      </c>
      <c r="C88" s="133" t="e">
        <f>'A4 Demands'!F89</f>
        <v>#NUM!</v>
      </c>
      <c r="D88" s="161" t="e">
        <f t="shared" si="6"/>
        <v>#NUM!</v>
      </c>
      <c r="E88" s="161" t="e">
        <f t="shared" si="7"/>
        <v>#NUM!</v>
      </c>
      <c r="F88" s="162" t="e">
        <f t="shared" si="8"/>
        <v>#NUM!</v>
      </c>
      <c r="G88" s="8" t="e">
        <f>'A4 Demands'!K89</f>
        <v>#NUM!</v>
      </c>
      <c r="H88" s="164" t="e">
        <f t="shared" si="9"/>
        <v>#NUM!</v>
      </c>
      <c r="I88" s="164" t="e">
        <f t="shared" si="10"/>
        <v>#NUM!</v>
      </c>
      <c r="J88" s="162" t="e">
        <f t="shared" si="11"/>
        <v>#NUM!</v>
      </c>
    </row>
    <row r="89" spans="1:10">
      <c r="A89" s="171" t="e">
        <f>'A4 Demands'!B90</f>
        <v>#NUM!</v>
      </c>
      <c r="B89" s="129" t="e">
        <f>'A4 Demands'!C90</f>
        <v>#NUM!</v>
      </c>
      <c r="C89" s="133" t="e">
        <f>'A4 Demands'!F90</f>
        <v>#NUM!</v>
      </c>
      <c r="D89" s="161" t="e">
        <f t="shared" si="6"/>
        <v>#NUM!</v>
      </c>
      <c r="E89" s="161" t="e">
        <f t="shared" si="7"/>
        <v>#NUM!</v>
      </c>
      <c r="F89" s="162" t="e">
        <f t="shared" si="8"/>
        <v>#NUM!</v>
      </c>
      <c r="G89" s="8" t="e">
        <f>'A4 Demands'!K90</f>
        <v>#NUM!</v>
      </c>
      <c r="H89" s="164" t="e">
        <f t="shared" si="9"/>
        <v>#NUM!</v>
      </c>
      <c r="I89" s="164" t="e">
        <f t="shared" si="10"/>
        <v>#NUM!</v>
      </c>
      <c r="J89" s="162" t="e">
        <f t="shared" si="11"/>
        <v>#NUM!</v>
      </c>
    </row>
    <row r="90" spans="1:10">
      <c r="A90" s="171" t="e">
        <f>'A4 Demands'!B91</f>
        <v>#NUM!</v>
      </c>
      <c r="B90" s="129" t="e">
        <f>'A4 Demands'!C91</f>
        <v>#NUM!</v>
      </c>
      <c r="C90" s="133" t="e">
        <f>'A4 Demands'!F91</f>
        <v>#NUM!</v>
      </c>
      <c r="D90" s="161" t="e">
        <f t="shared" si="6"/>
        <v>#NUM!</v>
      </c>
      <c r="E90" s="161" t="e">
        <f t="shared" si="7"/>
        <v>#NUM!</v>
      </c>
      <c r="F90" s="162" t="e">
        <f t="shared" si="8"/>
        <v>#NUM!</v>
      </c>
      <c r="G90" s="8" t="e">
        <f>'A4 Demands'!K91</f>
        <v>#NUM!</v>
      </c>
      <c r="H90" s="164" t="e">
        <f t="shared" si="9"/>
        <v>#NUM!</v>
      </c>
      <c r="I90" s="164" t="e">
        <f t="shared" si="10"/>
        <v>#NUM!</v>
      </c>
      <c r="J90" s="162" t="e">
        <f t="shared" si="11"/>
        <v>#NUM!</v>
      </c>
    </row>
    <row r="91" spans="1:10">
      <c r="A91" s="171" t="e">
        <f>'A4 Demands'!B92</f>
        <v>#NUM!</v>
      </c>
      <c r="B91" s="129" t="e">
        <f>'A4 Demands'!C92</f>
        <v>#NUM!</v>
      </c>
      <c r="C91" s="133" t="e">
        <f>'A4 Demands'!F92</f>
        <v>#NUM!</v>
      </c>
      <c r="D91" s="161" t="e">
        <f t="shared" si="6"/>
        <v>#NUM!</v>
      </c>
      <c r="E91" s="161" t="e">
        <f t="shared" si="7"/>
        <v>#NUM!</v>
      </c>
      <c r="F91" s="162" t="e">
        <f t="shared" si="8"/>
        <v>#NUM!</v>
      </c>
      <c r="G91" s="8" t="e">
        <f>'A4 Demands'!K92</f>
        <v>#NUM!</v>
      </c>
      <c r="H91" s="164" t="e">
        <f t="shared" si="9"/>
        <v>#NUM!</v>
      </c>
      <c r="I91" s="164" t="e">
        <f t="shared" si="10"/>
        <v>#NUM!</v>
      </c>
      <c r="J91" s="162" t="e">
        <f t="shared" si="11"/>
        <v>#NUM!</v>
      </c>
    </row>
    <row r="92" spans="1:10">
      <c r="A92" s="171" t="e">
        <f>'A4 Demands'!B93</f>
        <v>#NUM!</v>
      </c>
      <c r="B92" s="129" t="e">
        <f>'A4 Demands'!C93</f>
        <v>#NUM!</v>
      </c>
      <c r="C92" s="133" t="e">
        <f>'A4 Demands'!F93</f>
        <v>#NUM!</v>
      </c>
      <c r="D92" s="161" t="e">
        <f t="shared" si="6"/>
        <v>#NUM!</v>
      </c>
      <c r="E92" s="161" t="e">
        <f t="shared" si="7"/>
        <v>#NUM!</v>
      </c>
      <c r="F92" s="162" t="e">
        <f t="shared" si="8"/>
        <v>#NUM!</v>
      </c>
      <c r="G92" s="8" t="e">
        <f>'A4 Demands'!K93</f>
        <v>#NUM!</v>
      </c>
      <c r="H92" s="164" t="e">
        <f t="shared" si="9"/>
        <v>#NUM!</v>
      </c>
      <c r="I92" s="164" t="e">
        <f t="shared" si="10"/>
        <v>#NUM!</v>
      </c>
      <c r="J92" s="162" t="e">
        <f t="shared" si="11"/>
        <v>#NUM!</v>
      </c>
    </row>
    <row r="93" spans="1:10">
      <c r="A93" s="171" t="e">
        <f>'A4 Demands'!B94</f>
        <v>#NUM!</v>
      </c>
      <c r="B93" s="129" t="e">
        <f>'A4 Demands'!C94</f>
        <v>#NUM!</v>
      </c>
      <c r="C93" s="133" t="e">
        <f>'A4 Demands'!F94</f>
        <v>#NUM!</v>
      </c>
      <c r="D93" s="161" t="e">
        <f t="shared" si="6"/>
        <v>#NUM!</v>
      </c>
      <c r="E93" s="161" t="e">
        <f t="shared" si="7"/>
        <v>#NUM!</v>
      </c>
      <c r="F93" s="162" t="e">
        <f t="shared" si="8"/>
        <v>#NUM!</v>
      </c>
      <c r="G93" s="8" t="e">
        <f>'A4 Demands'!K94</f>
        <v>#NUM!</v>
      </c>
      <c r="H93" s="164" t="e">
        <f t="shared" si="9"/>
        <v>#NUM!</v>
      </c>
      <c r="I93" s="164" t="e">
        <f t="shared" si="10"/>
        <v>#NUM!</v>
      </c>
      <c r="J93" s="162" t="e">
        <f t="shared" si="11"/>
        <v>#NUM!</v>
      </c>
    </row>
    <row r="94" spans="1:10">
      <c r="A94" s="171" t="e">
        <f>'A4 Demands'!B95</f>
        <v>#NUM!</v>
      </c>
      <c r="B94" s="129" t="e">
        <f>'A4 Demands'!C95</f>
        <v>#NUM!</v>
      </c>
      <c r="C94" s="133" t="e">
        <f>'A4 Demands'!F95</f>
        <v>#NUM!</v>
      </c>
      <c r="D94" s="161" t="e">
        <f t="shared" si="6"/>
        <v>#NUM!</v>
      </c>
      <c r="E94" s="161" t="e">
        <f t="shared" si="7"/>
        <v>#NUM!</v>
      </c>
      <c r="F94" s="162" t="e">
        <f t="shared" si="8"/>
        <v>#NUM!</v>
      </c>
      <c r="G94" s="8" t="e">
        <f>'A4 Demands'!K95</f>
        <v>#NUM!</v>
      </c>
      <c r="H94" s="164" t="e">
        <f t="shared" si="9"/>
        <v>#NUM!</v>
      </c>
      <c r="I94" s="164" t="e">
        <f t="shared" si="10"/>
        <v>#NUM!</v>
      </c>
      <c r="J94" s="162" t="e">
        <f t="shared" si="11"/>
        <v>#NUM!</v>
      </c>
    </row>
    <row r="95" spans="1:10">
      <c r="A95" s="171" t="e">
        <f>'A4 Demands'!B96</f>
        <v>#NUM!</v>
      </c>
      <c r="B95" s="129" t="e">
        <f>'A4 Demands'!C96</f>
        <v>#NUM!</v>
      </c>
      <c r="C95" s="133" t="e">
        <f>'A4 Demands'!F96</f>
        <v>#NUM!</v>
      </c>
      <c r="D95" s="161" t="e">
        <f t="shared" si="6"/>
        <v>#NUM!</v>
      </c>
      <c r="E95" s="161" t="e">
        <f t="shared" si="7"/>
        <v>#NUM!</v>
      </c>
      <c r="F95" s="162" t="e">
        <f t="shared" si="8"/>
        <v>#NUM!</v>
      </c>
      <c r="G95" s="8" t="e">
        <f>'A4 Demands'!K96</f>
        <v>#NUM!</v>
      </c>
      <c r="H95" s="164" t="e">
        <f t="shared" si="9"/>
        <v>#NUM!</v>
      </c>
      <c r="I95" s="164" t="e">
        <f t="shared" si="10"/>
        <v>#NUM!</v>
      </c>
      <c r="J95" s="162" t="e">
        <f t="shared" si="11"/>
        <v>#NUM!</v>
      </c>
    </row>
    <row r="96" spans="1:10">
      <c r="A96" s="171" t="e">
        <f>'A4 Demands'!B97</f>
        <v>#NUM!</v>
      </c>
      <c r="B96" s="129" t="e">
        <f>'A4 Demands'!C97</f>
        <v>#NUM!</v>
      </c>
      <c r="C96" s="133" t="e">
        <f>'A4 Demands'!F97</f>
        <v>#NUM!</v>
      </c>
      <c r="D96" s="161" t="e">
        <f t="shared" si="6"/>
        <v>#NUM!</v>
      </c>
      <c r="E96" s="161" t="e">
        <f t="shared" si="7"/>
        <v>#NUM!</v>
      </c>
      <c r="F96" s="162" t="e">
        <f t="shared" si="8"/>
        <v>#NUM!</v>
      </c>
      <c r="G96" s="8" t="e">
        <f>'A4 Demands'!K97</f>
        <v>#NUM!</v>
      </c>
      <c r="H96" s="164" t="e">
        <f t="shared" si="9"/>
        <v>#NUM!</v>
      </c>
      <c r="I96" s="164" t="e">
        <f t="shared" si="10"/>
        <v>#NUM!</v>
      </c>
      <c r="J96" s="162" t="e">
        <f t="shared" si="11"/>
        <v>#NUM!</v>
      </c>
    </row>
    <row r="97" spans="1:10">
      <c r="A97" s="171" t="e">
        <f>'A4 Demands'!B98</f>
        <v>#NUM!</v>
      </c>
      <c r="B97" s="129" t="e">
        <f>'A4 Demands'!C98</f>
        <v>#NUM!</v>
      </c>
      <c r="C97" s="133" t="e">
        <f>'A4 Demands'!F98</f>
        <v>#NUM!</v>
      </c>
      <c r="D97" s="161" t="e">
        <f t="shared" si="6"/>
        <v>#NUM!</v>
      </c>
      <c r="E97" s="161" t="e">
        <f t="shared" si="7"/>
        <v>#NUM!</v>
      </c>
      <c r="F97" s="162" t="e">
        <f t="shared" si="8"/>
        <v>#NUM!</v>
      </c>
      <c r="G97" s="8" t="e">
        <f>'A4 Demands'!K98</f>
        <v>#NUM!</v>
      </c>
      <c r="H97" s="164" t="e">
        <f t="shared" si="9"/>
        <v>#NUM!</v>
      </c>
      <c r="I97" s="164" t="e">
        <f t="shared" si="10"/>
        <v>#NUM!</v>
      </c>
      <c r="J97" s="162" t="e">
        <f t="shared" si="11"/>
        <v>#NUM!</v>
      </c>
    </row>
    <row r="98" spans="1:10">
      <c r="A98" s="171" t="e">
        <f>'A4 Demands'!B99</f>
        <v>#NUM!</v>
      </c>
      <c r="B98" s="129" t="e">
        <f>'A4 Demands'!C99</f>
        <v>#NUM!</v>
      </c>
      <c r="C98" s="133" t="e">
        <f>'A4 Demands'!F99</f>
        <v>#NUM!</v>
      </c>
      <c r="D98" s="161" t="e">
        <f t="shared" si="6"/>
        <v>#NUM!</v>
      </c>
      <c r="E98" s="161" t="e">
        <f t="shared" si="7"/>
        <v>#NUM!</v>
      </c>
      <c r="F98" s="162" t="e">
        <f t="shared" si="8"/>
        <v>#NUM!</v>
      </c>
      <c r="G98" s="8" t="e">
        <f>'A4 Demands'!K99</f>
        <v>#NUM!</v>
      </c>
      <c r="H98" s="164" t="e">
        <f t="shared" si="9"/>
        <v>#NUM!</v>
      </c>
      <c r="I98" s="164" t="e">
        <f t="shared" si="10"/>
        <v>#NUM!</v>
      </c>
      <c r="J98" s="162" t="e">
        <f t="shared" si="11"/>
        <v>#NUM!</v>
      </c>
    </row>
    <row r="99" spans="1:10">
      <c r="A99" s="171" t="e">
        <f>'A4 Demands'!B100</f>
        <v>#NUM!</v>
      </c>
      <c r="B99" s="129" t="e">
        <f>'A4 Demands'!C100</f>
        <v>#NUM!</v>
      </c>
      <c r="C99" s="133" t="e">
        <f>'A4 Demands'!F100</f>
        <v>#NUM!</v>
      </c>
      <c r="D99" s="161" t="e">
        <f t="shared" si="6"/>
        <v>#NUM!</v>
      </c>
      <c r="E99" s="161" t="e">
        <f t="shared" si="7"/>
        <v>#NUM!</v>
      </c>
      <c r="F99" s="162" t="e">
        <f t="shared" si="8"/>
        <v>#NUM!</v>
      </c>
      <c r="G99" s="8" t="e">
        <f>'A4 Demands'!K100</f>
        <v>#NUM!</v>
      </c>
      <c r="H99" s="164" t="e">
        <f t="shared" si="9"/>
        <v>#NUM!</v>
      </c>
      <c r="I99" s="164" t="e">
        <f t="shared" si="10"/>
        <v>#NUM!</v>
      </c>
      <c r="J99" s="162" t="e">
        <f t="shared" si="11"/>
        <v>#NUM!</v>
      </c>
    </row>
    <row r="100" spans="1:10">
      <c r="A100" s="171" t="e">
        <f>'A4 Demands'!B101</f>
        <v>#NUM!</v>
      </c>
      <c r="B100" s="129" t="e">
        <f>'A4 Demands'!C101</f>
        <v>#NUM!</v>
      </c>
      <c r="C100" s="133" t="e">
        <f>'A4 Demands'!F101</f>
        <v>#NUM!</v>
      </c>
      <c r="D100" s="161" t="e">
        <f t="shared" si="6"/>
        <v>#NUM!</v>
      </c>
      <c r="E100" s="161" t="e">
        <f t="shared" si="7"/>
        <v>#NUM!</v>
      </c>
      <c r="F100" s="162" t="e">
        <f t="shared" si="8"/>
        <v>#NUM!</v>
      </c>
      <c r="G100" s="8" t="e">
        <f>'A4 Demands'!K101</f>
        <v>#NUM!</v>
      </c>
      <c r="H100" s="164" t="e">
        <f t="shared" si="9"/>
        <v>#NUM!</v>
      </c>
      <c r="I100" s="164" t="e">
        <f t="shared" si="10"/>
        <v>#NUM!</v>
      </c>
      <c r="J100" s="162" t="e">
        <f t="shared" si="11"/>
        <v>#NUM!</v>
      </c>
    </row>
    <row r="101" spans="1:10">
      <c r="A101" s="171" t="e">
        <f>'A4 Demands'!B102</f>
        <v>#NUM!</v>
      </c>
      <c r="B101" s="129" t="e">
        <f>'A4 Demands'!C102</f>
        <v>#NUM!</v>
      </c>
      <c r="C101" s="133" t="e">
        <f>'A4 Demands'!F102</f>
        <v>#NUM!</v>
      </c>
      <c r="D101" s="161" t="e">
        <f t="shared" si="6"/>
        <v>#NUM!</v>
      </c>
      <c r="E101" s="161" t="e">
        <f t="shared" si="7"/>
        <v>#NUM!</v>
      </c>
      <c r="F101" s="162" t="e">
        <f t="shared" si="8"/>
        <v>#NUM!</v>
      </c>
      <c r="G101" s="8" t="e">
        <f>'A4 Demands'!K102</f>
        <v>#NUM!</v>
      </c>
      <c r="H101" s="164" t="e">
        <f t="shared" si="9"/>
        <v>#NUM!</v>
      </c>
      <c r="I101" s="164" t="e">
        <f t="shared" si="10"/>
        <v>#NUM!</v>
      </c>
      <c r="J101" s="162" t="e">
        <f t="shared" si="11"/>
        <v>#NUM!</v>
      </c>
    </row>
    <row r="102" spans="1:10">
      <c r="A102" s="171" t="e">
        <f>'A4 Demands'!B103</f>
        <v>#NUM!</v>
      </c>
      <c r="B102" s="129" t="e">
        <f>'A4 Demands'!C103</f>
        <v>#NUM!</v>
      </c>
      <c r="C102" s="133" t="e">
        <f>'A4 Demands'!F103</f>
        <v>#NUM!</v>
      </c>
      <c r="D102" s="161" t="e">
        <f t="shared" si="6"/>
        <v>#NUM!</v>
      </c>
      <c r="E102" s="161" t="e">
        <f t="shared" si="7"/>
        <v>#NUM!</v>
      </c>
      <c r="F102" s="162" t="e">
        <f t="shared" si="8"/>
        <v>#NUM!</v>
      </c>
      <c r="G102" s="8" t="e">
        <f>'A4 Demands'!K103</f>
        <v>#NUM!</v>
      </c>
      <c r="H102" s="164" t="e">
        <f t="shared" si="9"/>
        <v>#NUM!</v>
      </c>
      <c r="I102" s="164" t="e">
        <f t="shared" si="10"/>
        <v>#NUM!</v>
      </c>
      <c r="J102" s="162" t="e">
        <f t="shared" si="11"/>
        <v>#NUM!</v>
      </c>
    </row>
    <row r="103" spans="1:10">
      <c r="A103" s="171" t="e">
        <f>'A4 Demands'!B104</f>
        <v>#NUM!</v>
      </c>
      <c r="B103" s="129" t="e">
        <f>'A4 Demands'!C104</f>
        <v>#NUM!</v>
      </c>
      <c r="C103" s="133" t="e">
        <f>'A4 Demands'!F104</f>
        <v>#NUM!</v>
      </c>
      <c r="D103" s="161" t="e">
        <f t="shared" si="6"/>
        <v>#NUM!</v>
      </c>
      <c r="E103" s="161" t="e">
        <f t="shared" si="7"/>
        <v>#NUM!</v>
      </c>
      <c r="F103" s="162" t="e">
        <f t="shared" si="8"/>
        <v>#NUM!</v>
      </c>
      <c r="G103" s="8" t="e">
        <f>'A4 Demands'!K104</f>
        <v>#NUM!</v>
      </c>
      <c r="H103" s="164" t="e">
        <f t="shared" si="9"/>
        <v>#NUM!</v>
      </c>
      <c r="I103" s="164" t="e">
        <f t="shared" si="10"/>
        <v>#NUM!</v>
      </c>
      <c r="J103" s="162" t="e">
        <f t="shared" si="11"/>
        <v>#NUM!</v>
      </c>
    </row>
    <row r="104" spans="1:10">
      <c r="A104" s="171" t="e">
        <f>'A4 Demands'!B105</f>
        <v>#NUM!</v>
      </c>
      <c r="B104" s="129" t="e">
        <f>'A4 Demands'!C105</f>
        <v>#NUM!</v>
      </c>
      <c r="C104" s="133" t="e">
        <f>'A4 Demands'!F105</f>
        <v>#NUM!</v>
      </c>
      <c r="D104" s="161" t="e">
        <f t="shared" si="6"/>
        <v>#NUM!</v>
      </c>
      <c r="E104" s="161" t="e">
        <f t="shared" si="7"/>
        <v>#NUM!</v>
      </c>
      <c r="F104" s="162" t="e">
        <f t="shared" si="8"/>
        <v>#NUM!</v>
      </c>
      <c r="G104" s="8" t="e">
        <f>'A4 Demands'!K105</f>
        <v>#NUM!</v>
      </c>
      <c r="H104" s="164" t="e">
        <f t="shared" si="9"/>
        <v>#NUM!</v>
      </c>
      <c r="I104" s="164" t="e">
        <f t="shared" si="10"/>
        <v>#NUM!</v>
      </c>
      <c r="J104" s="162" t="e">
        <f t="shared" si="11"/>
        <v>#NUM!</v>
      </c>
    </row>
    <row r="105" spans="1:10">
      <c r="A105" s="171" t="e">
        <f>'A4 Demands'!B106</f>
        <v>#NUM!</v>
      </c>
      <c r="B105" s="129" t="e">
        <f>'A4 Demands'!C106</f>
        <v>#NUM!</v>
      </c>
      <c r="C105" s="133" t="e">
        <f>'A4 Demands'!F106</f>
        <v>#NUM!</v>
      </c>
      <c r="D105" s="161" t="e">
        <f t="shared" si="6"/>
        <v>#NUM!</v>
      </c>
      <c r="E105" s="161" t="e">
        <f t="shared" si="7"/>
        <v>#NUM!</v>
      </c>
      <c r="F105" s="162" t="e">
        <f t="shared" si="8"/>
        <v>#NUM!</v>
      </c>
      <c r="G105" s="8" t="e">
        <f>'A4 Demands'!K106</f>
        <v>#NUM!</v>
      </c>
      <c r="H105" s="164" t="e">
        <f t="shared" si="9"/>
        <v>#NUM!</v>
      </c>
      <c r="I105" s="164" t="e">
        <f t="shared" si="10"/>
        <v>#NUM!</v>
      </c>
      <c r="J105" s="162" t="e">
        <f t="shared" si="11"/>
        <v>#NUM!</v>
      </c>
    </row>
    <row r="106" spans="1:10">
      <c r="A106" s="172" t="e">
        <f>'A4 Demands'!B107</f>
        <v>#NUM!</v>
      </c>
      <c r="B106" s="130" t="e">
        <f>'A4 Demands'!C107</f>
        <v>#NUM!</v>
      </c>
      <c r="C106" s="135" t="e">
        <f>'A4 Demands'!F107</f>
        <v>#NUM!</v>
      </c>
      <c r="D106" s="167" t="e">
        <f t="shared" si="6"/>
        <v>#NUM!</v>
      </c>
      <c r="E106" s="167" t="e">
        <f t="shared" si="7"/>
        <v>#NUM!</v>
      </c>
      <c r="F106" s="168" t="e">
        <f t="shared" si="8"/>
        <v>#NUM!</v>
      </c>
      <c r="G106" s="10" t="e">
        <f>'A4 Demands'!K107</f>
        <v>#NUM!</v>
      </c>
      <c r="H106" s="169" t="e">
        <f t="shared" si="9"/>
        <v>#NUM!</v>
      </c>
      <c r="I106" s="169" t="e">
        <f t="shared" si="10"/>
        <v>#NUM!</v>
      </c>
      <c r="J106" s="168" t="e">
        <f t="shared" si="11"/>
        <v>#NUM!</v>
      </c>
    </row>
  </sheetData>
  <mergeCells count="23">
    <mergeCell ref="F27:H27"/>
    <mergeCell ref="C27:E27"/>
    <mergeCell ref="A12:J12"/>
    <mergeCell ref="C14:G14"/>
    <mergeCell ref="C15:G15"/>
    <mergeCell ref="C16:E16"/>
    <mergeCell ref="G16:H16"/>
    <mergeCell ref="C17:E17"/>
    <mergeCell ref="G17:H17"/>
    <mergeCell ref="I21:J21"/>
    <mergeCell ref="I22:J22"/>
    <mergeCell ref="I23:J23"/>
    <mergeCell ref="C42:F42"/>
    <mergeCell ref="G42:J42"/>
    <mergeCell ref="I46:J46"/>
    <mergeCell ref="E46:F46"/>
    <mergeCell ref="F30:G30"/>
    <mergeCell ref="F31:G31"/>
    <mergeCell ref="A41:J41"/>
    <mergeCell ref="F33:G33"/>
    <mergeCell ref="F34:G34"/>
    <mergeCell ref="C36:E36"/>
    <mergeCell ref="F36:H36"/>
  </mergeCells>
  <pageMargins left="0.51181102362204722" right="0.51181102362204722" top="0.23622047244094491" bottom="0.51181102362204722" header="0.31496062992125984" footer="0.31496062992125984"/>
  <pageSetup scale="54" orientation="portrait" r:id="rId1"/>
  <headerFooter alignWithMargins="0">
    <oddFooter>&amp;L&amp;8Attachment to ISO Tariff - PILON Calculator (AESO ID No. 2025-010T)
Filename: &amp;F — Page &amp;P of &amp;N&amp;R&amp;8Proprietary When Completed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8:M107"/>
  <sheetViews>
    <sheetView showGridLines="0" zoomScaleNormal="100" workbookViewId="0">
      <selection activeCell="A8" sqref="A8"/>
    </sheetView>
  </sheetViews>
  <sheetFormatPr defaultColWidth="8.6640625" defaultRowHeight="12.75"/>
  <cols>
    <col min="1" max="1" width="6" style="116" customWidth="1"/>
    <col min="2" max="2" width="7.6640625" style="125" customWidth="1"/>
    <col min="3" max="4" width="8.53125" style="126" customWidth="1"/>
    <col min="5" max="5" width="8.53125" style="127" customWidth="1"/>
    <col min="6" max="9" width="8.53125" style="126" customWidth="1"/>
    <col min="10" max="10" width="11.6640625" style="126" customWidth="1"/>
    <col min="11" max="11" width="8.53125" style="126" customWidth="1"/>
    <col min="12" max="16384" width="8.6640625" style="127"/>
  </cols>
  <sheetData>
    <row r="8" spans="1:11" ht="22.15">
      <c r="A8" s="474" t="s">
        <v>222</v>
      </c>
    </row>
    <row r="9" spans="1:11" ht="22.15">
      <c r="A9" s="474" t="s">
        <v>223</v>
      </c>
    </row>
    <row r="10" spans="1:11" ht="22.15">
      <c r="A10" s="474" t="s">
        <v>224</v>
      </c>
    </row>
    <row r="12" spans="1:11" ht="15">
      <c r="A12" s="463" t="s">
        <v>192</v>
      </c>
      <c r="B12" s="463"/>
      <c r="C12" s="463"/>
      <c r="D12" s="463"/>
      <c r="E12" s="463"/>
      <c r="F12" s="463"/>
      <c r="G12" s="463"/>
      <c r="H12" s="463"/>
      <c r="I12" s="463"/>
      <c r="J12" s="463"/>
      <c r="K12" s="463"/>
    </row>
    <row r="13" spans="1:11" ht="8" customHeight="1"/>
    <row r="14" spans="1:11" ht="13.15">
      <c r="A14" s="116" t="s">
        <v>3</v>
      </c>
      <c r="C14" s="457" t="str">
        <f>ParticipantName</f>
        <v>Name of Market Participant</v>
      </c>
      <c r="D14" s="457"/>
      <c r="E14" s="457"/>
      <c r="F14" s="457"/>
      <c r="G14" s="457"/>
      <c r="I14" s="126" t="s">
        <v>0</v>
      </c>
      <c r="J14" s="459" t="str">
        <f>'A1 Contract'!I13</f>
        <v>AESO 2025</v>
      </c>
      <c r="K14" s="459"/>
    </row>
    <row r="15" spans="1:11" ht="13.15">
      <c r="A15" s="116" t="s">
        <v>179</v>
      </c>
      <c r="C15" s="457" t="str">
        <f>ProjectName</f>
        <v>Project Name</v>
      </c>
      <c r="D15" s="457"/>
      <c r="E15" s="457"/>
      <c r="F15" s="457"/>
      <c r="G15" s="457"/>
      <c r="I15" s="126" t="s">
        <v>1</v>
      </c>
      <c r="J15" s="367">
        <f>'A1 Contract'!I14</f>
        <v>45658</v>
      </c>
      <c r="K15" s="362"/>
    </row>
    <row r="16" spans="1:11">
      <c r="A16" s="116" t="s">
        <v>178</v>
      </c>
      <c r="C16" s="458" t="str">
        <f>ProjectNumber</f>
        <v>Project Number</v>
      </c>
      <c r="D16" s="458"/>
      <c r="E16" s="154" t="s">
        <v>2</v>
      </c>
      <c r="F16" s="459" t="str">
        <f>ProjectType</f>
        <v>DTS Only</v>
      </c>
      <c r="G16" s="459"/>
      <c r="H16" s="459"/>
      <c r="I16" s="126" t="s">
        <v>9</v>
      </c>
      <c r="J16" s="362" t="str">
        <f>'A1 Contract'!I15</f>
        <v>Current</v>
      </c>
      <c r="K16" s="362"/>
    </row>
    <row r="17" spans="1:11">
      <c r="A17" s="116" t="s">
        <v>16</v>
      </c>
      <c r="C17" s="459" t="str">
        <f>PreparerName</f>
        <v>Name of Preparer</v>
      </c>
      <c r="D17" s="459"/>
      <c r="E17" s="154" t="s">
        <v>17</v>
      </c>
      <c r="F17" s="460" t="str">
        <f>PreparationDate</f>
        <v>Date Prepared</v>
      </c>
      <c r="G17" s="460"/>
      <c r="H17" s="460"/>
      <c r="I17" s="231" t="s">
        <v>18</v>
      </c>
      <c r="J17" s="464" t="str">
        <f>'A1 Contract'!I16</f>
        <v>2025.0.0</v>
      </c>
      <c r="K17" s="464"/>
    </row>
    <row r="19" spans="1:11" ht="13.15">
      <c r="A19" s="155" t="s">
        <v>184</v>
      </c>
      <c r="B19" s="156"/>
      <c r="C19" s="17"/>
      <c r="D19" s="17"/>
      <c r="E19" s="1"/>
      <c r="F19" s="17"/>
      <c r="G19" s="17"/>
      <c r="H19" s="17"/>
      <c r="I19" s="17"/>
      <c r="J19" s="17"/>
      <c r="K19" s="17"/>
    </row>
    <row r="21" spans="1:11" ht="13.15">
      <c r="A21" s="16"/>
      <c r="B21" s="3"/>
      <c r="C21" s="4" t="s">
        <v>42</v>
      </c>
      <c r="D21" s="436" t="s">
        <v>185</v>
      </c>
      <c r="E21" s="437"/>
      <c r="F21" s="438"/>
      <c r="G21" s="439" t="s">
        <v>90</v>
      </c>
      <c r="H21" s="440"/>
      <c r="I21" s="440"/>
      <c r="J21" s="440"/>
      <c r="K21" s="441"/>
    </row>
    <row r="22" spans="1:11" s="115" customFormat="1" ht="13.15">
      <c r="A22" s="180"/>
      <c r="B22" s="173"/>
      <c r="C22" s="139" t="s">
        <v>43</v>
      </c>
      <c r="D22" s="16" t="s">
        <v>62</v>
      </c>
      <c r="E22" s="146" t="s">
        <v>40</v>
      </c>
      <c r="F22" s="137" t="s">
        <v>61</v>
      </c>
      <c r="G22" s="138" t="s">
        <v>62</v>
      </c>
      <c r="H22" s="146" t="s">
        <v>40</v>
      </c>
      <c r="I22" s="146" t="s">
        <v>65</v>
      </c>
      <c r="J22" s="146" t="s">
        <v>64</v>
      </c>
      <c r="K22" s="137" t="s">
        <v>61</v>
      </c>
    </row>
    <row r="23" spans="1:11" s="115" customFormat="1" ht="13.15">
      <c r="A23" s="142" t="s">
        <v>6</v>
      </c>
      <c r="B23" s="143" t="s">
        <v>13</v>
      </c>
      <c r="C23" s="210" t="s">
        <v>52</v>
      </c>
      <c r="D23" s="5" t="s">
        <v>63</v>
      </c>
      <c r="E23" s="145" t="s">
        <v>31</v>
      </c>
      <c r="F23" s="144" t="s">
        <v>31</v>
      </c>
      <c r="G23" s="147" t="s">
        <v>63</v>
      </c>
      <c r="H23" s="145" t="s">
        <v>31</v>
      </c>
      <c r="I23" s="145" t="s">
        <v>66</v>
      </c>
      <c r="J23" s="145" t="s">
        <v>31</v>
      </c>
      <c r="K23" s="144" t="s">
        <v>31</v>
      </c>
    </row>
    <row r="24" spans="1:11">
      <c r="A24" s="148" t="e">
        <f>IF(B24&lt;MIN('A1 Contract'!$B$36:$B$45),0,IF(B24&gt;MAX('A1 Contract'!$B$36:$B$45),MAX('A1 Contract'!$A$36:$A$45),LOOKUP(B24,'A1 Contract'!$B$36:$B$45,'A1 Contract'!$A$36:$A$45)))</f>
        <v>#NUM!</v>
      </c>
      <c r="B24" s="151" t="e">
        <f>DATE(YEAR(NoticeStartDate),MONTH(NoticeStartDate)-24,1)</f>
        <v>#NUM!</v>
      </c>
      <c r="C24" s="128" t="e">
        <f t="shared" ref="C24:C55" si="0">IF(ISNUMBER(VLOOKUP($B24,HistoryLookup,8,FALSE)),VLOOKUP($B24,HistoryLookup,8,FALSE),IF(AND($B24&lt;EffectiveWithPILON,ISNUMBER(AverageDemand)),AverageDemand,VLOOKUP($A24,ContractLookup,4,FALSE)))</f>
        <v>#NUM!</v>
      </c>
      <c r="D24" s="131" t="e">
        <f>IF($A24=0,"",MAX(C$24:C24))</f>
        <v>#NUM!</v>
      </c>
      <c r="E24" s="132" t="e">
        <f t="shared" ref="E24:E55" si="1">IF($A24=0,"",VLOOKUP($A24,ContractLookup,7,FALSE))</f>
        <v>#NUM!</v>
      </c>
      <c r="F24" s="128" t="e">
        <f>IF($A24=0,"",MAX(C24,90%*D24,90%*E24))</f>
        <v>#NUM!</v>
      </c>
      <c r="G24" s="6" t="e">
        <f t="shared" ref="G24:G55" si="2">IF(AND(ReducedOrTerminated="Terminated",$B24&gt;=EffectiveWithPILON),0,IF(AND($B24&gt;=EffectiveWithPILON,$B24&lt;DATE(YEAR(EffectiveWithPILON),MONTH(EffectiveWithPILON)+24,1)),D24-MAX((E24-J24),0),IF(B24&gt;=NoticeStartDate,D24,"")))</f>
        <v>#NUM!</v>
      </c>
      <c r="H24" s="13" t="e">
        <f t="shared" ref="H24:H55" si="3">IF(AND(ReducedOrTerminated="Terminated",$B24&gt;=EffectiveWithPILON),0,IF(A24=0,"",IF(B24&lt;EffectiveWithPILON,VLOOKUP(A24,ContractLookup,7,FALSE),VLOOKUP(A24,ContractLookup,4,FALSE))))</f>
        <v>#NUM!</v>
      </c>
      <c r="I24" s="13" t="e">
        <f t="shared" ref="I24:I55" si="4">IF(AND($B24&gt;=NoticeStartDate,$B24&lt;EffectiveWithPILON),IF(C24&gt;E24,C24-E24,""),"")</f>
        <v>#NUM!</v>
      </c>
      <c r="J24" s="13" t="e">
        <f>IF(AND(ReducedOrTerminated="Terminated",$B24&gt;=EffectiveWithPILON),0,IF(B24&gt;=EffectiveWithPILON,H24+MAX(I$24:I24),IF(B24&gt;=NoticeStartDate,H24,"")))</f>
        <v>#NUM!</v>
      </c>
      <c r="K24" s="7" t="e">
        <f>IF(A24=0,"",MAX(C24,90%*G24,90%*J24))</f>
        <v>#NUM!</v>
      </c>
    </row>
    <row r="25" spans="1:11">
      <c r="A25" s="149" t="e">
        <f>IF(B25&lt;MIN('A1 Contract'!$B$36:$B$45),0,IF(B25&gt;MAX('A1 Contract'!$B$36:$B$45),MAX('A1 Contract'!$A$36:$A$45),LOOKUP(B25,'A1 Contract'!$B$36:$B$45,'A1 Contract'!$A$36:$A$45)))</f>
        <v>#NUM!</v>
      </c>
      <c r="B25" s="152" t="e">
        <f>DATE(YEAR(B24),MONTH(B24)+1,1)</f>
        <v>#NUM!</v>
      </c>
      <c r="C25" s="129" t="e">
        <f t="shared" si="0"/>
        <v>#NUM!</v>
      </c>
      <c r="D25" s="133" t="e">
        <f>IF($A25=0,"",MAX(C$24:C25))</f>
        <v>#NUM!</v>
      </c>
      <c r="E25" s="134" t="e">
        <f t="shared" si="1"/>
        <v>#NUM!</v>
      </c>
      <c r="F25" s="129" t="e">
        <f t="shared" ref="F25:F88" si="5">IF($A25=0,"",MAX(C25,90%*D25,90%*E25))</f>
        <v>#NUM!</v>
      </c>
      <c r="G25" s="8" t="e">
        <f t="shared" si="2"/>
        <v>#NUM!</v>
      </c>
      <c r="H25" s="14" t="e">
        <f t="shared" si="3"/>
        <v>#NUM!</v>
      </c>
      <c r="I25" s="14" t="e">
        <f t="shared" si="4"/>
        <v>#NUM!</v>
      </c>
      <c r="J25" s="14" t="e">
        <f>IF(AND(ReducedOrTerminated="Terminated",$B25&gt;=EffectiveWithPILON),0,IF(B25&gt;=EffectiveWithPILON,H25+MAX(I$24:I25),IF(B25&gt;=NoticeStartDate,H25,"")))</f>
        <v>#NUM!</v>
      </c>
      <c r="K25" s="9" t="e">
        <f t="shared" ref="K25:K88" si="6">IF(A25=0,"",MAX(C25,90%*G25,90%*J25))</f>
        <v>#NUM!</v>
      </c>
    </row>
    <row r="26" spans="1:11">
      <c r="A26" s="149" t="e">
        <f>IF(B26&lt;MIN('A1 Contract'!$B$36:$B$45),0,IF(B26&gt;MAX('A1 Contract'!$B$36:$B$45),MAX('A1 Contract'!$A$36:$A$45),LOOKUP(B26,'A1 Contract'!$B$36:$B$45,'A1 Contract'!$A$36:$A$45)))</f>
        <v>#NUM!</v>
      </c>
      <c r="B26" s="152" t="e">
        <f t="shared" ref="B26:B89" si="7">DATE(YEAR(B25),MONTH(B25)+1,1)</f>
        <v>#NUM!</v>
      </c>
      <c r="C26" s="129" t="e">
        <f t="shared" si="0"/>
        <v>#NUM!</v>
      </c>
      <c r="D26" s="133" t="e">
        <f>IF($A26=0,"",MAX(C$24:C26))</f>
        <v>#NUM!</v>
      </c>
      <c r="E26" s="134" t="e">
        <f t="shared" si="1"/>
        <v>#NUM!</v>
      </c>
      <c r="F26" s="129" t="e">
        <f t="shared" si="5"/>
        <v>#NUM!</v>
      </c>
      <c r="G26" s="8" t="e">
        <f t="shared" si="2"/>
        <v>#NUM!</v>
      </c>
      <c r="H26" s="14" t="e">
        <f t="shared" si="3"/>
        <v>#NUM!</v>
      </c>
      <c r="I26" s="14" t="e">
        <f t="shared" si="4"/>
        <v>#NUM!</v>
      </c>
      <c r="J26" s="14" t="e">
        <f>IF(AND(ReducedOrTerminated="Terminated",$B26&gt;=EffectiveWithPILON),0,IF(B26&gt;=EffectiveWithPILON,H26+MAX(I$24:I26),IF(B26&gt;=NoticeStartDate,H26,"")))</f>
        <v>#NUM!</v>
      </c>
      <c r="K26" s="9" t="e">
        <f t="shared" si="6"/>
        <v>#NUM!</v>
      </c>
    </row>
    <row r="27" spans="1:11">
      <c r="A27" s="149" t="e">
        <f>IF(B27&lt;MIN('A1 Contract'!$B$36:$B$45),0,IF(B27&gt;MAX('A1 Contract'!$B$36:$B$45),MAX('A1 Contract'!$A$36:$A$45),LOOKUP(B27,'A1 Contract'!$B$36:$B$45,'A1 Contract'!$A$36:$A$45)))</f>
        <v>#NUM!</v>
      </c>
      <c r="B27" s="152" t="e">
        <f t="shared" si="7"/>
        <v>#NUM!</v>
      </c>
      <c r="C27" s="129" t="e">
        <f t="shared" si="0"/>
        <v>#NUM!</v>
      </c>
      <c r="D27" s="133" t="e">
        <f>IF($A27=0,"",MAX(C$24:C27))</f>
        <v>#NUM!</v>
      </c>
      <c r="E27" s="134" t="e">
        <f t="shared" si="1"/>
        <v>#NUM!</v>
      </c>
      <c r="F27" s="129" t="e">
        <f t="shared" si="5"/>
        <v>#NUM!</v>
      </c>
      <c r="G27" s="8" t="e">
        <f t="shared" si="2"/>
        <v>#NUM!</v>
      </c>
      <c r="H27" s="14" t="e">
        <f t="shared" si="3"/>
        <v>#NUM!</v>
      </c>
      <c r="I27" s="14" t="e">
        <f t="shared" si="4"/>
        <v>#NUM!</v>
      </c>
      <c r="J27" s="14" t="e">
        <f>IF(AND(ReducedOrTerminated="Terminated",$B27&gt;=EffectiveWithPILON),0,IF(B27&gt;=EffectiveWithPILON,H27+MAX(I$24:I27),IF(B27&gt;=NoticeStartDate,H27,"")))</f>
        <v>#NUM!</v>
      </c>
      <c r="K27" s="9" t="e">
        <f t="shared" si="6"/>
        <v>#NUM!</v>
      </c>
    </row>
    <row r="28" spans="1:11">
      <c r="A28" s="149" t="e">
        <f>IF(B28&lt;MIN('A1 Contract'!$B$36:$B$45),0,IF(B28&gt;MAX('A1 Contract'!$B$36:$B$45),MAX('A1 Contract'!$A$36:$A$45),LOOKUP(B28,'A1 Contract'!$B$36:$B$45,'A1 Contract'!$A$36:$A$45)))</f>
        <v>#NUM!</v>
      </c>
      <c r="B28" s="152" t="e">
        <f t="shared" si="7"/>
        <v>#NUM!</v>
      </c>
      <c r="C28" s="129" t="e">
        <f t="shared" si="0"/>
        <v>#NUM!</v>
      </c>
      <c r="D28" s="133" t="e">
        <f>IF($A28=0,"",MAX(C$24:C28))</f>
        <v>#NUM!</v>
      </c>
      <c r="E28" s="134" t="e">
        <f t="shared" si="1"/>
        <v>#NUM!</v>
      </c>
      <c r="F28" s="129" t="e">
        <f t="shared" si="5"/>
        <v>#NUM!</v>
      </c>
      <c r="G28" s="8" t="e">
        <f t="shared" si="2"/>
        <v>#NUM!</v>
      </c>
      <c r="H28" s="14" t="e">
        <f t="shared" si="3"/>
        <v>#NUM!</v>
      </c>
      <c r="I28" s="14" t="e">
        <f t="shared" si="4"/>
        <v>#NUM!</v>
      </c>
      <c r="J28" s="14" t="e">
        <f>IF(AND(ReducedOrTerminated="Terminated",$B28&gt;=EffectiveWithPILON),0,IF(B28&gt;=EffectiveWithPILON,H28+MAX(I$24:I28),IF(B28&gt;=NoticeStartDate,H28,"")))</f>
        <v>#NUM!</v>
      </c>
      <c r="K28" s="9" t="e">
        <f t="shared" si="6"/>
        <v>#NUM!</v>
      </c>
    </row>
    <row r="29" spans="1:11">
      <c r="A29" s="149" t="e">
        <f>IF(B29&lt;MIN('A1 Contract'!$B$36:$B$45),0,IF(B29&gt;MAX('A1 Contract'!$B$36:$B$45),MAX('A1 Contract'!$A$36:$A$45),LOOKUP(B29,'A1 Contract'!$B$36:$B$45,'A1 Contract'!$A$36:$A$45)))</f>
        <v>#NUM!</v>
      </c>
      <c r="B29" s="152" t="e">
        <f t="shared" si="7"/>
        <v>#NUM!</v>
      </c>
      <c r="C29" s="129" t="e">
        <f t="shared" si="0"/>
        <v>#NUM!</v>
      </c>
      <c r="D29" s="133" t="e">
        <f>IF($A29=0,"",MAX(C$24:C29))</f>
        <v>#NUM!</v>
      </c>
      <c r="E29" s="134" t="e">
        <f t="shared" si="1"/>
        <v>#NUM!</v>
      </c>
      <c r="F29" s="129" t="e">
        <f t="shared" si="5"/>
        <v>#NUM!</v>
      </c>
      <c r="G29" s="8" t="e">
        <f t="shared" si="2"/>
        <v>#NUM!</v>
      </c>
      <c r="H29" s="14" t="e">
        <f t="shared" si="3"/>
        <v>#NUM!</v>
      </c>
      <c r="I29" s="14" t="e">
        <f t="shared" si="4"/>
        <v>#NUM!</v>
      </c>
      <c r="J29" s="14" t="e">
        <f>IF(AND(ReducedOrTerminated="Terminated",$B29&gt;=EffectiveWithPILON),0,IF(B29&gt;=EffectiveWithPILON,H29+MAX(I$24:I29),IF(B29&gt;=NoticeStartDate,H29,"")))</f>
        <v>#NUM!</v>
      </c>
      <c r="K29" s="9" t="e">
        <f t="shared" si="6"/>
        <v>#NUM!</v>
      </c>
    </row>
    <row r="30" spans="1:11">
      <c r="A30" s="149" t="e">
        <f>IF(B30&lt;MIN('A1 Contract'!$B$36:$B$45),0,IF(B30&gt;MAX('A1 Contract'!$B$36:$B$45),MAX('A1 Contract'!$A$36:$A$45),LOOKUP(B30,'A1 Contract'!$B$36:$B$45,'A1 Contract'!$A$36:$A$45)))</f>
        <v>#NUM!</v>
      </c>
      <c r="B30" s="152" t="e">
        <f t="shared" si="7"/>
        <v>#NUM!</v>
      </c>
      <c r="C30" s="129" t="e">
        <f t="shared" si="0"/>
        <v>#NUM!</v>
      </c>
      <c r="D30" s="133" t="e">
        <f>IF($A30=0,"",MAX(C$24:C30))</f>
        <v>#NUM!</v>
      </c>
      <c r="E30" s="134" t="e">
        <f t="shared" si="1"/>
        <v>#NUM!</v>
      </c>
      <c r="F30" s="129" t="e">
        <f t="shared" si="5"/>
        <v>#NUM!</v>
      </c>
      <c r="G30" s="8" t="e">
        <f t="shared" si="2"/>
        <v>#NUM!</v>
      </c>
      <c r="H30" s="14" t="e">
        <f t="shared" si="3"/>
        <v>#NUM!</v>
      </c>
      <c r="I30" s="14" t="e">
        <f t="shared" si="4"/>
        <v>#NUM!</v>
      </c>
      <c r="J30" s="14" t="e">
        <f>IF(AND(ReducedOrTerminated="Terminated",$B30&gt;=EffectiveWithPILON),0,IF(B30&gt;=EffectiveWithPILON,H30+MAX(I$24:I30),IF(B30&gt;=NoticeStartDate,H30,"")))</f>
        <v>#NUM!</v>
      </c>
      <c r="K30" s="9" t="e">
        <f t="shared" si="6"/>
        <v>#NUM!</v>
      </c>
    </row>
    <row r="31" spans="1:11">
      <c r="A31" s="149" t="e">
        <f>IF(B31&lt;MIN('A1 Contract'!$B$36:$B$45),0,IF(B31&gt;MAX('A1 Contract'!$B$36:$B$45),MAX('A1 Contract'!$A$36:$A$45),LOOKUP(B31,'A1 Contract'!$B$36:$B$45,'A1 Contract'!$A$36:$A$45)))</f>
        <v>#NUM!</v>
      </c>
      <c r="B31" s="152" t="e">
        <f t="shared" si="7"/>
        <v>#NUM!</v>
      </c>
      <c r="C31" s="129" t="e">
        <f t="shared" si="0"/>
        <v>#NUM!</v>
      </c>
      <c r="D31" s="133" t="e">
        <f>IF($A31=0,"",MAX(C$24:C31))</f>
        <v>#NUM!</v>
      </c>
      <c r="E31" s="134" t="e">
        <f t="shared" si="1"/>
        <v>#NUM!</v>
      </c>
      <c r="F31" s="129" t="e">
        <f t="shared" si="5"/>
        <v>#NUM!</v>
      </c>
      <c r="G31" s="8" t="e">
        <f t="shared" si="2"/>
        <v>#NUM!</v>
      </c>
      <c r="H31" s="14" t="e">
        <f t="shared" si="3"/>
        <v>#NUM!</v>
      </c>
      <c r="I31" s="14" t="e">
        <f t="shared" si="4"/>
        <v>#NUM!</v>
      </c>
      <c r="J31" s="14" t="e">
        <f>IF(AND(ReducedOrTerminated="Terminated",$B31&gt;=EffectiveWithPILON),0,IF(B31&gt;=EffectiveWithPILON,H31+MAX(I$24:I31),IF(B31&gt;=NoticeStartDate,H31,"")))</f>
        <v>#NUM!</v>
      </c>
      <c r="K31" s="9" t="e">
        <f t="shared" si="6"/>
        <v>#NUM!</v>
      </c>
    </row>
    <row r="32" spans="1:11">
      <c r="A32" s="149" t="e">
        <f>IF(B32&lt;MIN('A1 Contract'!$B$36:$B$45),0,IF(B32&gt;MAX('A1 Contract'!$B$36:$B$45),MAX('A1 Contract'!$A$36:$A$45),LOOKUP(B32,'A1 Contract'!$B$36:$B$45,'A1 Contract'!$A$36:$A$45)))</f>
        <v>#NUM!</v>
      </c>
      <c r="B32" s="152" t="e">
        <f t="shared" si="7"/>
        <v>#NUM!</v>
      </c>
      <c r="C32" s="129" t="e">
        <f t="shared" si="0"/>
        <v>#NUM!</v>
      </c>
      <c r="D32" s="133" t="e">
        <f>IF($A32=0,"",MAX(C$24:C32))</f>
        <v>#NUM!</v>
      </c>
      <c r="E32" s="134" t="e">
        <f t="shared" si="1"/>
        <v>#NUM!</v>
      </c>
      <c r="F32" s="129" t="e">
        <f t="shared" si="5"/>
        <v>#NUM!</v>
      </c>
      <c r="G32" s="8" t="e">
        <f t="shared" si="2"/>
        <v>#NUM!</v>
      </c>
      <c r="H32" s="14" t="e">
        <f t="shared" si="3"/>
        <v>#NUM!</v>
      </c>
      <c r="I32" s="14" t="e">
        <f t="shared" si="4"/>
        <v>#NUM!</v>
      </c>
      <c r="J32" s="14" t="e">
        <f>IF(AND(ReducedOrTerminated="Terminated",$B32&gt;=EffectiveWithPILON),0,IF(B32&gt;=EffectiveWithPILON,H32+MAX(I$24:I32),IF(B32&gt;=NoticeStartDate,H32,"")))</f>
        <v>#NUM!</v>
      </c>
      <c r="K32" s="9" t="e">
        <f t="shared" si="6"/>
        <v>#NUM!</v>
      </c>
    </row>
    <row r="33" spans="1:11">
      <c r="A33" s="149" t="e">
        <f>IF(B33&lt;MIN('A1 Contract'!$B$36:$B$45),0,IF(B33&gt;MAX('A1 Contract'!$B$36:$B$45),MAX('A1 Contract'!$A$36:$A$45),LOOKUP(B33,'A1 Contract'!$B$36:$B$45,'A1 Contract'!$A$36:$A$45)))</f>
        <v>#NUM!</v>
      </c>
      <c r="B33" s="152" t="e">
        <f t="shared" si="7"/>
        <v>#NUM!</v>
      </c>
      <c r="C33" s="129" t="e">
        <f t="shared" si="0"/>
        <v>#NUM!</v>
      </c>
      <c r="D33" s="133" t="e">
        <f>IF($A33=0,"",MAX(C$24:C33))</f>
        <v>#NUM!</v>
      </c>
      <c r="E33" s="134" t="e">
        <f t="shared" si="1"/>
        <v>#NUM!</v>
      </c>
      <c r="F33" s="129" t="e">
        <f t="shared" si="5"/>
        <v>#NUM!</v>
      </c>
      <c r="G33" s="8" t="e">
        <f t="shared" si="2"/>
        <v>#NUM!</v>
      </c>
      <c r="H33" s="14" t="e">
        <f t="shared" si="3"/>
        <v>#NUM!</v>
      </c>
      <c r="I33" s="14" t="e">
        <f t="shared" si="4"/>
        <v>#NUM!</v>
      </c>
      <c r="J33" s="14" t="e">
        <f>IF(AND(ReducedOrTerminated="Terminated",$B33&gt;=EffectiveWithPILON),0,IF(B33&gt;=EffectiveWithPILON,H33+MAX(I$24:I33),IF(B33&gt;=NoticeStartDate,H33,"")))</f>
        <v>#NUM!</v>
      </c>
      <c r="K33" s="9" t="e">
        <f t="shared" si="6"/>
        <v>#NUM!</v>
      </c>
    </row>
    <row r="34" spans="1:11">
      <c r="A34" s="149" t="e">
        <f>IF(B34&lt;MIN('A1 Contract'!$B$36:$B$45),0,IF(B34&gt;MAX('A1 Contract'!$B$36:$B$45),MAX('A1 Contract'!$A$36:$A$45),LOOKUP(B34,'A1 Contract'!$B$36:$B$45,'A1 Contract'!$A$36:$A$45)))</f>
        <v>#NUM!</v>
      </c>
      <c r="B34" s="152" t="e">
        <f t="shared" si="7"/>
        <v>#NUM!</v>
      </c>
      <c r="C34" s="129" t="e">
        <f t="shared" si="0"/>
        <v>#NUM!</v>
      </c>
      <c r="D34" s="133" t="e">
        <f>IF($A34=0,"",MAX(C$24:C34))</f>
        <v>#NUM!</v>
      </c>
      <c r="E34" s="134" t="e">
        <f t="shared" si="1"/>
        <v>#NUM!</v>
      </c>
      <c r="F34" s="129" t="e">
        <f t="shared" si="5"/>
        <v>#NUM!</v>
      </c>
      <c r="G34" s="8" t="e">
        <f t="shared" si="2"/>
        <v>#NUM!</v>
      </c>
      <c r="H34" s="14" t="e">
        <f t="shared" si="3"/>
        <v>#NUM!</v>
      </c>
      <c r="I34" s="14" t="e">
        <f t="shared" si="4"/>
        <v>#NUM!</v>
      </c>
      <c r="J34" s="14" t="e">
        <f>IF(AND(ReducedOrTerminated="Terminated",$B34&gt;=EffectiveWithPILON),0,IF(B34&gt;=EffectiveWithPILON,H34+MAX(I$24:I34),IF(B34&gt;=NoticeStartDate,H34,"")))</f>
        <v>#NUM!</v>
      </c>
      <c r="K34" s="9" t="e">
        <f t="shared" si="6"/>
        <v>#NUM!</v>
      </c>
    </row>
    <row r="35" spans="1:11">
      <c r="A35" s="149" t="e">
        <f>IF(B35&lt;MIN('A1 Contract'!$B$36:$B$45),0,IF(B35&gt;MAX('A1 Contract'!$B$36:$B$45),MAX('A1 Contract'!$A$36:$A$45),LOOKUP(B35,'A1 Contract'!$B$36:$B$45,'A1 Contract'!$A$36:$A$45)))</f>
        <v>#NUM!</v>
      </c>
      <c r="B35" s="152" t="e">
        <f t="shared" si="7"/>
        <v>#NUM!</v>
      </c>
      <c r="C35" s="129" t="e">
        <f t="shared" si="0"/>
        <v>#NUM!</v>
      </c>
      <c r="D35" s="133" t="e">
        <f>IF($A35=0,"",MAX(C$24:C35))</f>
        <v>#NUM!</v>
      </c>
      <c r="E35" s="134" t="e">
        <f t="shared" si="1"/>
        <v>#NUM!</v>
      </c>
      <c r="F35" s="129" t="e">
        <f t="shared" si="5"/>
        <v>#NUM!</v>
      </c>
      <c r="G35" s="8" t="e">
        <f t="shared" si="2"/>
        <v>#NUM!</v>
      </c>
      <c r="H35" s="14" t="e">
        <f t="shared" si="3"/>
        <v>#NUM!</v>
      </c>
      <c r="I35" s="14" t="e">
        <f t="shared" si="4"/>
        <v>#NUM!</v>
      </c>
      <c r="J35" s="14" t="e">
        <f>IF(AND(ReducedOrTerminated="Terminated",$B35&gt;=EffectiveWithPILON),0,IF(B35&gt;=EffectiveWithPILON,H35+MAX(I$24:I35),IF(B35&gt;=NoticeStartDate,H35,"")))</f>
        <v>#NUM!</v>
      </c>
      <c r="K35" s="9" t="e">
        <f t="shared" si="6"/>
        <v>#NUM!</v>
      </c>
    </row>
    <row r="36" spans="1:11">
      <c r="A36" s="149" t="e">
        <f>IF(B36&lt;MIN('A1 Contract'!$B$36:$B$45),0,IF(B36&gt;MAX('A1 Contract'!$B$36:$B$45),MAX('A1 Contract'!$A$36:$A$45),LOOKUP(B36,'A1 Contract'!$B$36:$B$45,'A1 Contract'!$A$36:$A$45)))</f>
        <v>#NUM!</v>
      </c>
      <c r="B36" s="152" t="e">
        <f t="shared" si="7"/>
        <v>#NUM!</v>
      </c>
      <c r="C36" s="129" t="e">
        <f t="shared" si="0"/>
        <v>#NUM!</v>
      </c>
      <c r="D36" s="133" t="e">
        <f>IF($A36=0,"",MAX(C$24:C36))</f>
        <v>#NUM!</v>
      </c>
      <c r="E36" s="134" t="e">
        <f t="shared" si="1"/>
        <v>#NUM!</v>
      </c>
      <c r="F36" s="129" t="e">
        <f t="shared" si="5"/>
        <v>#NUM!</v>
      </c>
      <c r="G36" s="8" t="e">
        <f t="shared" si="2"/>
        <v>#NUM!</v>
      </c>
      <c r="H36" s="14" t="e">
        <f t="shared" si="3"/>
        <v>#NUM!</v>
      </c>
      <c r="I36" s="14" t="e">
        <f t="shared" si="4"/>
        <v>#NUM!</v>
      </c>
      <c r="J36" s="14" t="e">
        <f>IF(AND(ReducedOrTerminated="Terminated",$B36&gt;=EffectiveWithPILON),0,IF(B36&gt;=EffectiveWithPILON,H36+MAX(I$24:I36),IF(B36&gt;=NoticeStartDate,H36,"")))</f>
        <v>#NUM!</v>
      </c>
      <c r="K36" s="9" t="e">
        <f t="shared" si="6"/>
        <v>#NUM!</v>
      </c>
    </row>
    <row r="37" spans="1:11">
      <c r="A37" s="149" t="e">
        <f>IF(B37&lt;MIN('A1 Contract'!$B$36:$B$45),0,IF(B37&gt;MAX('A1 Contract'!$B$36:$B$45),MAX('A1 Contract'!$A$36:$A$45),LOOKUP(B37,'A1 Contract'!$B$36:$B$45,'A1 Contract'!$A$36:$A$45)))</f>
        <v>#NUM!</v>
      </c>
      <c r="B37" s="152" t="e">
        <f t="shared" si="7"/>
        <v>#NUM!</v>
      </c>
      <c r="C37" s="129" t="e">
        <f t="shared" si="0"/>
        <v>#NUM!</v>
      </c>
      <c r="D37" s="133" t="e">
        <f>IF($A37=0,"",MAX(C$24:C37))</f>
        <v>#NUM!</v>
      </c>
      <c r="E37" s="134" t="e">
        <f t="shared" si="1"/>
        <v>#NUM!</v>
      </c>
      <c r="F37" s="129" t="e">
        <f t="shared" si="5"/>
        <v>#NUM!</v>
      </c>
      <c r="G37" s="8" t="e">
        <f t="shared" si="2"/>
        <v>#NUM!</v>
      </c>
      <c r="H37" s="14" t="e">
        <f t="shared" si="3"/>
        <v>#NUM!</v>
      </c>
      <c r="I37" s="14" t="e">
        <f t="shared" si="4"/>
        <v>#NUM!</v>
      </c>
      <c r="J37" s="14" t="e">
        <f>IF(AND(ReducedOrTerminated="Terminated",$B37&gt;=EffectiveWithPILON),0,IF(B37&gt;=EffectiveWithPILON,H37+MAX(I$24:I37),IF(B37&gt;=NoticeStartDate,H37,"")))</f>
        <v>#NUM!</v>
      </c>
      <c r="K37" s="9" t="e">
        <f t="shared" si="6"/>
        <v>#NUM!</v>
      </c>
    </row>
    <row r="38" spans="1:11">
      <c r="A38" s="149" t="e">
        <f>IF(B38&lt;MIN('A1 Contract'!$B$36:$B$45),0,IF(B38&gt;MAX('A1 Contract'!$B$36:$B$45),MAX('A1 Contract'!$A$36:$A$45),LOOKUP(B38,'A1 Contract'!$B$36:$B$45,'A1 Contract'!$A$36:$A$45)))</f>
        <v>#NUM!</v>
      </c>
      <c r="B38" s="152" t="e">
        <f t="shared" si="7"/>
        <v>#NUM!</v>
      </c>
      <c r="C38" s="129" t="e">
        <f t="shared" si="0"/>
        <v>#NUM!</v>
      </c>
      <c r="D38" s="133" t="e">
        <f>IF($A38=0,"",MAX(C$24:C38))</f>
        <v>#NUM!</v>
      </c>
      <c r="E38" s="134" t="e">
        <f t="shared" si="1"/>
        <v>#NUM!</v>
      </c>
      <c r="F38" s="129" t="e">
        <f t="shared" si="5"/>
        <v>#NUM!</v>
      </c>
      <c r="G38" s="8" t="e">
        <f t="shared" si="2"/>
        <v>#NUM!</v>
      </c>
      <c r="H38" s="14" t="e">
        <f t="shared" si="3"/>
        <v>#NUM!</v>
      </c>
      <c r="I38" s="14" t="e">
        <f t="shared" si="4"/>
        <v>#NUM!</v>
      </c>
      <c r="J38" s="14" t="e">
        <f>IF(AND(ReducedOrTerminated="Terminated",$B38&gt;=EffectiveWithPILON),0,IF(B38&gt;=EffectiveWithPILON,H38+MAX(I$24:I38),IF(B38&gt;=NoticeStartDate,H38,"")))</f>
        <v>#NUM!</v>
      </c>
      <c r="K38" s="9" t="e">
        <f t="shared" si="6"/>
        <v>#NUM!</v>
      </c>
    </row>
    <row r="39" spans="1:11">
      <c r="A39" s="149" t="e">
        <f>IF(B39&lt;MIN('A1 Contract'!$B$36:$B$45),0,IF(B39&gt;MAX('A1 Contract'!$B$36:$B$45),MAX('A1 Contract'!$A$36:$A$45),LOOKUP(B39,'A1 Contract'!$B$36:$B$45,'A1 Contract'!$A$36:$A$45)))</f>
        <v>#NUM!</v>
      </c>
      <c r="B39" s="152" t="e">
        <f t="shared" si="7"/>
        <v>#NUM!</v>
      </c>
      <c r="C39" s="129" t="e">
        <f t="shared" si="0"/>
        <v>#NUM!</v>
      </c>
      <c r="D39" s="133" t="e">
        <f>IF($A39=0,"",MAX(C$24:C39))</f>
        <v>#NUM!</v>
      </c>
      <c r="E39" s="134" t="e">
        <f t="shared" si="1"/>
        <v>#NUM!</v>
      </c>
      <c r="F39" s="129" t="e">
        <f t="shared" si="5"/>
        <v>#NUM!</v>
      </c>
      <c r="G39" s="8" t="e">
        <f t="shared" si="2"/>
        <v>#NUM!</v>
      </c>
      <c r="H39" s="14" t="e">
        <f t="shared" si="3"/>
        <v>#NUM!</v>
      </c>
      <c r="I39" s="14" t="e">
        <f t="shared" si="4"/>
        <v>#NUM!</v>
      </c>
      <c r="J39" s="14" t="e">
        <f>IF(AND(ReducedOrTerminated="Terminated",$B39&gt;=EffectiveWithPILON),0,IF(B39&gt;=EffectiveWithPILON,H39+MAX(I$24:I39),IF(B39&gt;=NoticeStartDate,H39,"")))</f>
        <v>#NUM!</v>
      </c>
      <c r="K39" s="9" t="e">
        <f t="shared" si="6"/>
        <v>#NUM!</v>
      </c>
    </row>
    <row r="40" spans="1:11">
      <c r="A40" s="149" t="e">
        <f>IF(B40&lt;MIN('A1 Contract'!$B$36:$B$45),0,IF(B40&gt;MAX('A1 Contract'!$B$36:$B$45),MAX('A1 Contract'!$A$36:$A$45),LOOKUP(B40,'A1 Contract'!$B$36:$B$45,'A1 Contract'!$A$36:$A$45)))</f>
        <v>#NUM!</v>
      </c>
      <c r="B40" s="152" t="e">
        <f t="shared" si="7"/>
        <v>#NUM!</v>
      </c>
      <c r="C40" s="129" t="e">
        <f t="shared" si="0"/>
        <v>#NUM!</v>
      </c>
      <c r="D40" s="133" t="e">
        <f>IF($A40=0,"",MAX(C$24:C40))</f>
        <v>#NUM!</v>
      </c>
      <c r="E40" s="134" t="e">
        <f t="shared" si="1"/>
        <v>#NUM!</v>
      </c>
      <c r="F40" s="129" t="e">
        <f t="shared" si="5"/>
        <v>#NUM!</v>
      </c>
      <c r="G40" s="8" t="e">
        <f t="shared" si="2"/>
        <v>#NUM!</v>
      </c>
      <c r="H40" s="14" t="e">
        <f t="shared" si="3"/>
        <v>#NUM!</v>
      </c>
      <c r="I40" s="14" t="e">
        <f t="shared" si="4"/>
        <v>#NUM!</v>
      </c>
      <c r="J40" s="14" t="e">
        <f>IF(AND(ReducedOrTerminated="Terminated",$B40&gt;=EffectiveWithPILON),0,IF(B40&gt;=EffectiveWithPILON,H40+MAX(I$24:I40),IF(B40&gt;=NoticeStartDate,H40,"")))</f>
        <v>#NUM!</v>
      </c>
      <c r="K40" s="9" t="e">
        <f t="shared" si="6"/>
        <v>#NUM!</v>
      </c>
    </row>
    <row r="41" spans="1:11">
      <c r="A41" s="149" t="e">
        <f>IF(B41&lt;MIN('A1 Contract'!$B$36:$B$45),0,IF(B41&gt;MAX('A1 Contract'!$B$36:$B$45),MAX('A1 Contract'!$A$36:$A$45),LOOKUP(B41,'A1 Contract'!$B$36:$B$45,'A1 Contract'!$A$36:$A$45)))</f>
        <v>#NUM!</v>
      </c>
      <c r="B41" s="152" t="e">
        <f t="shared" si="7"/>
        <v>#NUM!</v>
      </c>
      <c r="C41" s="129" t="e">
        <f t="shared" si="0"/>
        <v>#NUM!</v>
      </c>
      <c r="D41" s="133" t="e">
        <f>IF($A41=0,"",MAX(C$24:C41))</f>
        <v>#NUM!</v>
      </c>
      <c r="E41" s="134" t="e">
        <f t="shared" si="1"/>
        <v>#NUM!</v>
      </c>
      <c r="F41" s="129" t="e">
        <f t="shared" si="5"/>
        <v>#NUM!</v>
      </c>
      <c r="G41" s="8" t="e">
        <f t="shared" si="2"/>
        <v>#NUM!</v>
      </c>
      <c r="H41" s="14" t="e">
        <f t="shared" si="3"/>
        <v>#NUM!</v>
      </c>
      <c r="I41" s="14" t="e">
        <f t="shared" si="4"/>
        <v>#NUM!</v>
      </c>
      <c r="J41" s="14" t="e">
        <f>IF(AND(ReducedOrTerminated="Terminated",$B41&gt;=EffectiveWithPILON),0,IF(B41&gt;=EffectiveWithPILON,H41+MAX(I$24:I41),IF(B41&gt;=NoticeStartDate,H41,"")))</f>
        <v>#NUM!</v>
      </c>
      <c r="K41" s="9" t="e">
        <f t="shared" si="6"/>
        <v>#NUM!</v>
      </c>
    </row>
    <row r="42" spans="1:11">
      <c r="A42" s="149" t="e">
        <f>IF(B42&lt;MIN('A1 Contract'!$B$36:$B$45),0,IF(B42&gt;MAX('A1 Contract'!$B$36:$B$45),MAX('A1 Contract'!$A$36:$A$45),LOOKUP(B42,'A1 Contract'!$B$36:$B$45,'A1 Contract'!$A$36:$A$45)))</f>
        <v>#NUM!</v>
      </c>
      <c r="B42" s="152" t="e">
        <f t="shared" si="7"/>
        <v>#NUM!</v>
      </c>
      <c r="C42" s="129" t="e">
        <f t="shared" si="0"/>
        <v>#NUM!</v>
      </c>
      <c r="D42" s="133" t="e">
        <f>IF($A42=0,"",MAX(C$24:C42))</f>
        <v>#NUM!</v>
      </c>
      <c r="E42" s="134" t="e">
        <f t="shared" si="1"/>
        <v>#NUM!</v>
      </c>
      <c r="F42" s="129" t="e">
        <f t="shared" si="5"/>
        <v>#NUM!</v>
      </c>
      <c r="G42" s="8" t="e">
        <f t="shared" si="2"/>
        <v>#NUM!</v>
      </c>
      <c r="H42" s="14" t="e">
        <f t="shared" si="3"/>
        <v>#NUM!</v>
      </c>
      <c r="I42" s="14" t="e">
        <f t="shared" si="4"/>
        <v>#NUM!</v>
      </c>
      <c r="J42" s="14" t="e">
        <f>IF(AND(ReducedOrTerminated="Terminated",$B42&gt;=EffectiveWithPILON),0,IF(B42&gt;=EffectiveWithPILON,H42+MAX(I$24:I42),IF(B42&gt;=NoticeStartDate,H42,"")))</f>
        <v>#NUM!</v>
      </c>
      <c r="K42" s="9" t="e">
        <f t="shared" si="6"/>
        <v>#NUM!</v>
      </c>
    </row>
    <row r="43" spans="1:11">
      <c r="A43" s="149" t="e">
        <f>IF(B43&lt;MIN('A1 Contract'!$B$36:$B$45),0,IF(B43&gt;MAX('A1 Contract'!$B$36:$B$45),MAX('A1 Contract'!$A$36:$A$45),LOOKUP(B43,'A1 Contract'!$B$36:$B$45,'A1 Contract'!$A$36:$A$45)))</f>
        <v>#NUM!</v>
      </c>
      <c r="B43" s="152" t="e">
        <f t="shared" si="7"/>
        <v>#NUM!</v>
      </c>
      <c r="C43" s="129" t="e">
        <f t="shared" si="0"/>
        <v>#NUM!</v>
      </c>
      <c r="D43" s="133" t="e">
        <f>IF($A43=0,"",MAX(C$24:C43))</f>
        <v>#NUM!</v>
      </c>
      <c r="E43" s="134" t="e">
        <f t="shared" si="1"/>
        <v>#NUM!</v>
      </c>
      <c r="F43" s="129" t="e">
        <f t="shared" si="5"/>
        <v>#NUM!</v>
      </c>
      <c r="G43" s="8" t="e">
        <f t="shared" si="2"/>
        <v>#NUM!</v>
      </c>
      <c r="H43" s="14" t="e">
        <f t="shared" si="3"/>
        <v>#NUM!</v>
      </c>
      <c r="I43" s="14" t="e">
        <f t="shared" si="4"/>
        <v>#NUM!</v>
      </c>
      <c r="J43" s="14" t="e">
        <f>IF(AND(ReducedOrTerminated="Terminated",$B43&gt;=EffectiveWithPILON),0,IF(B43&gt;=EffectiveWithPILON,H43+MAX(I$24:I43),IF(B43&gt;=NoticeStartDate,H43,"")))</f>
        <v>#NUM!</v>
      </c>
      <c r="K43" s="9" t="e">
        <f t="shared" si="6"/>
        <v>#NUM!</v>
      </c>
    </row>
    <row r="44" spans="1:11">
      <c r="A44" s="149" t="e">
        <f>IF(B44&lt;MIN('A1 Contract'!$B$36:$B$45),0,IF(B44&gt;MAX('A1 Contract'!$B$36:$B$45),MAX('A1 Contract'!$A$36:$A$45),LOOKUP(B44,'A1 Contract'!$B$36:$B$45,'A1 Contract'!$A$36:$A$45)))</f>
        <v>#NUM!</v>
      </c>
      <c r="B44" s="152" t="e">
        <f t="shared" si="7"/>
        <v>#NUM!</v>
      </c>
      <c r="C44" s="129" t="e">
        <f t="shared" si="0"/>
        <v>#NUM!</v>
      </c>
      <c r="D44" s="133" t="e">
        <f>IF($A44=0,"",MAX(C$24:C44))</f>
        <v>#NUM!</v>
      </c>
      <c r="E44" s="134" t="e">
        <f t="shared" si="1"/>
        <v>#NUM!</v>
      </c>
      <c r="F44" s="129" t="e">
        <f t="shared" si="5"/>
        <v>#NUM!</v>
      </c>
      <c r="G44" s="8" t="e">
        <f t="shared" si="2"/>
        <v>#NUM!</v>
      </c>
      <c r="H44" s="14" t="e">
        <f t="shared" si="3"/>
        <v>#NUM!</v>
      </c>
      <c r="I44" s="14" t="e">
        <f t="shared" si="4"/>
        <v>#NUM!</v>
      </c>
      <c r="J44" s="14" t="e">
        <f>IF(AND(ReducedOrTerminated="Terminated",$B44&gt;=EffectiveWithPILON),0,IF(B44&gt;=EffectiveWithPILON,H44+MAX(I$24:I44),IF(B44&gt;=NoticeStartDate,H44,"")))</f>
        <v>#NUM!</v>
      </c>
      <c r="K44" s="9" t="e">
        <f t="shared" si="6"/>
        <v>#NUM!</v>
      </c>
    </row>
    <row r="45" spans="1:11">
      <c r="A45" s="149" t="e">
        <f>IF(B45&lt;MIN('A1 Contract'!$B$36:$B$45),0,IF(B45&gt;MAX('A1 Contract'!$B$36:$B$45),MAX('A1 Contract'!$A$36:$A$45),LOOKUP(B45,'A1 Contract'!$B$36:$B$45,'A1 Contract'!$A$36:$A$45)))</f>
        <v>#NUM!</v>
      </c>
      <c r="B45" s="152" t="e">
        <f t="shared" si="7"/>
        <v>#NUM!</v>
      </c>
      <c r="C45" s="129" t="e">
        <f t="shared" si="0"/>
        <v>#NUM!</v>
      </c>
      <c r="D45" s="133" t="e">
        <f>IF($A45=0,"",MAX(C$24:C45))</f>
        <v>#NUM!</v>
      </c>
      <c r="E45" s="134" t="e">
        <f t="shared" si="1"/>
        <v>#NUM!</v>
      </c>
      <c r="F45" s="129" t="e">
        <f t="shared" si="5"/>
        <v>#NUM!</v>
      </c>
      <c r="G45" s="8" t="e">
        <f t="shared" si="2"/>
        <v>#NUM!</v>
      </c>
      <c r="H45" s="14" t="e">
        <f t="shared" si="3"/>
        <v>#NUM!</v>
      </c>
      <c r="I45" s="14" t="e">
        <f t="shared" si="4"/>
        <v>#NUM!</v>
      </c>
      <c r="J45" s="14" t="e">
        <f>IF(AND(ReducedOrTerminated="Terminated",$B45&gt;=EffectiveWithPILON),0,IF(B45&gt;=EffectiveWithPILON,H45+MAX(I$24:I45),IF(B45&gt;=NoticeStartDate,H45,"")))</f>
        <v>#NUM!</v>
      </c>
      <c r="K45" s="9" t="e">
        <f t="shared" si="6"/>
        <v>#NUM!</v>
      </c>
    </row>
    <row r="46" spans="1:11">
      <c r="A46" s="149" t="e">
        <f>IF(B46&lt;MIN('A1 Contract'!$B$36:$B$45),0,IF(B46&gt;MAX('A1 Contract'!$B$36:$B$45),MAX('A1 Contract'!$A$36:$A$45),LOOKUP(B46,'A1 Contract'!$B$36:$B$45,'A1 Contract'!$A$36:$A$45)))</f>
        <v>#NUM!</v>
      </c>
      <c r="B46" s="152" t="e">
        <f t="shared" si="7"/>
        <v>#NUM!</v>
      </c>
      <c r="C46" s="129" t="e">
        <f t="shared" si="0"/>
        <v>#NUM!</v>
      </c>
      <c r="D46" s="133" t="e">
        <f>IF($A46=0,"",MAX(C$24:C46))</f>
        <v>#NUM!</v>
      </c>
      <c r="E46" s="134" t="e">
        <f t="shared" si="1"/>
        <v>#NUM!</v>
      </c>
      <c r="F46" s="129" t="e">
        <f t="shared" si="5"/>
        <v>#NUM!</v>
      </c>
      <c r="G46" s="8" t="e">
        <f t="shared" si="2"/>
        <v>#NUM!</v>
      </c>
      <c r="H46" s="14" t="e">
        <f t="shared" si="3"/>
        <v>#NUM!</v>
      </c>
      <c r="I46" s="14" t="e">
        <f t="shared" si="4"/>
        <v>#NUM!</v>
      </c>
      <c r="J46" s="14" t="e">
        <f>IF(AND(ReducedOrTerminated="Terminated",$B46&gt;=EffectiveWithPILON),0,IF(B46&gt;=EffectiveWithPILON,H46+MAX(I$24:I46),IF(B46&gt;=NoticeStartDate,H46,"")))</f>
        <v>#NUM!</v>
      </c>
      <c r="K46" s="9" t="e">
        <f t="shared" si="6"/>
        <v>#NUM!</v>
      </c>
    </row>
    <row r="47" spans="1:11">
      <c r="A47" s="149" t="e">
        <f>IF(B47&lt;MIN('A1 Contract'!$B$36:$B$45),0,IF(B47&gt;MAX('A1 Contract'!$B$36:$B$45),MAX('A1 Contract'!$A$36:$A$45),LOOKUP(B47,'A1 Contract'!$B$36:$B$45,'A1 Contract'!$A$36:$A$45)))</f>
        <v>#NUM!</v>
      </c>
      <c r="B47" s="152" t="e">
        <f t="shared" si="7"/>
        <v>#NUM!</v>
      </c>
      <c r="C47" s="129" t="e">
        <f t="shared" si="0"/>
        <v>#NUM!</v>
      </c>
      <c r="D47" s="133" t="e">
        <f>IF($A47=0,"",MAX(C$24:C47))</f>
        <v>#NUM!</v>
      </c>
      <c r="E47" s="134" t="e">
        <f t="shared" si="1"/>
        <v>#NUM!</v>
      </c>
      <c r="F47" s="129" t="e">
        <f t="shared" si="5"/>
        <v>#NUM!</v>
      </c>
      <c r="G47" s="8" t="e">
        <f t="shared" si="2"/>
        <v>#NUM!</v>
      </c>
      <c r="H47" s="14" t="e">
        <f t="shared" si="3"/>
        <v>#NUM!</v>
      </c>
      <c r="I47" s="14" t="e">
        <f t="shared" si="4"/>
        <v>#NUM!</v>
      </c>
      <c r="J47" s="14" t="e">
        <f>IF(AND(ReducedOrTerminated="Terminated",$B47&gt;=EffectiveWithPILON),0,IF(B47&gt;=EffectiveWithPILON,H47+MAX(I$24:I47),IF(B47&gt;=NoticeStartDate,H47,"")))</f>
        <v>#NUM!</v>
      </c>
      <c r="K47" s="9" t="e">
        <f t="shared" si="6"/>
        <v>#NUM!</v>
      </c>
    </row>
    <row r="48" spans="1:11">
      <c r="A48" s="149" t="e">
        <f>IF(B48&lt;MIN('A1 Contract'!$B$36:$B$45),0,IF(B48&gt;MAX('A1 Contract'!$B$36:$B$45),MAX('A1 Contract'!$A$36:$A$45),LOOKUP(B48,'A1 Contract'!$B$36:$B$45,'A1 Contract'!$A$36:$A$45)))</f>
        <v>#NUM!</v>
      </c>
      <c r="B48" s="152" t="e">
        <f t="shared" si="7"/>
        <v>#NUM!</v>
      </c>
      <c r="C48" s="129" t="e">
        <f t="shared" si="0"/>
        <v>#NUM!</v>
      </c>
      <c r="D48" s="133" t="e">
        <f>IF($A48=0,"",MAX(C25:C48))</f>
        <v>#NUM!</v>
      </c>
      <c r="E48" s="134" t="e">
        <f t="shared" si="1"/>
        <v>#NUM!</v>
      </c>
      <c r="F48" s="129" t="e">
        <f t="shared" si="5"/>
        <v>#NUM!</v>
      </c>
      <c r="G48" s="8" t="e">
        <f t="shared" si="2"/>
        <v>#NUM!</v>
      </c>
      <c r="H48" s="14" t="e">
        <f t="shared" si="3"/>
        <v>#NUM!</v>
      </c>
      <c r="I48" s="14" t="e">
        <f t="shared" si="4"/>
        <v>#NUM!</v>
      </c>
      <c r="J48" s="14" t="e">
        <f>IF(AND(ReducedOrTerminated="Terminated",$B48&gt;=EffectiveWithPILON),0,IF(B48&gt;=EffectiveWithPILON,H48+MAX(I$24:I48),IF(B48&gt;=NoticeStartDate,H48,"")))</f>
        <v>#NUM!</v>
      </c>
      <c r="K48" s="9" t="e">
        <f t="shared" si="6"/>
        <v>#NUM!</v>
      </c>
    </row>
    <row r="49" spans="1:13">
      <c r="A49" s="149" t="e">
        <f>IF(B49&lt;MIN('A1 Contract'!$B$36:$B$45),0,IF(B49&gt;MAX('A1 Contract'!$B$36:$B$45),MAX('A1 Contract'!$A$36:$A$45),LOOKUP(B49,'A1 Contract'!$B$36:$B$45,'A1 Contract'!$A$36:$A$45)))</f>
        <v>#NUM!</v>
      </c>
      <c r="B49" s="152" t="e">
        <f t="shared" si="7"/>
        <v>#NUM!</v>
      </c>
      <c r="C49" s="129" t="e">
        <f t="shared" si="0"/>
        <v>#NUM!</v>
      </c>
      <c r="D49" s="133" t="e">
        <f t="shared" ref="D49:D107" si="8">IF($A49=0,"",MAX(C26:C49))</f>
        <v>#NUM!</v>
      </c>
      <c r="E49" s="134" t="e">
        <f t="shared" si="1"/>
        <v>#NUM!</v>
      </c>
      <c r="F49" s="129" t="e">
        <f t="shared" si="5"/>
        <v>#NUM!</v>
      </c>
      <c r="G49" s="8" t="e">
        <f t="shared" si="2"/>
        <v>#NUM!</v>
      </c>
      <c r="H49" s="14" t="e">
        <f t="shared" si="3"/>
        <v>#NUM!</v>
      </c>
      <c r="I49" s="14" t="e">
        <f t="shared" si="4"/>
        <v>#NUM!</v>
      </c>
      <c r="J49" s="14" t="e">
        <f>IF(AND(ReducedOrTerminated="Terminated",$B49&gt;=EffectiveWithPILON),0,IF(B49&gt;=EffectiveWithPILON,H49+MAX(I$24:I49),IF(B49&gt;=NoticeStartDate,H49,"")))</f>
        <v>#NUM!</v>
      </c>
      <c r="K49" s="9" t="e">
        <f t="shared" si="6"/>
        <v>#NUM!</v>
      </c>
    </row>
    <row r="50" spans="1:13">
      <c r="A50" s="149" t="e">
        <f>IF(B50&lt;MIN('A1 Contract'!$B$36:$B$45),0,IF(B50&gt;MAX('A1 Contract'!$B$36:$B$45),MAX('A1 Contract'!$A$36:$A$45),LOOKUP(B50,'A1 Contract'!$B$36:$B$45,'A1 Contract'!$A$36:$A$45)))</f>
        <v>#NUM!</v>
      </c>
      <c r="B50" s="152" t="e">
        <f t="shared" si="7"/>
        <v>#NUM!</v>
      </c>
      <c r="C50" s="129" t="e">
        <f t="shared" si="0"/>
        <v>#NUM!</v>
      </c>
      <c r="D50" s="133" t="e">
        <f t="shared" si="8"/>
        <v>#NUM!</v>
      </c>
      <c r="E50" s="134" t="e">
        <f t="shared" si="1"/>
        <v>#NUM!</v>
      </c>
      <c r="F50" s="129" t="e">
        <f t="shared" si="5"/>
        <v>#NUM!</v>
      </c>
      <c r="G50" s="8" t="e">
        <f t="shared" si="2"/>
        <v>#NUM!</v>
      </c>
      <c r="H50" s="14" t="e">
        <f t="shared" si="3"/>
        <v>#NUM!</v>
      </c>
      <c r="I50" s="14" t="e">
        <f t="shared" si="4"/>
        <v>#NUM!</v>
      </c>
      <c r="J50" s="14" t="e">
        <f>IF(AND(ReducedOrTerminated="Terminated",$B50&gt;=EffectiveWithPILON),0,IF(B50&gt;=EffectiveWithPILON,H50+MAX(I$24:I50),IF(B50&gt;=NoticeStartDate,H50,"")))</f>
        <v>#NUM!</v>
      </c>
      <c r="K50" s="9" t="e">
        <f t="shared" si="6"/>
        <v>#NUM!</v>
      </c>
    </row>
    <row r="51" spans="1:13">
      <c r="A51" s="149" t="e">
        <f>IF(B51&lt;MIN('A1 Contract'!$B$36:$B$45),0,IF(B51&gt;MAX('A1 Contract'!$B$36:$B$45),MAX('A1 Contract'!$A$36:$A$45),LOOKUP(B51,'A1 Contract'!$B$36:$B$45,'A1 Contract'!$A$36:$A$45)))</f>
        <v>#NUM!</v>
      </c>
      <c r="B51" s="152" t="e">
        <f t="shared" si="7"/>
        <v>#NUM!</v>
      </c>
      <c r="C51" s="129" t="e">
        <f t="shared" si="0"/>
        <v>#NUM!</v>
      </c>
      <c r="D51" s="133" t="e">
        <f t="shared" si="8"/>
        <v>#NUM!</v>
      </c>
      <c r="E51" s="134" t="e">
        <f t="shared" si="1"/>
        <v>#NUM!</v>
      </c>
      <c r="F51" s="129" t="e">
        <f t="shared" si="5"/>
        <v>#NUM!</v>
      </c>
      <c r="G51" s="8" t="e">
        <f t="shared" si="2"/>
        <v>#NUM!</v>
      </c>
      <c r="H51" s="14" t="e">
        <f t="shared" si="3"/>
        <v>#NUM!</v>
      </c>
      <c r="I51" s="14" t="e">
        <f t="shared" si="4"/>
        <v>#NUM!</v>
      </c>
      <c r="J51" s="14" t="e">
        <f>IF(AND(ReducedOrTerminated="Terminated",$B51&gt;=EffectiveWithPILON),0,IF(B51&gt;=EffectiveWithPILON,H51+MAX(I$24:I51),IF(B51&gt;=NoticeStartDate,H51,"")))</f>
        <v>#NUM!</v>
      </c>
      <c r="K51" s="9" t="e">
        <f t="shared" si="6"/>
        <v>#NUM!</v>
      </c>
    </row>
    <row r="52" spans="1:13">
      <c r="A52" s="149" t="e">
        <f>IF(B52&lt;MIN('A1 Contract'!$B$36:$B$45),0,IF(B52&gt;MAX('A1 Contract'!$B$36:$B$45),MAX('A1 Contract'!$A$36:$A$45),LOOKUP(B52,'A1 Contract'!$B$36:$B$45,'A1 Contract'!$A$36:$A$45)))</f>
        <v>#NUM!</v>
      </c>
      <c r="B52" s="152" t="e">
        <f t="shared" si="7"/>
        <v>#NUM!</v>
      </c>
      <c r="C52" s="129" t="e">
        <f t="shared" si="0"/>
        <v>#NUM!</v>
      </c>
      <c r="D52" s="133" t="e">
        <f t="shared" si="8"/>
        <v>#NUM!</v>
      </c>
      <c r="E52" s="134" t="e">
        <f t="shared" si="1"/>
        <v>#NUM!</v>
      </c>
      <c r="F52" s="129" t="e">
        <f t="shared" si="5"/>
        <v>#NUM!</v>
      </c>
      <c r="G52" s="8" t="e">
        <f t="shared" si="2"/>
        <v>#NUM!</v>
      </c>
      <c r="H52" s="14" t="e">
        <f t="shared" si="3"/>
        <v>#NUM!</v>
      </c>
      <c r="I52" s="14" t="e">
        <f t="shared" si="4"/>
        <v>#NUM!</v>
      </c>
      <c r="J52" s="14" t="e">
        <f>IF(AND(ReducedOrTerminated="Terminated",$B52&gt;=EffectiveWithPILON),0,IF(B52&gt;=EffectiveWithPILON,H52+MAX(I$24:I52),IF(B52&gt;=NoticeStartDate,H52,"")))</f>
        <v>#NUM!</v>
      </c>
      <c r="K52" s="9" t="e">
        <f t="shared" si="6"/>
        <v>#NUM!</v>
      </c>
    </row>
    <row r="53" spans="1:13">
      <c r="A53" s="149" t="e">
        <f>IF(B53&lt;MIN('A1 Contract'!$B$36:$B$45),0,IF(B53&gt;MAX('A1 Contract'!$B$36:$B$45),MAX('A1 Contract'!$A$36:$A$45),LOOKUP(B53,'A1 Contract'!$B$36:$B$45,'A1 Contract'!$A$36:$A$45)))</f>
        <v>#NUM!</v>
      </c>
      <c r="B53" s="152" t="e">
        <f t="shared" si="7"/>
        <v>#NUM!</v>
      </c>
      <c r="C53" s="129" t="e">
        <f t="shared" si="0"/>
        <v>#NUM!</v>
      </c>
      <c r="D53" s="133" t="e">
        <f t="shared" si="8"/>
        <v>#NUM!</v>
      </c>
      <c r="E53" s="134" t="e">
        <f t="shared" si="1"/>
        <v>#NUM!</v>
      </c>
      <c r="F53" s="129" t="e">
        <f t="shared" si="5"/>
        <v>#NUM!</v>
      </c>
      <c r="G53" s="8" t="e">
        <f t="shared" si="2"/>
        <v>#NUM!</v>
      </c>
      <c r="H53" s="14" t="e">
        <f t="shared" si="3"/>
        <v>#NUM!</v>
      </c>
      <c r="I53" s="14" t="e">
        <f t="shared" si="4"/>
        <v>#NUM!</v>
      </c>
      <c r="J53" s="14" t="e">
        <f>IF(AND(ReducedOrTerminated="Terminated",$B53&gt;=EffectiveWithPILON),0,IF(B53&gt;=EffectiveWithPILON,H53+MAX(I$24:I53),IF(B53&gt;=NoticeStartDate,H53,"")))</f>
        <v>#NUM!</v>
      </c>
      <c r="K53" s="9" t="e">
        <f t="shared" si="6"/>
        <v>#NUM!</v>
      </c>
    </row>
    <row r="54" spans="1:13">
      <c r="A54" s="149" t="e">
        <f>IF(B54&lt;MIN('A1 Contract'!$B$36:$B$45),0,IF(B54&gt;MAX('A1 Contract'!$B$36:$B$45),MAX('A1 Contract'!$A$36:$A$45),LOOKUP(B54,'A1 Contract'!$B$36:$B$45,'A1 Contract'!$A$36:$A$45)))</f>
        <v>#NUM!</v>
      </c>
      <c r="B54" s="152" t="e">
        <f t="shared" si="7"/>
        <v>#NUM!</v>
      </c>
      <c r="C54" s="129" t="e">
        <f t="shared" si="0"/>
        <v>#NUM!</v>
      </c>
      <c r="D54" s="133" t="e">
        <f t="shared" si="8"/>
        <v>#NUM!</v>
      </c>
      <c r="E54" s="134" t="e">
        <f t="shared" si="1"/>
        <v>#NUM!</v>
      </c>
      <c r="F54" s="129" t="e">
        <f t="shared" si="5"/>
        <v>#NUM!</v>
      </c>
      <c r="G54" s="8" t="e">
        <f t="shared" si="2"/>
        <v>#NUM!</v>
      </c>
      <c r="H54" s="14" t="e">
        <f t="shared" si="3"/>
        <v>#NUM!</v>
      </c>
      <c r="I54" s="14" t="e">
        <f t="shared" si="4"/>
        <v>#NUM!</v>
      </c>
      <c r="J54" s="14" t="e">
        <f>IF(AND(ReducedOrTerminated="Terminated",$B54&gt;=EffectiveWithPILON),0,IF(B54&gt;=EffectiveWithPILON,H54+MAX(I$24:I54),IF(B54&gt;=NoticeStartDate,H54,"")))</f>
        <v>#NUM!</v>
      </c>
      <c r="K54" s="9" t="e">
        <f t="shared" si="6"/>
        <v>#NUM!</v>
      </c>
    </row>
    <row r="55" spans="1:13">
      <c r="A55" s="149" t="e">
        <f>IF(B55&lt;MIN('A1 Contract'!$B$36:$B$45),0,IF(B55&gt;MAX('A1 Contract'!$B$36:$B$45),MAX('A1 Contract'!$A$36:$A$45),LOOKUP(B55,'A1 Contract'!$B$36:$B$45,'A1 Contract'!$A$36:$A$45)))</f>
        <v>#NUM!</v>
      </c>
      <c r="B55" s="152" t="e">
        <f t="shared" si="7"/>
        <v>#NUM!</v>
      </c>
      <c r="C55" s="129" t="e">
        <f t="shared" si="0"/>
        <v>#NUM!</v>
      </c>
      <c r="D55" s="133" t="e">
        <f t="shared" si="8"/>
        <v>#NUM!</v>
      </c>
      <c r="E55" s="134" t="e">
        <f t="shared" si="1"/>
        <v>#NUM!</v>
      </c>
      <c r="F55" s="129" t="e">
        <f t="shared" si="5"/>
        <v>#NUM!</v>
      </c>
      <c r="G55" s="8" t="e">
        <f t="shared" si="2"/>
        <v>#NUM!</v>
      </c>
      <c r="H55" s="14" t="e">
        <f t="shared" si="3"/>
        <v>#NUM!</v>
      </c>
      <c r="I55" s="14" t="e">
        <f t="shared" si="4"/>
        <v>#NUM!</v>
      </c>
      <c r="J55" s="14" t="e">
        <f>IF(AND(ReducedOrTerminated="Terminated",$B55&gt;=EffectiveWithPILON),0,IF(B55&gt;=EffectiveWithPILON,H55+MAX(I$24:I55),IF(B55&gt;=NoticeStartDate,H55,"")))</f>
        <v>#NUM!</v>
      </c>
      <c r="K55" s="9" t="e">
        <f t="shared" si="6"/>
        <v>#NUM!</v>
      </c>
    </row>
    <row r="56" spans="1:13">
      <c r="A56" s="149" t="e">
        <f>IF(B56&lt;MIN('A1 Contract'!$B$36:$B$45),0,IF(B56&gt;MAX('A1 Contract'!$B$36:$B$45),MAX('A1 Contract'!$A$36:$A$45),LOOKUP(B56,'A1 Contract'!$B$36:$B$45,'A1 Contract'!$A$36:$A$45)))</f>
        <v>#NUM!</v>
      </c>
      <c r="B56" s="152" t="e">
        <f t="shared" si="7"/>
        <v>#NUM!</v>
      </c>
      <c r="C56" s="129" t="e">
        <f t="shared" ref="C56:C87" si="9">IF(ISNUMBER(VLOOKUP($B56,HistoryLookup,8,FALSE)),VLOOKUP($B56,HistoryLookup,8,FALSE),IF(AND($B56&lt;EffectiveWithPILON,ISNUMBER(AverageDemand)),AverageDemand,VLOOKUP($A56,ContractLookup,4,FALSE)))</f>
        <v>#NUM!</v>
      </c>
      <c r="D56" s="133" t="e">
        <f t="shared" si="8"/>
        <v>#NUM!</v>
      </c>
      <c r="E56" s="134" t="e">
        <f t="shared" ref="E56:E87" si="10">IF($A56=0,"",VLOOKUP($A56,ContractLookup,7,FALSE))</f>
        <v>#NUM!</v>
      </c>
      <c r="F56" s="129" t="e">
        <f t="shared" si="5"/>
        <v>#NUM!</v>
      </c>
      <c r="G56" s="8" t="e">
        <f t="shared" ref="G56:G87" si="11">IF(AND(ReducedOrTerminated="Terminated",$B56&gt;=EffectiveWithPILON),0,IF(AND($B56&gt;=EffectiveWithPILON,$B56&lt;DATE(YEAR(EffectiveWithPILON),MONTH(EffectiveWithPILON)+24,1)),D56-MAX((E56-J56),0),IF(B56&gt;=NoticeStartDate,D56,"")))</f>
        <v>#NUM!</v>
      </c>
      <c r="H56" s="14" t="e">
        <f t="shared" ref="H56:H87" si="12">IF(AND(ReducedOrTerminated="Terminated",$B56&gt;=EffectiveWithPILON),0,IF(A56=0,"",IF(B56&lt;EffectiveWithPILON,VLOOKUP(A56,ContractLookup,7,FALSE),VLOOKUP(A56,ContractLookup,4,FALSE))))</f>
        <v>#NUM!</v>
      </c>
      <c r="I56" s="14" t="e">
        <f t="shared" ref="I56:I87" si="13">IF(AND($B56&gt;=NoticeStartDate,$B56&lt;EffectiveWithPILON),IF(C56&gt;E56,C56-E56,""),"")</f>
        <v>#NUM!</v>
      </c>
      <c r="J56" s="14" t="e">
        <f>IF(AND(ReducedOrTerminated="Terminated",$B56&gt;=EffectiveWithPILON),0,IF(B56&gt;=EffectiveWithPILON,H56+MAX(I$24:I56),IF(B56&gt;=NoticeStartDate,H56,"")))</f>
        <v>#NUM!</v>
      </c>
      <c r="K56" s="9" t="e">
        <f t="shared" si="6"/>
        <v>#NUM!</v>
      </c>
      <c r="L56" s="126"/>
      <c r="M56" s="126"/>
    </row>
    <row r="57" spans="1:13">
      <c r="A57" s="149" t="e">
        <f>IF(B57&lt;MIN('A1 Contract'!$B$36:$B$45),0,IF(B57&gt;MAX('A1 Contract'!$B$36:$B$45),MAX('A1 Contract'!$A$36:$A$45),LOOKUP(B57,'A1 Contract'!$B$36:$B$45,'A1 Contract'!$A$36:$A$45)))</f>
        <v>#NUM!</v>
      </c>
      <c r="B57" s="152" t="e">
        <f t="shared" si="7"/>
        <v>#NUM!</v>
      </c>
      <c r="C57" s="129" t="e">
        <f t="shared" si="9"/>
        <v>#NUM!</v>
      </c>
      <c r="D57" s="133" t="e">
        <f t="shared" si="8"/>
        <v>#NUM!</v>
      </c>
      <c r="E57" s="134" t="e">
        <f t="shared" si="10"/>
        <v>#NUM!</v>
      </c>
      <c r="F57" s="129" t="e">
        <f t="shared" si="5"/>
        <v>#NUM!</v>
      </c>
      <c r="G57" s="8" t="e">
        <f t="shared" si="11"/>
        <v>#NUM!</v>
      </c>
      <c r="H57" s="14" t="e">
        <f t="shared" si="12"/>
        <v>#NUM!</v>
      </c>
      <c r="I57" s="14" t="e">
        <f t="shared" si="13"/>
        <v>#NUM!</v>
      </c>
      <c r="J57" s="14" t="e">
        <f>IF(AND(ReducedOrTerminated="Terminated",$B57&gt;=EffectiveWithPILON),0,IF(B57&gt;=EffectiveWithPILON,H57+MAX(I$24:I57),IF(B57&gt;=NoticeStartDate,H57,"")))</f>
        <v>#NUM!</v>
      </c>
      <c r="K57" s="9" t="e">
        <f t="shared" si="6"/>
        <v>#NUM!</v>
      </c>
      <c r="L57" s="126"/>
    </row>
    <row r="58" spans="1:13">
      <c r="A58" s="149" t="e">
        <f>IF(B58&lt;MIN('A1 Contract'!$B$36:$B$45),0,IF(B58&gt;MAX('A1 Contract'!$B$36:$B$45),MAX('A1 Contract'!$A$36:$A$45),LOOKUP(B58,'A1 Contract'!$B$36:$B$45,'A1 Contract'!$A$36:$A$45)))</f>
        <v>#NUM!</v>
      </c>
      <c r="B58" s="152" t="e">
        <f t="shared" si="7"/>
        <v>#NUM!</v>
      </c>
      <c r="C58" s="129" t="e">
        <f t="shared" si="9"/>
        <v>#NUM!</v>
      </c>
      <c r="D58" s="133" t="e">
        <f t="shared" si="8"/>
        <v>#NUM!</v>
      </c>
      <c r="E58" s="134" t="e">
        <f t="shared" si="10"/>
        <v>#NUM!</v>
      </c>
      <c r="F58" s="129" t="e">
        <f t="shared" si="5"/>
        <v>#NUM!</v>
      </c>
      <c r="G58" s="8" t="e">
        <f t="shared" si="11"/>
        <v>#NUM!</v>
      </c>
      <c r="H58" s="14" t="e">
        <f t="shared" si="12"/>
        <v>#NUM!</v>
      </c>
      <c r="I58" s="14" t="e">
        <f t="shared" si="13"/>
        <v>#NUM!</v>
      </c>
      <c r="J58" s="14" t="e">
        <f>IF(AND(ReducedOrTerminated="Terminated",$B58&gt;=EffectiveWithPILON),0,IF(B58&gt;=EffectiveWithPILON,H58+MAX(I$24:I58),IF(B58&gt;=NoticeStartDate,H58,"")))</f>
        <v>#NUM!</v>
      </c>
      <c r="K58" s="9" t="e">
        <f t="shared" si="6"/>
        <v>#NUM!</v>
      </c>
    </row>
    <row r="59" spans="1:13">
      <c r="A59" s="149" t="e">
        <f>IF(B59&lt;MIN('A1 Contract'!$B$36:$B$45),0,IF(B59&gt;MAX('A1 Contract'!$B$36:$B$45),MAX('A1 Contract'!$A$36:$A$45),LOOKUP(B59,'A1 Contract'!$B$36:$B$45,'A1 Contract'!$A$36:$A$45)))</f>
        <v>#NUM!</v>
      </c>
      <c r="B59" s="152" t="e">
        <f t="shared" si="7"/>
        <v>#NUM!</v>
      </c>
      <c r="C59" s="129" t="e">
        <f t="shared" si="9"/>
        <v>#NUM!</v>
      </c>
      <c r="D59" s="133" t="e">
        <f t="shared" si="8"/>
        <v>#NUM!</v>
      </c>
      <c r="E59" s="134" t="e">
        <f t="shared" si="10"/>
        <v>#NUM!</v>
      </c>
      <c r="F59" s="129" t="e">
        <f t="shared" si="5"/>
        <v>#NUM!</v>
      </c>
      <c r="G59" s="8" t="e">
        <f t="shared" si="11"/>
        <v>#NUM!</v>
      </c>
      <c r="H59" s="14" t="e">
        <f t="shared" si="12"/>
        <v>#NUM!</v>
      </c>
      <c r="I59" s="14" t="e">
        <f t="shared" si="13"/>
        <v>#NUM!</v>
      </c>
      <c r="J59" s="14" t="e">
        <f>IF(AND(ReducedOrTerminated="Terminated",$B59&gt;=EffectiveWithPILON),0,IF(B59&gt;=EffectiveWithPILON,H59+MAX(I$24:I59),IF(B59&gt;=NoticeStartDate,H59,"")))</f>
        <v>#NUM!</v>
      </c>
      <c r="K59" s="9" t="e">
        <f t="shared" si="6"/>
        <v>#NUM!</v>
      </c>
    </row>
    <row r="60" spans="1:13">
      <c r="A60" s="149" t="e">
        <f>IF(B60&lt;MIN('A1 Contract'!$B$36:$B$45),0,IF(B60&gt;MAX('A1 Contract'!$B$36:$B$45),MAX('A1 Contract'!$A$36:$A$45),LOOKUP(B60,'A1 Contract'!$B$36:$B$45,'A1 Contract'!$A$36:$A$45)))</f>
        <v>#NUM!</v>
      </c>
      <c r="B60" s="152" t="e">
        <f t="shared" si="7"/>
        <v>#NUM!</v>
      </c>
      <c r="C60" s="129" t="e">
        <f t="shared" si="9"/>
        <v>#NUM!</v>
      </c>
      <c r="D60" s="133" t="e">
        <f t="shared" si="8"/>
        <v>#NUM!</v>
      </c>
      <c r="E60" s="134" t="e">
        <f t="shared" si="10"/>
        <v>#NUM!</v>
      </c>
      <c r="F60" s="129" t="e">
        <f t="shared" si="5"/>
        <v>#NUM!</v>
      </c>
      <c r="G60" s="8" t="e">
        <f t="shared" si="11"/>
        <v>#NUM!</v>
      </c>
      <c r="H60" s="14" t="e">
        <f t="shared" si="12"/>
        <v>#NUM!</v>
      </c>
      <c r="I60" s="14" t="e">
        <f t="shared" si="13"/>
        <v>#NUM!</v>
      </c>
      <c r="J60" s="14" t="e">
        <f>IF(AND(ReducedOrTerminated="Terminated",$B60&gt;=EffectiveWithPILON),0,IF(B60&gt;=EffectiveWithPILON,H60+MAX(I$24:I60),IF(B60&gt;=NoticeStartDate,H60,"")))</f>
        <v>#NUM!</v>
      </c>
      <c r="K60" s="9" t="e">
        <f t="shared" si="6"/>
        <v>#NUM!</v>
      </c>
    </row>
    <row r="61" spans="1:13">
      <c r="A61" s="149" t="e">
        <f>IF(B61&lt;MIN('A1 Contract'!$B$36:$B$45),0,IF(B61&gt;MAX('A1 Contract'!$B$36:$B$45),MAX('A1 Contract'!$A$36:$A$45),LOOKUP(B61,'A1 Contract'!$B$36:$B$45,'A1 Contract'!$A$36:$A$45)))</f>
        <v>#NUM!</v>
      </c>
      <c r="B61" s="152" t="e">
        <f t="shared" si="7"/>
        <v>#NUM!</v>
      </c>
      <c r="C61" s="129" t="e">
        <f t="shared" si="9"/>
        <v>#NUM!</v>
      </c>
      <c r="D61" s="133" t="e">
        <f t="shared" si="8"/>
        <v>#NUM!</v>
      </c>
      <c r="E61" s="134" t="e">
        <f t="shared" si="10"/>
        <v>#NUM!</v>
      </c>
      <c r="F61" s="129" t="e">
        <f t="shared" si="5"/>
        <v>#NUM!</v>
      </c>
      <c r="G61" s="8" t="e">
        <f t="shared" si="11"/>
        <v>#NUM!</v>
      </c>
      <c r="H61" s="14" t="e">
        <f t="shared" si="12"/>
        <v>#NUM!</v>
      </c>
      <c r="I61" s="14" t="e">
        <f t="shared" si="13"/>
        <v>#NUM!</v>
      </c>
      <c r="J61" s="14" t="e">
        <f>IF(AND(ReducedOrTerminated="Terminated",$B61&gt;=EffectiveWithPILON),0,IF(B61&gt;=EffectiveWithPILON,H61+MAX(I$24:I61),IF(B61&gt;=NoticeStartDate,H61,"")))</f>
        <v>#NUM!</v>
      </c>
      <c r="K61" s="9" t="e">
        <f t="shared" si="6"/>
        <v>#NUM!</v>
      </c>
    </row>
    <row r="62" spans="1:13">
      <c r="A62" s="149" t="e">
        <f>IF(B62&lt;MIN('A1 Contract'!$B$36:$B$45),0,IF(B62&gt;MAX('A1 Contract'!$B$36:$B$45),MAX('A1 Contract'!$A$36:$A$45),LOOKUP(B62,'A1 Contract'!$B$36:$B$45,'A1 Contract'!$A$36:$A$45)))</f>
        <v>#NUM!</v>
      </c>
      <c r="B62" s="152" t="e">
        <f t="shared" si="7"/>
        <v>#NUM!</v>
      </c>
      <c r="C62" s="129" t="e">
        <f t="shared" si="9"/>
        <v>#NUM!</v>
      </c>
      <c r="D62" s="133" t="e">
        <f t="shared" si="8"/>
        <v>#NUM!</v>
      </c>
      <c r="E62" s="134" t="e">
        <f t="shared" si="10"/>
        <v>#NUM!</v>
      </c>
      <c r="F62" s="129" t="e">
        <f t="shared" si="5"/>
        <v>#NUM!</v>
      </c>
      <c r="G62" s="8" t="e">
        <f t="shared" si="11"/>
        <v>#NUM!</v>
      </c>
      <c r="H62" s="14" t="e">
        <f t="shared" si="12"/>
        <v>#NUM!</v>
      </c>
      <c r="I62" s="14" t="e">
        <f t="shared" si="13"/>
        <v>#NUM!</v>
      </c>
      <c r="J62" s="14" t="e">
        <f>IF(AND(ReducedOrTerminated="Terminated",$B62&gt;=EffectiveWithPILON),0,IF(B62&gt;=EffectiveWithPILON,H62+MAX(I$24:I62),IF(B62&gt;=NoticeStartDate,H62,"")))</f>
        <v>#NUM!</v>
      </c>
      <c r="K62" s="9" t="e">
        <f t="shared" si="6"/>
        <v>#NUM!</v>
      </c>
    </row>
    <row r="63" spans="1:13">
      <c r="A63" s="149" t="e">
        <f>IF(B63&lt;MIN('A1 Contract'!$B$36:$B$45),0,IF(B63&gt;MAX('A1 Contract'!$B$36:$B$45),MAX('A1 Contract'!$A$36:$A$45),LOOKUP(B63,'A1 Contract'!$B$36:$B$45,'A1 Contract'!$A$36:$A$45)))</f>
        <v>#NUM!</v>
      </c>
      <c r="B63" s="152" t="e">
        <f t="shared" si="7"/>
        <v>#NUM!</v>
      </c>
      <c r="C63" s="129" t="e">
        <f t="shared" si="9"/>
        <v>#NUM!</v>
      </c>
      <c r="D63" s="133" t="e">
        <f t="shared" si="8"/>
        <v>#NUM!</v>
      </c>
      <c r="E63" s="134" t="e">
        <f t="shared" si="10"/>
        <v>#NUM!</v>
      </c>
      <c r="F63" s="129" t="e">
        <f t="shared" si="5"/>
        <v>#NUM!</v>
      </c>
      <c r="G63" s="8" t="e">
        <f t="shared" si="11"/>
        <v>#NUM!</v>
      </c>
      <c r="H63" s="14" t="e">
        <f t="shared" si="12"/>
        <v>#NUM!</v>
      </c>
      <c r="I63" s="14" t="e">
        <f t="shared" si="13"/>
        <v>#NUM!</v>
      </c>
      <c r="J63" s="14" t="e">
        <f>IF(AND(ReducedOrTerminated="Terminated",$B63&gt;=EffectiveWithPILON),0,IF(B63&gt;=EffectiveWithPILON,H63+MAX(I$24:I63),IF(B63&gt;=NoticeStartDate,H63,"")))</f>
        <v>#NUM!</v>
      </c>
      <c r="K63" s="9" t="e">
        <f t="shared" si="6"/>
        <v>#NUM!</v>
      </c>
    </row>
    <row r="64" spans="1:13">
      <c r="A64" s="149" t="e">
        <f>IF(B64&lt;MIN('A1 Contract'!$B$36:$B$45),0,IF(B64&gt;MAX('A1 Contract'!$B$36:$B$45),MAX('A1 Contract'!$A$36:$A$45),LOOKUP(B64,'A1 Contract'!$B$36:$B$45,'A1 Contract'!$A$36:$A$45)))</f>
        <v>#NUM!</v>
      </c>
      <c r="B64" s="152" t="e">
        <f t="shared" si="7"/>
        <v>#NUM!</v>
      </c>
      <c r="C64" s="129" t="e">
        <f t="shared" si="9"/>
        <v>#NUM!</v>
      </c>
      <c r="D64" s="133" t="e">
        <f t="shared" si="8"/>
        <v>#NUM!</v>
      </c>
      <c r="E64" s="134" t="e">
        <f t="shared" si="10"/>
        <v>#NUM!</v>
      </c>
      <c r="F64" s="129" t="e">
        <f t="shared" si="5"/>
        <v>#NUM!</v>
      </c>
      <c r="G64" s="8" t="e">
        <f t="shared" si="11"/>
        <v>#NUM!</v>
      </c>
      <c r="H64" s="14" t="e">
        <f t="shared" si="12"/>
        <v>#NUM!</v>
      </c>
      <c r="I64" s="14" t="e">
        <f t="shared" si="13"/>
        <v>#NUM!</v>
      </c>
      <c r="J64" s="14" t="e">
        <f>IF(AND(ReducedOrTerminated="Terminated",$B64&gt;=EffectiveWithPILON),0,IF(B64&gt;=EffectiveWithPILON,H64+MAX(I$24:I64),IF(B64&gt;=NoticeStartDate,H64,"")))</f>
        <v>#NUM!</v>
      </c>
      <c r="K64" s="9" t="e">
        <f t="shared" si="6"/>
        <v>#NUM!</v>
      </c>
    </row>
    <row r="65" spans="1:11">
      <c r="A65" s="149" t="e">
        <f>IF(B65&lt;MIN('A1 Contract'!$B$36:$B$45),0,IF(B65&gt;MAX('A1 Contract'!$B$36:$B$45),MAX('A1 Contract'!$A$36:$A$45),LOOKUP(B65,'A1 Contract'!$B$36:$B$45,'A1 Contract'!$A$36:$A$45)))</f>
        <v>#NUM!</v>
      </c>
      <c r="B65" s="152" t="e">
        <f t="shared" si="7"/>
        <v>#NUM!</v>
      </c>
      <c r="C65" s="129" t="e">
        <f t="shared" si="9"/>
        <v>#NUM!</v>
      </c>
      <c r="D65" s="133" t="e">
        <f t="shared" si="8"/>
        <v>#NUM!</v>
      </c>
      <c r="E65" s="134" t="e">
        <f t="shared" si="10"/>
        <v>#NUM!</v>
      </c>
      <c r="F65" s="129" t="e">
        <f t="shared" si="5"/>
        <v>#NUM!</v>
      </c>
      <c r="G65" s="8" t="e">
        <f t="shared" si="11"/>
        <v>#NUM!</v>
      </c>
      <c r="H65" s="14" t="e">
        <f t="shared" si="12"/>
        <v>#NUM!</v>
      </c>
      <c r="I65" s="14" t="e">
        <f t="shared" si="13"/>
        <v>#NUM!</v>
      </c>
      <c r="J65" s="14" t="e">
        <f>IF(AND(ReducedOrTerminated="Terminated",$B65&gt;=EffectiveWithPILON),0,IF(B65&gt;=EffectiveWithPILON,H65+MAX(I$24:I65),IF(B65&gt;=NoticeStartDate,H65,"")))</f>
        <v>#NUM!</v>
      </c>
      <c r="K65" s="9" t="e">
        <f t="shared" si="6"/>
        <v>#NUM!</v>
      </c>
    </row>
    <row r="66" spans="1:11">
      <c r="A66" s="149" t="e">
        <f>IF(B66&lt;MIN('A1 Contract'!$B$36:$B$45),0,IF(B66&gt;MAX('A1 Contract'!$B$36:$B$45),MAX('A1 Contract'!$A$36:$A$45),LOOKUP(B66,'A1 Contract'!$B$36:$B$45,'A1 Contract'!$A$36:$A$45)))</f>
        <v>#NUM!</v>
      </c>
      <c r="B66" s="152" t="e">
        <f t="shared" si="7"/>
        <v>#NUM!</v>
      </c>
      <c r="C66" s="129" t="e">
        <f t="shared" si="9"/>
        <v>#NUM!</v>
      </c>
      <c r="D66" s="133" t="e">
        <f t="shared" si="8"/>
        <v>#NUM!</v>
      </c>
      <c r="E66" s="134" t="e">
        <f t="shared" si="10"/>
        <v>#NUM!</v>
      </c>
      <c r="F66" s="129" t="e">
        <f t="shared" si="5"/>
        <v>#NUM!</v>
      </c>
      <c r="G66" s="8" t="e">
        <f t="shared" si="11"/>
        <v>#NUM!</v>
      </c>
      <c r="H66" s="14" t="e">
        <f t="shared" si="12"/>
        <v>#NUM!</v>
      </c>
      <c r="I66" s="14" t="e">
        <f t="shared" si="13"/>
        <v>#NUM!</v>
      </c>
      <c r="J66" s="14" t="e">
        <f>IF(AND(ReducedOrTerminated="Terminated",$B66&gt;=EffectiveWithPILON),0,IF(B66&gt;=EffectiveWithPILON,H66+MAX(I$24:I66),IF(B66&gt;=NoticeStartDate,H66,"")))</f>
        <v>#NUM!</v>
      </c>
      <c r="K66" s="9" t="e">
        <f t="shared" si="6"/>
        <v>#NUM!</v>
      </c>
    </row>
    <row r="67" spans="1:11">
      <c r="A67" s="149" t="e">
        <f>IF(B67&lt;MIN('A1 Contract'!$B$36:$B$45),0,IF(B67&gt;MAX('A1 Contract'!$B$36:$B$45),MAX('A1 Contract'!$A$36:$A$45),LOOKUP(B67,'A1 Contract'!$B$36:$B$45,'A1 Contract'!$A$36:$A$45)))</f>
        <v>#NUM!</v>
      </c>
      <c r="B67" s="152" t="e">
        <f t="shared" si="7"/>
        <v>#NUM!</v>
      </c>
      <c r="C67" s="129" t="e">
        <f t="shared" si="9"/>
        <v>#NUM!</v>
      </c>
      <c r="D67" s="133" t="e">
        <f t="shared" si="8"/>
        <v>#NUM!</v>
      </c>
      <c r="E67" s="134" t="e">
        <f t="shared" si="10"/>
        <v>#NUM!</v>
      </c>
      <c r="F67" s="129" t="e">
        <f t="shared" si="5"/>
        <v>#NUM!</v>
      </c>
      <c r="G67" s="8" t="e">
        <f t="shared" si="11"/>
        <v>#NUM!</v>
      </c>
      <c r="H67" s="14" t="e">
        <f t="shared" si="12"/>
        <v>#NUM!</v>
      </c>
      <c r="I67" s="14" t="e">
        <f t="shared" si="13"/>
        <v>#NUM!</v>
      </c>
      <c r="J67" s="14" t="e">
        <f>IF(AND(ReducedOrTerminated="Terminated",$B67&gt;=EffectiveWithPILON),0,IF(B67&gt;=EffectiveWithPILON,H67+MAX(I$24:I67),IF(B67&gt;=NoticeStartDate,H67,"")))</f>
        <v>#NUM!</v>
      </c>
      <c r="K67" s="9" t="e">
        <f t="shared" si="6"/>
        <v>#NUM!</v>
      </c>
    </row>
    <row r="68" spans="1:11">
      <c r="A68" s="149" t="e">
        <f>IF(B68&lt;MIN('A1 Contract'!$B$36:$B$45),0,IF(B68&gt;MAX('A1 Contract'!$B$36:$B$45),MAX('A1 Contract'!$A$36:$A$45),LOOKUP(B68,'A1 Contract'!$B$36:$B$45,'A1 Contract'!$A$36:$A$45)))</f>
        <v>#NUM!</v>
      </c>
      <c r="B68" s="152" t="e">
        <f t="shared" si="7"/>
        <v>#NUM!</v>
      </c>
      <c r="C68" s="129" t="e">
        <f t="shared" si="9"/>
        <v>#NUM!</v>
      </c>
      <c r="D68" s="133" t="e">
        <f t="shared" si="8"/>
        <v>#NUM!</v>
      </c>
      <c r="E68" s="134" t="e">
        <f t="shared" si="10"/>
        <v>#NUM!</v>
      </c>
      <c r="F68" s="129" t="e">
        <f t="shared" si="5"/>
        <v>#NUM!</v>
      </c>
      <c r="G68" s="8" t="e">
        <f t="shared" si="11"/>
        <v>#NUM!</v>
      </c>
      <c r="H68" s="14" t="e">
        <f t="shared" si="12"/>
        <v>#NUM!</v>
      </c>
      <c r="I68" s="14" t="e">
        <f t="shared" si="13"/>
        <v>#NUM!</v>
      </c>
      <c r="J68" s="14" t="e">
        <f>IF(AND(ReducedOrTerminated="Terminated",$B68&gt;=EffectiveWithPILON),0,IF(B68&gt;=EffectiveWithPILON,H68+MAX(I$24:I68),IF(B68&gt;=NoticeStartDate,H68,"")))</f>
        <v>#NUM!</v>
      </c>
      <c r="K68" s="9" t="e">
        <f t="shared" si="6"/>
        <v>#NUM!</v>
      </c>
    </row>
    <row r="69" spans="1:11">
      <c r="A69" s="149" t="e">
        <f>IF(B69&lt;MIN('A1 Contract'!$B$36:$B$45),0,IF(B69&gt;MAX('A1 Contract'!$B$36:$B$45),MAX('A1 Contract'!$A$36:$A$45),LOOKUP(B69,'A1 Contract'!$B$36:$B$45,'A1 Contract'!$A$36:$A$45)))</f>
        <v>#NUM!</v>
      </c>
      <c r="B69" s="152" t="e">
        <f t="shared" si="7"/>
        <v>#NUM!</v>
      </c>
      <c r="C69" s="129" t="e">
        <f t="shared" si="9"/>
        <v>#NUM!</v>
      </c>
      <c r="D69" s="133" t="e">
        <f t="shared" si="8"/>
        <v>#NUM!</v>
      </c>
      <c r="E69" s="134" t="e">
        <f t="shared" si="10"/>
        <v>#NUM!</v>
      </c>
      <c r="F69" s="129" t="e">
        <f t="shared" si="5"/>
        <v>#NUM!</v>
      </c>
      <c r="G69" s="8" t="e">
        <f t="shared" si="11"/>
        <v>#NUM!</v>
      </c>
      <c r="H69" s="14" t="e">
        <f t="shared" si="12"/>
        <v>#NUM!</v>
      </c>
      <c r="I69" s="14" t="e">
        <f t="shared" si="13"/>
        <v>#NUM!</v>
      </c>
      <c r="J69" s="14" t="e">
        <f>IF(AND(ReducedOrTerminated="Terminated",$B69&gt;=EffectiveWithPILON),0,IF(B69&gt;=EffectiveWithPILON,H69+MAX(I$24:I69),IF(B69&gt;=NoticeStartDate,H69,"")))</f>
        <v>#NUM!</v>
      </c>
      <c r="K69" s="9" t="e">
        <f t="shared" si="6"/>
        <v>#NUM!</v>
      </c>
    </row>
    <row r="70" spans="1:11">
      <c r="A70" s="149" t="e">
        <f>IF(B70&lt;MIN('A1 Contract'!$B$36:$B$45),0,IF(B70&gt;MAX('A1 Contract'!$B$36:$B$45),MAX('A1 Contract'!$A$36:$A$45),LOOKUP(B70,'A1 Contract'!$B$36:$B$45,'A1 Contract'!$A$36:$A$45)))</f>
        <v>#NUM!</v>
      </c>
      <c r="B70" s="152" t="e">
        <f t="shared" si="7"/>
        <v>#NUM!</v>
      </c>
      <c r="C70" s="129" t="e">
        <f t="shared" si="9"/>
        <v>#NUM!</v>
      </c>
      <c r="D70" s="133" t="e">
        <f t="shared" si="8"/>
        <v>#NUM!</v>
      </c>
      <c r="E70" s="134" t="e">
        <f t="shared" si="10"/>
        <v>#NUM!</v>
      </c>
      <c r="F70" s="129" t="e">
        <f t="shared" si="5"/>
        <v>#NUM!</v>
      </c>
      <c r="G70" s="8" t="e">
        <f t="shared" si="11"/>
        <v>#NUM!</v>
      </c>
      <c r="H70" s="14" t="e">
        <f t="shared" si="12"/>
        <v>#NUM!</v>
      </c>
      <c r="I70" s="14" t="e">
        <f t="shared" si="13"/>
        <v>#NUM!</v>
      </c>
      <c r="J70" s="14" t="e">
        <f>IF(AND(ReducedOrTerminated="Terminated",$B70&gt;=EffectiveWithPILON),0,IF(B70&gt;=EffectiveWithPILON,H70+MAX(I$24:I70),IF(B70&gt;=NoticeStartDate,H70,"")))</f>
        <v>#NUM!</v>
      </c>
      <c r="K70" s="9" t="e">
        <f t="shared" si="6"/>
        <v>#NUM!</v>
      </c>
    </row>
    <row r="71" spans="1:11">
      <c r="A71" s="149" t="e">
        <f>IF(B71&lt;MIN('A1 Contract'!$B$36:$B$45),0,IF(B71&gt;MAX('A1 Contract'!$B$36:$B$45),MAX('A1 Contract'!$A$36:$A$45),LOOKUP(B71,'A1 Contract'!$B$36:$B$45,'A1 Contract'!$A$36:$A$45)))</f>
        <v>#NUM!</v>
      </c>
      <c r="B71" s="152" t="e">
        <f t="shared" si="7"/>
        <v>#NUM!</v>
      </c>
      <c r="C71" s="129" t="e">
        <f t="shared" si="9"/>
        <v>#NUM!</v>
      </c>
      <c r="D71" s="133" t="e">
        <f t="shared" si="8"/>
        <v>#NUM!</v>
      </c>
      <c r="E71" s="134" t="e">
        <f t="shared" si="10"/>
        <v>#NUM!</v>
      </c>
      <c r="F71" s="129" t="e">
        <f t="shared" si="5"/>
        <v>#NUM!</v>
      </c>
      <c r="G71" s="8" t="e">
        <f t="shared" si="11"/>
        <v>#NUM!</v>
      </c>
      <c r="H71" s="14" t="e">
        <f t="shared" si="12"/>
        <v>#NUM!</v>
      </c>
      <c r="I71" s="14" t="e">
        <f t="shared" si="13"/>
        <v>#NUM!</v>
      </c>
      <c r="J71" s="14" t="e">
        <f>IF(AND(ReducedOrTerminated="Terminated",$B71&gt;=EffectiveWithPILON),0,IF(B71&gt;=EffectiveWithPILON,H71+MAX(I$24:I71),IF(B71&gt;=NoticeStartDate,H71,"")))</f>
        <v>#NUM!</v>
      </c>
      <c r="K71" s="9" t="e">
        <f t="shared" si="6"/>
        <v>#NUM!</v>
      </c>
    </row>
    <row r="72" spans="1:11">
      <c r="A72" s="149" t="e">
        <f>IF(B72&lt;MIN('A1 Contract'!$B$36:$B$45),0,IF(B72&gt;MAX('A1 Contract'!$B$36:$B$45),MAX('A1 Contract'!$A$36:$A$45),LOOKUP(B72,'A1 Contract'!$B$36:$B$45,'A1 Contract'!$A$36:$A$45)))</f>
        <v>#NUM!</v>
      </c>
      <c r="B72" s="152" t="e">
        <f t="shared" si="7"/>
        <v>#NUM!</v>
      </c>
      <c r="C72" s="129" t="e">
        <f t="shared" si="9"/>
        <v>#NUM!</v>
      </c>
      <c r="D72" s="133" t="e">
        <f t="shared" si="8"/>
        <v>#NUM!</v>
      </c>
      <c r="E72" s="134" t="e">
        <f t="shared" si="10"/>
        <v>#NUM!</v>
      </c>
      <c r="F72" s="129" t="e">
        <f t="shared" si="5"/>
        <v>#NUM!</v>
      </c>
      <c r="G72" s="8" t="e">
        <f t="shared" si="11"/>
        <v>#NUM!</v>
      </c>
      <c r="H72" s="14" t="e">
        <f t="shared" si="12"/>
        <v>#NUM!</v>
      </c>
      <c r="I72" s="14" t="e">
        <f t="shared" si="13"/>
        <v>#NUM!</v>
      </c>
      <c r="J72" s="14" t="e">
        <f>IF(AND(ReducedOrTerminated="Terminated",$B72&gt;=EffectiveWithPILON),0,IF(B72&gt;=EffectiveWithPILON,H72+MAX(I$24:I72),IF(B72&gt;=NoticeStartDate,H72,"")))</f>
        <v>#NUM!</v>
      </c>
      <c r="K72" s="9" t="e">
        <f t="shared" si="6"/>
        <v>#NUM!</v>
      </c>
    </row>
    <row r="73" spans="1:11">
      <c r="A73" s="149" t="e">
        <f>IF(B73&lt;MIN('A1 Contract'!$B$36:$B$45),0,IF(B73&gt;MAX('A1 Contract'!$B$36:$B$45),MAX('A1 Contract'!$A$36:$A$45),LOOKUP(B73,'A1 Contract'!$B$36:$B$45,'A1 Contract'!$A$36:$A$45)))</f>
        <v>#NUM!</v>
      </c>
      <c r="B73" s="152" t="e">
        <f t="shared" si="7"/>
        <v>#NUM!</v>
      </c>
      <c r="C73" s="129" t="e">
        <f t="shared" si="9"/>
        <v>#NUM!</v>
      </c>
      <c r="D73" s="133" t="e">
        <f t="shared" si="8"/>
        <v>#NUM!</v>
      </c>
      <c r="E73" s="134" t="e">
        <f t="shared" si="10"/>
        <v>#NUM!</v>
      </c>
      <c r="F73" s="129" t="e">
        <f t="shared" si="5"/>
        <v>#NUM!</v>
      </c>
      <c r="G73" s="8" t="e">
        <f t="shared" si="11"/>
        <v>#NUM!</v>
      </c>
      <c r="H73" s="14" t="e">
        <f t="shared" si="12"/>
        <v>#NUM!</v>
      </c>
      <c r="I73" s="14" t="e">
        <f t="shared" si="13"/>
        <v>#NUM!</v>
      </c>
      <c r="J73" s="14" t="e">
        <f>IF(AND(ReducedOrTerminated="Terminated",$B73&gt;=EffectiveWithPILON),0,IF(B73&gt;=EffectiveWithPILON,H73+MAX(I$24:I73),IF(B73&gt;=NoticeStartDate,H73,"")))</f>
        <v>#NUM!</v>
      </c>
      <c r="K73" s="9" t="e">
        <f t="shared" si="6"/>
        <v>#NUM!</v>
      </c>
    </row>
    <row r="74" spans="1:11">
      <c r="A74" s="149" t="e">
        <f>IF(B74&lt;MIN('A1 Contract'!$B$36:$B$45),0,IF(B74&gt;MAX('A1 Contract'!$B$36:$B$45),MAX('A1 Contract'!$A$36:$A$45),LOOKUP(B74,'A1 Contract'!$B$36:$B$45,'A1 Contract'!$A$36:$A$45)))</f>
        <v>#NUM!</v>
      </c>
      <c r="B74" s="152" t="e">
        <f t="shared" si="7"/>
        <v>#NUM!</v>
      </c>
      <c r="C74" s="129" t="e">
        <f t="shared" si="9"/>
        <v>#NUM!</v>
      </c>
      <c r="D74" s="133" t="e">
        <f t="shared" si="8"/>
        <v>#NUM!</v>
      </c>
      <c r="E74" s="134" t="e">
        <f t="shared" si="10"/>
        <v>#NUM!</v>
      </c>
      <c r="F74" s="129" t="e">
        <f t="shared" si="5"/>
        <v>#NUM!</v>
      </c>
      <c r="G74" s="8" t="e">
        <f t="shared" si="11"/>
        <v>#NUM!</v>
      </c>
      <c r="H74" s="14" t="e">
        <f t="shared" si="12"/>
        <v>#NUM!</v>
      </c>
      <c r="I74" s="14" t="e">
        <f t="shared" si="13"/>
        <v>#NUM!</v>
      </c>
      <c r="J74" s="14" t="e">
        <f>IF(AND(ReducedOrTerminated="Terminated",$B74&gt;=EffectiveWithPILON),0,IF(B74&gt;=EffectiveWithPILON,H74+MAX(I$24:I74),IF(B74&gt;=NoticeStartDate,H74,"")))</f>
        <v>#NUM!</v>
      </c>
      <c r="K74" s="9" t="e">
        <f t="shared" si="6"/>
        <v>#NUM!</v>
      </c>
    </row>
    <row r="75" spans="1:11">
      <c r="A75" s="149" t="e">
        <f>IF(B75&lt;MIN('A1 Contract'!$B$36:$B$45),0,IF(B75&gt;MAX('A1 Contract'!$B$36:$B$45),MAX('A1 Contract'!$A$36:$A$45),LOOKUP(B75,'A1 Contract'!$B$36:$B$45,'A1 Contract'!$A$36:$A$45)))</f>
        <v>#NUM!</v>
      </c>
      <c r="B75" s="152" t="e">
        <f t="shared" si="7"/>
        <v>#NUM!</v>
      </c>
      <c r="C75" s="129" t="e">
        <f t="shared" si="9"/>
        <v>#NUM!</v>
      </c>
      <c r="D75" s="133" t="e">
        <f t="shared" si="8"/>
        <v>#NUM!</v>
      </c>
      <c r="E75" s="134" t="e">
        <f t="shared" si="10"/>
        <v>#NUM!</v>
      </c>
      <c r="F75" s="129" t="e">
        <f t="shared" si="5"/>
        <v>#NUM!</v>
      </c>
      <c r="G75" s="8" t="e">
        <f t="shared" si="11"/>
        <v>#NUM!</v>
      </c>
      <c r="H75" s="14" t="e">
        <f t="shared" si="12"/>
        <v>#NUM!</v>
      </c>
      <c r="I75" s="14" t="e">
        <f t="shared" si="13"/>
        <v>#NUM!</v>
      </c>
      <c r="J75" s="14" t="e">
        <f>IF(AND(ReducedOrTerminated="Terminated",$B75&gt;=EffectiveWithPILON),0,IF(B75&gt;=EffectiveWithPILON,H75+MAX(I$24:I75),IF(B75&gt;=NoticeStartDate,H75,"")))</f>
        <v>#NUM!</v>
      </c>
      <c r="K75" s="9" t="e">
        <f t="shared" si="6"/>
        <v>#NUM!</v>
      </c>
    </row>
    <row r="76" spans="1:11">
      <c r="A76" s="149" t="e">
        <f>IF(B76&lt;MIN('A1 Contract'!$B$36:$B$45),0,IF(B76&gt;MAX('A1 Contract'!$B$36:$B$45),MAX('A1 Contract'!$A$36:$A$45),LOOKUP(B76,'A1 Contract'!$B$36:$B$45,'A1 Contract'!$A$36:$A$45)))</f>
        <v>#NUM!</v>
      </c>
      <c r="B76" s="152" t="e">
        <f t="shared" si="7"/>
        <v>#NUM!</v>
      </c>
      <c r="C76" s="129" t="e">
        <f t="shared" si="9"/>
        <v>#NUM!</v>
      </c>
      <c r="D76" s="133" t="e">
        <f t="shared" si="8"/>
        <v>#NUM!</v>
      </c>
      <c r="E76" s="134" t="e">
        <f t="shared" si="10"/>
        <v>#NUM!</v>
      </c>
      <c r="F76" s="129" t="e">
        <f t="shared" si="5"/>
        <v>#NUM!</v>
      </c>
      <c r="G76" s="8" t="e">
        <f t="shared" si="11"/>
        <v>#NUM!</v>
      </c>
      <c r="H76" s="14" t="e">
        <f t="shared" si="12"/>
        <v>#NUM!</v>
      </c>
      <c r="I76" s="14" t="e">
        <f t="shared" si="13"/>
        <v>#NUM!</v>
      </c>
      <c r="J76" s="14" t="e">
        <f>IF(AND(ReducedOrTerminated="Terminated",$B76&gt;=EffectiveWithPILON),0,IF(B76&gt;=EffectiveWithPILON,H76+MAX(I$24:I76),IF(B76&gt;=NoticeStartDate,H76,"")))</f>
        <v>#NUM!</v>
      </c>
      <c r="K76" s="9" t="e">
        <f t="shared" si="6"/>
        <v>#NUM!</v>
      </c>
    </row>
    <row r="77" spans="1:11">
      <c r="A77" s="149" t="e">
        <f>IF(B77&lt;MIN('A1 Contract'!$B$36:$B$45),0,IF(B77&gt;MAX('A1 Contract'!$B$36:$B$45),MAX('A1 Contract'!$A$36:$A$45),LOOKUP(B77,'A1 Contract'!$B$36:$B$45,'A1 Contract'!$A$36:$A$45)))</f>
        <v>#NUM!</v>
      </c>
      <c r="B77" s="152" t="e">
        <f t="shared" si="7"/>
        <v>#NUM!</v>
      </c>
      <c r="C77" s="129" t="e">
        <f t="shared" si="9"/>
        <v>#NUM!</v>
      </c>
      <c r="D77" s="133" t="e">
        <f t="shared" si="8"/>
        <v>#NUM!</v>
      </c>
      <c r="E77" s="134" t="e">
        <f t="shared" si="10"/>
        <v>#NUM!</v>
      </c>
      <c r="F77" s="129" t="e">
        <f t="shared" si="5"/>
        <v>#NUM!</v>
      </c>
      <c r="G77" s="8" t="e">
        <f t="shared" si="11"/>
        <v>#NUM!</v>
      </c>
      <c r="H77" s="14" t="e">
        <f t="shared" si="12"/>
        <v>#NUM!</v>
      </c>
      <c r="I77" s="14" t="e">
        <f t="shared" si="13"/>
        <v>#NUM!</v>
      </c>
      <c r="J77" s="14" t="e">
        <f>IF(AND(ReducedOrTerminated="Terminated",$B77&gt;=EffectiveWithPILON),0,IF(B77&gt;=EffectiveWithPILON,H77+MAX(I$24:I77),IF(B77&gt;=NoticeStartDate,H77,"")))</f>
        <v>#NUM!</v>
      </c>
      <c r="K77" s="9" t="e">
        <f t="shared" si="6"/>
        <v>#NUM!</v>
      </c>
    </row>
    <row r="78" spans="1:11">
      <c r="A78" s="149" t="e">
        <f>IF(B78&lt;MIN('A1 Contract'!$B$36:$B$45),0,IF(B78&gt;MAX('A1 Contract'!$B$36:$B$45),MAX('A1 Contract'!$A$36:$A$45),LOOKUP(B78,'A1 Contract'!$B$36:$B$45,'A1 Contract'!$A$36:$A$45)))</f>
        <v>#NUM!</v>
      </c>
      <c r="B78" s="152" t="e">
        <f t="shared" si="7"/>
        <v>#NUM!</v>
      </c>
      <c r="C78" s="129" t="e">
        <f t="shared" si="9"/>
        <v>#NUM!</v>
      </c>
      <c r="D78" s="133" t="e">
        <f t="shared" si="8"/>
        <v>#NUM!</v>
      </c>
      <c r="E78" s="134" t="e">
        <f t="shared" si="10"/>
        <v>#NUM!</v>
      </c>
      <c r="F78" s="129" t="e">
        <f t="shared" si="5"/>
        <v>#NUM!</v>
      </c>
      <c r="G78" s="8" t="e">
        <f t="shared" si="11"/>
        <v>#NUM!</v>
      </c>
      <c r="H78" s="14" t="e">
        <f t="shared" si="12"/>
        <v>#NUM!</v>
      </c>
      <c r="I78" s="14" t="e">
        <f t="shared" si="13"/>
        <v>#NUM!</v>
      </c>
      <c r="J78" s="14" t="e">
        <f>IF(AND(ReducedOrTerminated="Terminated",$B78&gt;=EffectiveWithPILON),0,IF(B78&gt;=EffectiveWithPILON,H78+MAX(I$24:I78),IF(B78&gt;=NoticeStartDate,H78,"")))</f>
        <v>#NUM!</v>
      </c>
      <c r="K78" s="9" t="e">
        <f t="shared" si="6"/>
        <v>#NUM!</v>
      </c>
    </row>
    <row r="79" spans="1:11">
      <c r="A79" s="149" t="e">
        <f>IF(B79&lt;MIN('A1 Contract'!$B$36:$B$45),0,IF(B79&gt;MAX('A1 Contract'!$B$36:$B$45),MAX('A1 Contract'!$A$36:$A$45),LOOKUP(B79,'A1 Contract'!$B$36:$B$45,'A1 Contract'!$A$36:$A$45)))</f>
        <v>#NUM!</v>
      </c>
      <c r="B79" s="152" t="e">
        <f t="shared" si="7"/>
        <v>#NUM!</v>
      </c>
      <c r="C79" s="129" t="e">
        <f t="shared" si="9"/>
        <v>#NUM!</v>
      </c>
      <c r="D79" s="133" t="e">
        <f t="shared" si="8"/>
        <v>#NUM!</v>
      </c>
      <c r="E79" s="134" t="e">
        <f t="shared" si="10"/>
        <v>#NUM!</v>
      </c>
      <c r="F79" s="129" t="e">
        <f t="shared" si="5"/>
        <v>#NUM!</v>
      </c>
      <c r="G79" s="8" t="e">
        <f t="shared" si="11"/>
        <v>#NUM!</v>
      </c>
      <c r="H79" s="14" t="e">
        <f t="shared" si="12"/>
        <v>#NUM!</v>
      </c>
      <c r="I79" s="14" t="e">
        <f t="shared" si="13"/>
        <v>#NUM!</v>
      </c>
      <c r="J79" s="14" t="e">
        <f>IF(AND(ReducedOrTerminated="Terminated",$B79&gt;=EffectiveWithPILON),0,IF(B79&gt;=EffectiveWithPILON,H79+MAX(I$24:I79),IF(B79&gt;=NoticeStartDate,H79,"")))</f>
        <v>#NUM!</v>
      </c>
      <c r="K79" s="9" t="e">
        <f t="shared" si="6"/>
        <v>#NUM!</v>
      </c>
    </row>
    <row r="80" spans="1:11">
      <c r="A80" s="149" t="e">
        <f>IF(B80&lt;MIN('A1 Contract'!$B$36:$B$45),0,IF(B80&gt;MAX('A1 Contract'!$B$36:$B$45),MAX('A1 Contract'!$A$36:$A$45),LOOKUP(B80,'A1 Contract'!$B$36:$B$45,'A1 Contract'!$A$36:$A$45)))</f>
        <v>#NUM!</v>
      </c>
      <c r="B80" s="152" t="e">
        <f t="shared" si="7"/>
        <v>#NUM!</v>
      </c>
      <c r="C80" s="129" t="e">
        <f t="shared" si="9"/>
        <v>#NUM!</v>
      </c>
      <c r="D80" s="133" t="e">
        <f t="shared" si="8"/>
        <v>#NUM!</v>
      </c>
      <c r="E80" s="134" t="e">
        <f t="shared" si="10"/>
        <v>#NUM!</v>
      </c>
      <c r="F80" s="129" t="e">
        <f t="shared" si="5"/>
        <v>#NUM!</v>
      </c>
      <c r="G80" s="8" t="e">
        <f t="shared" si="11"/>
        <v>#NUM!</v>
      </c>
      <c r="H80" s="14" t="e">
        <f t="shared" si="12"/>
        <v>#NUM!</v>
      </c>
      <c r="I80" s="14" t="e">
        <f t="shared" si="13"/>
        <v>#NUM!</v>
      </c>
      <c r="J80" s="14" t="e">
        <f>IF(AND(ReducedOrTerminated="Terminated",$B80&gt;=EffectiveWithPILON),0,IF(B80&gt;=EffectiveWithPILON,H80+MAX(I$24:I80),IF(B80&gt;=NoticeStartDate,H80,"")))</f>
        <v>#NUM!</v>
      </c>
      <c r="K80" s="9" t="e">
        <f t="shared" si="6"/>
        <v>#NUM!</v>
      </c>
    </row>
    <row r="81" spans="1:11">
      <c r="A81" s="149" t="e">
        <f>IF(B81&lt;MIN('A1 Contract'!$B$36:$B$45),0,IF(B81&gt;MAX('A1 Contract'!$B$36:$B$45),MAX('A1 Contract'!$A$36:$A$45),LOOKUP(B81,'A1 Contract'!$B$36:$B$45,'A1 Contract'!$A$36:$A$45)))</f>
        <v>#NUM!</v>
      </c>
      <c r="B81" s="152" t="e">
        <f t="shared" si="7"/>
        <v>#NUM!</v>
      </c>
      <c r="C81" s="129" t="e">
        <f t="shared" si="9"/>
        <v>#NUM!</v>
      </c>
      <c r="D81" s="133" t="e">
        <f t="shared" si="8"/>
        <v>#NUM!</v>
      </c>
      <c r="E81" s="134" t="e">
        <f t="shared" si="10"/>
        <v>#NUM!</v>
      </c>
      <c r="F81" s="129" t="e">
        <f t="shared" si="5"/>
        <v>#NUM!</v>
      </c>
      <c r="G81" s="8" t="e">
        <f t="shared" si="11"/>
        <v>#NUM!</v>
      </c>
      <c r="H81" s="14" t="e">
        <f t="shared" si="12"/>
        <v>#NUM!</v>
      </c>
      <c r="I81" s="14" t="e">
        <f t="shared" si="13"/>
        <v>#NUM!</v>
      </c>
      <c r="J81" s="14" t="e">
        <f>IF(AND(ReducedOrTerminated="Terminated",$B81&gt;=EffectiveWithPILON),0,IF(B81&gt;=EffectiveWithPILON,H81+MAX(I$24:I81),IF(B81&gt;=NoticeStartDate,H81,"")))</f>
        <v>#NUM!</v>
      </c>
      <c r="K81" s="9" t="e">
        <f t="shared" si="6"/>
        <v>#NUM!</v>
      </c>
    </row>
    <row r="82" spans="1:11">
      <c r="A82" s="149" t="e">
        <f>IF(B82&lt;MIN('A1 Contract'!$B$36:$B$45),0,IF(B82&gt;MAX('A1 Contract'!$B$36:$B$45),MAX('A1 Contract'!$A$36:$A$45),LOOKUP(B82,'A1 Contract'!$B$36:$B$45,'A1 Contract'!$A$36:$A$45)))</f>
        <v>#NUM!</v>
      </c>
      <c r="B82" s="152" t="e">
        <f t="shared" si="7"/>
        <v>#NUM!</v>
      </c>
      <c r="C82" s="129" t="e">
        <f t="shared" si="9"/>
        <v>#NUM!</v>
      </c>
      <c r="D82" s="133" t="e">
        <f t="shared" si="8"/>
        <v>#NUM!</v>
      </c>
      <c r="E82" s="134" t="e">
        <f t="shared" si="10"/>
        <v>#NUM!</v>
      </c>
      <c r="F82" s="129" t="e">
        <f t="shared" si="5"/>
        <v>#NUM!</v>
      </c>
      <c r="G82" s="8" t="e">
        <f t="shared" si="11"/>
        <v>#NUM!</v>
      </c>
      <c r="H82" s="14" t="e">
        <f t="shared" si="12"/>
        <v>#NUM!</v>
      </c>
      <c r="I82" s="14" t="e">
        <f t="shared" si="13"/>
        <v>#NUM!</v>
      </c>
      <c r="J82" s="14" t="e">
        <f>IF(AND(ReducedOrTerminated="Terminated",$B82&gt;=EffectiveWithPILON),0,IF(B82&gt;=EffectiveWithPILON,H82+MAX(I$24:I82),IF(B82&gt;=NoticeStartDate,H82,"")))</f>
        <v>#NUM!</v>
      </c>
      <c r="K82" s="9" t="e">
        <f t="shared" si="6"/>
        <v>#NUM!</v>
      </c>
    </row>
    <row r="83" spans="1:11">
      <c r="A83" s="149" t="e">
        <f>IF(B83&lt;MIN('A1 Contract'!$B$36:$B$45),0,IF(B83&gt;MAX('A1 Contract'!$B$36:$B$45),MAX('A1 Contract'!$A$36:$A$45),LOOKUP(B83,'A1 Contract'!$B$36:$B$45,'A1 Contract'!$A$36:$A$45)))</f>
        <v>#NUM!</v>
      </c>
      <c r="B83" s="152" t="e">
        <f t="shared" si="7"/>
        <v>#NUM!</v>
      </c>
      <c r="C83" s="129" t="e">
        <f t="shared" si="9"/>
        <v>#NUM!</v>
      </c>
      <c r="D83" s="133" t="e">
        <f t="shared" si="8"/>
        <v>#NUM!</v>
      </c>
      <c r="E83" s="134" t="e">
        <f t="shared" si="10"/>
        <v>#NUM!</v>
      </c>
      <c r="F83" s="129" t="e">
        <f t="shared" si="5"/>
        <v>#NUM!</v>
      </c>
      <c r="G83" s="8" t="e">
        <f t="shared" si="11"/>
        <v>#NUM!</v>
      </c>
      <c r="H83" s="14" t="e">
        <f t="shared" si="12"/>
        <v>#NUM!</v>
      </c>
      <c r="I83" s="14" t="e">
        <f t="shared" si="13"/>
        <v>#NUM!</v>
      </c>
      <c r="J83" s="14" t="e">
        <f>IF(AND(ReducedOrTerminated="Terminated",$B83&gt;=EffectiveWithPILON),0,IF(B83&gt;=EffectiveWithPILON,H83+MAX(I$24:I83),IF(B83&gt;=NoticeStartDate,H83,"")))</f>
        <v>#NUM!</v>
      </c>
      <c r="K83" s="9" t="e">
        <f t="shared" si="6"/>
        <v>#NUM!</v>
      </c>
    </row>
    <row r="84" spans="1:11">
      <c r="A84" s="149" t="e">
        <f>IF(B84&lt;MIN('A1 Contract'!$B$36:$B$45),0,IF(B84&gt;MAX('A1 Contract'!$B$36:$B$45),MAX('A1 Contract'!$A$36:$A$45),LOOKUP(B84,'A1 Contract'!$B$36:$B$45,'A1 Contract'!$A$36:$A$45)))</f>
        <v>#NUM!</v>
      </c>
      <c r="B84" s="152" t="e">
        <f t="shared" si="7"/>
        <v>#NUM!</v>
      </c>
      <c r="C84" s="129" t="e">
        <f t="shared" si="9"/>
        <v>#NUM!</v>
      </c>
      <c r="D84" s="133" t="e">
        <f t="shared" si="8"/>
        <v>#NUM!</v>
      </c>
      <c r="E84" s="134" t="e">
        <f t="shared" si="10"/>
        <v>#NUM!</v>
      </c>
      <c r="F84" s="129" t="e">
        <f t="shared" si="5"/>
        <v>#NUM!</v>
      </c>
      <c r="G84" s="8" t="e">
        <f t="shared" si="11"/>
        <v>#NUM!</v>
      </c>
      <c r="H84" s="14" t="e">
        <f t="shared" si="12"/>
        <v>#NUM!</v>
      </c>
      <c r="I84" s="14" t="e">
        <f t="shared" si="13"/>
        <v>#NUM!</v>
      </c>
      <c r="J84" s="14" t="e">
        <f>IF(AND(ReducedOrTerminated="Terminated",$B84&gt;=EffectiveWithPILON),0,IF(B84&gt;=EffectiveWithPILON,H84+MAX(I$24:I84),IF(B84&gt;=NoticeStartDate,H84,"")))</f>
        <v>#NUM!</v>
      </c>
      <c r="K84" s="9" t="e">
        <f t="shared" si="6"/>
        <v>#NUM!</v>
      </c>
    </row>
    <row r="85" spans="1:11">
      <c r="A85" s="149" t="e">
        <f>IF(B85&lt;MIN('A1 Contract'!$B$36:$B$45),0,IF(B85&gt;MAX('A1 Contract'!$B$36:$B$45),MAX('A1 Contract'!$A$36:$A$45),LOOKUP(B85,'A1 Contract'!$B$36:$B$45,'A1 Contract'!$A$36:$A$45)))</f>
        <v>#NUM!</v>
      </c>
      <c r="B85" s="152" t="e">
        <f t="shared" si="7"/>
        <v>#NUM!</v>
      </c>
      <c r="C85" s="129" t="e">
        <f t="shared" si="9"/>
        <v>#NUM!</v>
      </c>
      <c r="D85" s="133" t="e">
        <f t="shared" si="8"/>
        <v>#NUM!</v>
      </c>
      <c r="E85" s="134" t="e">
        <f t="shared" si="10"/>
        <v>#NUM!</v>
      </c>
      <c r="F85" s="129" t="e">
        <f t="shared" si="5"/>
        <v>#NUM!</v>
      </c>
      <c r="G85" s="8" t="e">
        <f t="shared" si="11"/>
        <v>#NUM!</v>
      </c>
      <c r="H85" s="14" t="e">
        <f t="shared" si="12"/>
        <v>#NUM!</v>
      </c>
      <c r="I85" s="14" t="e">
        <f t="shared" si="13"/>
        <v>#NUM!</v>
      </c>
      <c r="J85" s="14" t="e">
        <f>IF(AND(ReducedOrTerminated="Terminated",$B85&gt;=EffectiveWithPILON),0,IF(B85&gt;=EffectiveWithPILON,H85+MAX(I$24:I85),IF(B85&gt;=NoticeStartDate,H85,"")))</f>
        <v>#NUM!</v>
      </c>
      <c r="K85" s="9" t="e">
        <f t="shared" si="6"/>
        <v>#NUM!</v>
      </c>
    </row>
    <row r="86" spans="1:11">
      <c r="A86" s="149" t="e">
        <f>IF(B86&lt;MIN('A1 Contract'!$B$36:$B$45),0,IF(B86&gt;MAX('A1 Contract'!$B$36:$B$45),MAX('A1 Contract'!$A$36:$A$45),LOOKUP(B86,'A1 Contract'!$B$36:$B$45,'A1 Contract'!$A$36:$A$45)))</f>
        <v>#NUM!</v>
      </c>
      <c r="B86" s="152" t="e">
        <f t="shared" si="7"/>
        <v>#NUM!</v>
      </c>
      <c r="C86" s="129" t="e">
        <f t="shared" si="9"/>
        <v>#NUM!</v>
      </c>
      <c r="D86" s="133" t="e">
        <f t="shared" si="8"/>
        <v>#NUM!</v>
      </c>
      <c r="E86" s="134" t="e">
        <f t="shared" si="10"/>
        <v>#NUM!</v>
      </c>
      <c r="F86" s="129" t="e">
        <f t="shared" si="5"/>
        <v>#NUM!</v>
      </c>
      <c r="G86" s="8" t="e">
        <f t="shared" si="11"/>
        <v>#NUM!</v>
      </c>
      <c r="H86" s="14" t="e">
        <f t="shared" si="12"/>
        <v>#NUM!</v>
      </c>
      <c r="I86" s="14" t="e">
        <f t="shared" si="13"/>
        <v>#NUM!</v>
      </c>
      <c r="J86" s="14" t="e">
        <f>IF(AND(ReducedOrTerminated="Terminated",$B86&gt;=EffectiveWithPILON),0,IF(B86&gt;=EffectiveWithPILON,H86+MAX(I$24:I86),IF(B86&gt;=NoticeStartDate,H86,"")))</f>
        <v>#NUM!</v>
      </c>
      <c r="K86" s="9" t="e">
        <f t="shared" si="6"/>
        <v>#NUM!</v>
      </c>
    </row>
    <row r="87" spans="1:11">
      <c r="A87" s="149" t="e">
        <f>IF(B87&lt;MIN('A1 Contract'!$B$36:$B$45),0,IF(B87&gt;MAX('A1 Contract'!$B$36:$B$45),MAX('A1 Contract'!$A$36:$A$45),LOOKUP(B87,'A1 Contract'!$B$36:$B$45,'A1 Contract'!$A$36:$A$45)))</f>
        <v>#NUM!</v>
      </c>
      <c r="B87" s="152" t="e">
        <f t="shared" si="7"/>
        <v>#NUM!</v>
      </c>
      <c r="C87" s="129" t="e">
        <f t="shared" si="9"/>
        <v>#NUM!</v>
      </c>
      <c r="D87" s="133" t="e">
        <f t="shared" si="8"/>
        <v>#NUM!</v>
      </c>
      <c r="E87" s="134" t="e">
        <f t="shared" si="10"/>
        <v>#NUM!</v>
      </c>
      <c r="F87" s="129" t="e">
        <f t="shared" si="5"/>
        <v>#NUM!</v>
      </c>
      <c r="G87" s="8" t="e">
        <f t="shared" si="11"/>
        <v>#NUM!</v>
      </c>
      <c r="H87" s="14" t="e">
        <f t="shared" si="12"/>
        <v>#NUM!</v>
      </c>
      <c r="I87" s="14" t="e">
        <f t="shared" si="13"/>
        <v>#NUM!</v>
      </c>
      <c r="J87" s="14" t="e">
        <f>IF(AND(ReducedOrTerminated="Terminated",$B87&gt;=EffectiveWithPILON),0,IF(B87&gt;=EffectiveWithPILON,H87+MAX(I$24:I87),IF(B87&gt;=NoticeStartDate,H87,"")))</f>
        <v>#NUM!</v>
      </c>
      <c r="K87" s="9" t="e">
        <f t="shared" si="6"/>
        <v>#NUM!</v>
      </c>
    </row>
    <row r="88" spans="1:11">
      <c r="A88" s="149" t="e">
        <f>IF(B88&lt;MIN('A1 Contract'!$B$36:$B$45),0,IF(B88&gt;MAX('A1 Contract'!$B$36:$B$45),MAX('A1 Contract'!$A$36:$A$45),LOOKUP(B88,'A1 Contract'!$B$36:$B$45,'A1 Contract'!$A$36:$A$45)))</f>
        <v>#NUM!</v>
      </c>
      <c r="B88" s="152" t="e">
        <f t="shared" si="7"/>
        <v>#NUM!</v>
      </c>
      <c r="C88" s="129" t="e">
        <f t="shared" ref="C88:C107" si="14">IF(ISNUMBER(VLOOKUP($B88,HistoryLookup,8,FALSE)),VLOOKUP($B88,HistoryLookup,8,FALSE),IF(AND($B88&lt;EffectiveWithPILON,ISNUMBER(AverageDemand)),AverageDemand,VLOOKUP($A88,ContractLookup,4,FALSE)))</f>
        <v>#NUM!</v>
      </c>
      <c r="D88" s="133" t="e">
        <f t="shared" si="8"/>
        <v>#NUM!</v>
      </c>
      <c r="E88" s="134" t="e">
        <f t="shared" ref="E88:E107" si="15">IF($A88=0,"",VLOOKUP($A88,ContractLookup,7,FALSE))</f>
        <v>#NUM!</v>
      </c>
      <c r="F88" s="129" t="e">
        <f t="shared" si="5"/>
        <v>#NUM!</v>
      </c>
      <c r="G88" s="8" t="e">
        <f t="shared" ref="G88:G107" si="16">IF(AND(ReducedOrTerminated="Terminated",$B88&gt;=EffectiveWithPILON),0,IF(AND($B88&gt;=EffectiveWithPILON,$B88&lt;DATE(YEAR(EffectiveWithPILON),MONTH(EffectiveWithPILON)+24,1)),D88-MAX((E88-J88),0),IF(B88&gt;=NoticeStartDate,D88,"")))</f>
        <v>#NUM!</v>
      </c>
      <c r="H88" s="14" t="e">
        <f t="shared" ref="H88:H107" si="17">IF(AND(ReducedOrTerminated="Terminated",$B88&gt;=EffectiveWithPILON),0,IF(A88=0,"",IF(B88&lt;EffectiveWithPILON,VLOOKUP(A88,ContractLookup,7,FALSE),VLOOKUP(A88,ContractLookup,4,FALSE))))</f>
        <v>#NUM!</v>
      </c>
      <c r="I88" s="14" t="e">
        <f t="shared" ref="I88:I107" si="18">IF(AND($B88&gt;=NoticeStartDate,$B88&lt;EffectiveWithPILON),IF(C88&gt;E88,C88-E88,""),"")</f>
        <v>#NUM!</v>
      </c>
      <c r="J88" s="14" t="e">
        <f>IF(AND(ReducedOrTerminated="Terminated",$B88&gt;=EffectiveWithPILON),0,IF(B88&gt;=EffectiveWithPILON,H88+MAX(I$24:I88),IF(B88&gt;=NoticeStartDate,H88,"")))</f>
        <v>#NUM!</v>
      </c>
      <c r="K88" s="9" t="e">
        <f t="shared" si="6"/>
        <v>#NUM!</v>
      </c>
    </row>
    <row r="89" spans="1:11">
      <c r="A89" s="149" t="e">
        <f>IF(B89&lt;MIN('A1 Contract'!$B$36:$B$45),0,IF(B89&gt;MAX('A1 Contract'!$B$36:$B$45),MAX('A1 Contract'!$A$36:$A$45),LOOKUP(B89,'A1 Contract'!$B$36:$B$45,'A1 Contract'!$A$36:$A$45)))</f>
        <v>#NUM!</v>
      </c>
      <c r="B89" s="152" t="e">
        <f t="shared" si="7"/>
        <v>#NUM!</v>
      </c>
      <c r="C89" s="129" t="e">
        <f t="shared" si="14"/>
        <v>#NUM!</v>
      </c>
      <c r="D89" s="133" t="e">
        <f t="shared" si="8"/>
        <v>#NUM!</v>
      </c>
      <c r="E89" s="134" t="e">
        <f t="shared" si="15"/>
        <v>#NUM!</v>
      </c>
      <c r="F89" s="129" t="e">
        <f t="shared" ref="F89:F107" si="19">IF($A89=0,"",MAX(C89,90%*D89,90%*E89))</f>
        <v>#NUM!</v>
      </c>
      <c r="G89" s="8" t="e">
        <f t="shared" si="16"/>
        <v>#NUM!</v>
      </c>
      <c r="H89" s="14" t="e">
        <f t="shared" si="17"/>
        <v>#NUM!</v>
      </c>
      <c r="I89" s="14" t="e">
        <f t="shared" si="18"/>
        <v>#NUM!</v>
      </c>
      <c r="J89" s="14" t="e">
        <f>IF(AND(ReducedOrTerminated="Terminated",$B89&gt;=EffectiveWithPILON),0,IF(B89&gt;=EffectiveWithPILON,H89+MAX(I$24:I89),IF(B89&gt;=NoticeStartDate,H89,"")))</f>
        <v>#NUM!</v>
      </c>
      <c r="K89" s="9" t="e">
        <f t="shared" ref="K89:K107" si="20">IF(A89=0,"",MAX(C89,90%*G89,90%*J89))</f>
        <v>#NUM!</v>
      </c>
    </row>
    <row r="90" spans="1:11">
      <c r="A90" s="149" t="e">
        <f>IF(B90&lt;MIN('A1 Contract'!$B$36:$B$45),0,IF(B90&gt;MAX('A1 Contract'!$B$36:$B$45),MAX('A1 Contract'!$A$36:$A$45),LOOKUP(B90,'A1 Contract'!$B$36:$B$45,'A1 Contract'!$A$36:$A$45)))</f>
        <v>#NUM!</v>
      </c>
      <c r="B90" s="152" t="e">
        <f t="shared" ref="B90:B107" si="21">DATE(YEAR(B89),MONTH(B89)+1,1)</f>
        <v>#NUM!</v>
      </c>
      <c r="C90" s="129" t="e">
        <f t="shared" si="14"/>
        <v>#NUM!</v>
      </c>
      <c r="D90" s="133" t="e">
        <f t="shared" si="8"/>
        <v>#NUM!</v>
      </c>
      <c r="E90" s="134" t="e">
        <f t="shared" si="15"/>
        <v>#NUM!</v>
      </c>
      <c r="F90" s="129" t="e">
        <f t="shared" si="19"/>
        <v>#NUM!</v>
      </c>
      <c r="G90" s="8" t="e">
        <f t="shared" si="16"/>
        <v>#NUM!</v>
      </c>
      <c r="H90" s="14" t="e">
        <f t="shared" si="17"/>
        <v>#NUM!</v>
      </c>
      <c r="I90" s="14" t="e">
        <f t="shared" si="18"/>
        <v>#NUM!</v>
      </c>
      <c r="J90" s="14" t="e">
        <f>IF(AND(ReducedOrTerminated="Terminated",$B90&gt;=EffectiveWithPILON),0,IF(B90&gt;=EffectiveWithPILON,H90+MAX(I$24:I90),IF(B90&gt;=NoticeStartDate,H90,"")))</f>
        <v>#NUM!</v>
      </c>
      <c r="K90" s="9" t="e">
        <f t="shared" si="20"/>
        <v>#NUM!</v>
      </c>
    </row>
    <row r="91" spans="1:11">
      <c r="A91" s="149" t="e">
        <f>IF(B91&lt;MIN('A1 Contract'!$B$36:$B$45),0,IF(B91&gt;MAX('A1 Contract'!$B$36:$B$45),MAX('A1 Contract'!$A$36:$A$45),LOOKUP(B91,'A1 Contract'!$B$36:$B$45,'A1 Contract'!$A$36:$A$45)))</f>
        <v>#NUM!</v>
      </c>
      <c r="B91" s="152" t="e">
        <f t="shared" si="21"/>
        <v>#NUM!</v>
      </c>
      <c r="C91" s="129" t="e">
        <f t="shared" si="14"/>
        <v>#NUM!</v>
      </c>
      <c r="D91" s="133" t="e">
        <f t="shared" si="8"/>
        <v>#NUM!</v>
      </c>
      <c r="E91" s="134" t="e">
        <f t="shared" si="15"/>
        <v>#NUM!</v>
      </c>
      <c r="F91" s="129" t="e">
        <f t="shared" si="19"/>
        <v>#NUM!</v>
      </c>
      <c r="G91" s="8" t="e">
        <f t="shared" si="16"/>
        <v>#NUM!</v>
      </c>
      <c r="H91" s="14" t="e">
        <f t="shared" si="17"/>
        <v>#NUM!</v>
      </c>
      <c r="I91" s="14" t="e">
        <f t="shared" si="18"/>
        <v>#NUM!</v>
      </c>
      <c r="J91" s="14" t="e">
        <f>IF(AND(ReducedOrTerminated="Terminated",$B91&gt;=EffectiveWithPILON),0,IF(B91&gt;=EffectiveWithPILON,H91+MAX(I$24:I91),IF(B91&gt;=NoticeStartDate,H91,"")))</f>
        <v>#NUM!</v>
      </c>
      <c r="K91" s="9" t="e">
        <f t="shared" si="20"/>
        <v>#NUM!</v>
      </c>
    </row>
    <row r="92" spans="1:11">
      <c r="A92" s="149" t="e">
        <f>IF(B92&lt;MIN('A1 Contract'!$B$36:$B$45),0,IF(B92&gt;MAX('A1 Contract'!$B$36:$B$45),MAX('A1 Contract'!$A$36:$A$45),LOOKUP(B92,'A1 Contract'!$B$36:$B$45,'A1 Contract'!$A$36:$A$45)))</f>
        <v>#NUM!</v>
      </c>
      <c r="B92" s="152" t="e">
        <f t="shared" si="21"/>
        <v>#NUM!</v>
      </c>
      <c r="C92" s="129" t="e">
        <f t="shared" si="14"/>
        <v>#NUM!</v>
      </c>
      <c r="D92" s="133" t="e">
        <f t="shared" si="8"/>
        <v>#NUM!</v>
      </c>
      <c r="E92" s="134" t="e">
        <f t="shared" si="15"/>
        <v>#NUM!</v>
      </c>
      <c r="F92" s="129" t="e">
        <f t="shared" si="19"/>
        <v>#NUM!</v>
      </c>
      <c r="G92" s="8" t="e">
        <f t="shared" si="16"/>
        <v>#NUM!</v>
      </c>
      <c r="H92" s="14" t="e">
        <f t="shared" si="17"/>
        <v>#NUM!</v>
      </c>
      <c r="I92" s="14" t="e">
        <f t="shared" si="18"/>
        <v>#NUM!</v>
      </c>
      <c r="J92" s="14" t="e">
        <f>IF(AND(ReducedOrTerminated="Terminated",$B92&gt;=EffectiveWithPILON),0,IF(B92&gt;=EffectiveWithPILON,H92+MAX(I$24:I92),IF(B92&gt;=NoticeStartDate,H92,"")))</f>
        <v>#NUM!</v>
      </c>
      <c r="K92" s="9" t="e">
        <f t="shared" si="20"/>
        <v>#NUM!</v>
      </c>
    </row>
    <row r="93" spans="1:11">
      <c r="A93" s="149" t="e">
        <f>IF(B93&lt;MIN('A1 Contract'!$B$36:$B$45),0,IF(B93&gt;MAX('A1 Contract'!$B$36:$B$45),MAX('A1 Contract'!$A$36:$A$45),LOOKUP(B93,'A1 Contract'!$B$36:$B$45,'A1 Contract'!$A$36:$A$45)))</f>
        <v>#NUM!</v>
      </c>
      <c r="B93" s="152" t="e">
        <f t="shared" si="21"/>
        <v>#NUM!</v>
      </c>
      <c r="C93" s="129" t="e">
        <f t="shared" si="14"/>
        <v>#NUM!</v>
      </c>
      <c r="D93" s="133" t="e">
        <f t="shared" si="8"/>
        <v>#NUM!</v>
      </c>
      <c r="E93" s="134" t="e">
        <f t="shared" si="15"/>
        <v>#NUM!</v>
      </c>
      <c r="F93" s="129" t="e">
        <f t="shared" si="19"/>
        <v>#NUM!</v>
      </c>
      <c r="G93" s="8" t="e">
        <f t="shared" si="16"/>
        <v>#NUM!</v>
      </c>
      <c r="H93" s="14" t="e">
        <f t="shared" si="17"/>
        <v>#NUM!</v>
      </c>
      <c r="I93" s="14" t="e">
        <f t="shared" si="18"/>
        <v>#NUM!</v>
      </c>
      <c r="J93" s="14" t="e">
        <f>IF(AND(ReducedOrTerminated="Terminated",$B93&gt;=EffectiveWithPILON),0,IF(B93&gt;=EffectiveWithPILON,H93+MAX(I$24:I93),IF(B93&gt;=NoticeStartDate,H93,"")))</f>
        <v>#NUM!</v>
      </c>
      <c r="K93" s="9" t="e">
        <f t="shared" si="20"/>
        <v>#NUM!</v>
      </c>
    </row>
    <row r="94" spans="1:11">
      <c r="A94" s="149" t="e">
        <f>IF(B94&lt;MIN('A1 Contract'!$B$36:$B$45),0,IF(B94&gt;MAX('A1 Contract'!$B$36:$B$45),MAX('A1 Contract'!$A$36:$A$45),LOOKUP(B94,'A1 Contract'!$B$36:$B$45,'A1 Contract'!$A$36:$A$45)))</f>
        <v>#NUM!</v>
      </c>
      <c r="B94" s="152" t="e">
        <f t="shared" si="21"/>
        <v>#NUM!</v>
      </c>
      <c r="C94" s="129" t="e">
        <f t="shared" si="14"/>
        <v>#NUM!</v>
      </c>
      <c r="D94" s="133" t="e">
        <f t="shared" si="8"/>
        <v>#NUM!</v>
      </c>
      <c r="E94" s="134" t="e">
        <f t="shared" si="15"/>
        <v>#NUM!</v>
      </c>
      <c r="F94" s="129" t="e">
        <f t="shared" si="19"/>
        <v>#NUM!</v>
      </c>
      <c r="G94" s="8" t="e">
        <f t="shared" si="16"/>
        <v>#NUM!</v>
      </c>
      <c r="H94" s="14" t="e">
        <f t="shared" si="17"/>
        <v>#NUM!</v>
      </c>
      <c r="I94" s="14" t="e">
        <f t="shared" si="18"/>
        <v>#NUM!</v>
      </c>
      <c r="J94" s="14" t="e">
        <f>IF(AND(ReducedOrTerminated="Terminated",$B94&gt;=EffectiveWithPILON),0,IF(B94&gt;=EffectiveWithPILON,H94+MAX(I$24:I94),IF(B94&gt;=NoticeStartDate,H94,"")))</f>
        <v>#NUM!</v>
      </c>
      <c r="K94" s="9" t="e">
        <f t="shared" si="20"/>
        <v>#NUM!</v>
      </c>
    </row>
    <row r="95" spans="1:11">
      <c r="A95" s="149" t="e">
        <f>IF(B95&lt;MIN('A1 Contract'!$B$36:$B$45),0,IF(B95&gt;MAX('A1 Contract'!$B$36:$B$45),MAX('A1 Contract'!$A$36:$A$45),LOOKUP(B95,'A1 Contract'!$B$36:$B$45,'A1 Contract'!$A$36:$A$45)))</f>
        <v>#NUM!</v>
      </c>
      <c r="B95" s="152" t="e">
        <f t="shared" si="21"/>
        <v>#NUM!</v>
      </c>
      <c r="C95" s="129" t="e">
        <f t="shared" si="14"/>
        <v>#NUM!</v>
      </c>
      <c r="D95" s="133" t="e">
        <f t="shared" si="8"/>
        <v>#NUM!</v>
      </c>
      <c r="E95" s="134" t="e">
        <f t="shared" si="15"/>
        <v>#NUM!</v>
      </c>
      <c r="F95" s="129" t="e">
        <f t="shared" si="19"/>
        <v>#NUM!</v>
      </c>
      <c r="G95" s="8" t="e">
        <f t="shared" si="16"/>
        <v>#NUM!</v>
      </c>
      <c r="H95" s="14" t="e">
        <f t="shared" si="17"/>
        <v>#NUM!</v>
      </c>
      <c r="I95" s="14" t="e">
        <f t="shared" si="18"/>
        <v>#NUM!</v>
      </c>
      <c r="J95" s="14" t="e">
        <f>IF(AND(ReducedOrTerminated="Terminated",$B95&gt;=EffectiveWithPILON),0,IF(B95&gt;=EffectiveWithPILON,H95+MAX(I$24:I95),IF(B95&gt;=NoticeStartDate,H95,"")))</f>
        <v>#NUM!</v>
      </c>
      <c r="K95" s="9" t="e">
        <f t="shared" si="20"/>
        <v>#NUM!</v>
      </c>
    </row>
    <row r="96" spans="1:11">
      <c r="A96" s="149" t="e">
        <f>IF(B96&lt;MIN('A1 Contract'!$B$36:$B$45),0,IF(B96&gt;MAX('A1 Contract'!$B$36:$B$45),MAX('A1 Contract'!$A$36:$A$45),LOOKUP(B96,'A1 Contract'!$B$36:$B$45,'A1 Contract'!$A$36:$A$45)))</f>
        <v>#NUM!</v>
      </c>
      <c r="B96" s="152" t="e">
        <f t="shared" si="21"/>
        <v>#NUM!</v>
      </c>
      <c r="C96" s="129" t="e">
        <f t="shared" si="14"/>
        <v>#NUM!</v>
      </c>
      <c r="D96" s="133" t="e">
        <f t="shared" si="8"/>
        <v>#NUM!</v>
      </c>
      <c r="E96" s="134" t="e">
        <f t="shared" si="15"/>
        <v>#NUM!</v>
      </c>
      <c r="F96" s="129" t="e">
        <f t="shared" si="19"/>
        <v>#NUM!</v>
      </c>
      <c r="G96" s="8" t="e">
        <f t="shared" si="16"/>
        <v>#NUM!</v>
      </c>
      <c r="H96" s="14" t="e">
        <f t="shared" si="17"/>
        <v>#NUM!</v>
      </c>
      <c r="I96" s="14" t="e">
        <f t="shared" si="18"/>
        <v>#NUM!</v>
      </c>
      <c r="J96" s="14" t="e">
        <f>IF(AND(ReducedOrTerminated="Terminated",$B96&gt;=EffectiveWithPILON),0,IF(B96&gt;=EffectiveWithPILON,H96+MAX(I$24:I96),IF(B96&gt;=NoticeStartDate,H96,"")))</f>
        <v>#NUM!</v>
      </c>
      <c r="K96" s="9" t="e">
        <f t="shared" si="20"/>
        <v>#NUM!</v>
      </c>
    </row>
    <row r="97" spans="1:11">
      <c r="A97" s="149" t="e">
        <f>IF(B97&lt;MIN('A1 Contract'!$B$36:$B$45),0,IF(B97&gt;MAX('A1 Contract'!$B$36:$B$45),MAX('A1 Contract'!$A$36:$A$45),LOOKUP(B97,'A1 Contract'!$B$36:$B$45,'A1 Contract'!$A$36:$A$45)))</f>
        <v>#NUM!</v>
      </c>
      <c r="B97" s="152" t="e">
        <f t="shared" si="21"/>
        <v>#NUM!</v>
      </c>
      <c r="C97" s="129" t="e">
        <f t="shared" si="14"/>
        <v>#NUM!</v>
      </c>
      <c r="D97" s="133" t="e">
        <f t="shared" si="8"/>
        <v>#NUM!</v>
      </c>
      <c r="E97" s="134" t="e">
        <f t="shared" si="15"/>
        <v>#NUM!</v>
      </c>
      <c r="F97" s="129" t="e">
        <f t="shared" si="19"/>
        <v>#NUM!</v>
      </c>
      <c r="G97" s="8" t="e">
        <f t="shared" si="16"/>
        <v>#NUM!</v>
      </c>
      <c r="H97" s="14" t="e">
        <f t="shared" si="17"/>
        <v>#NUM!</v>
      </c>
      <c r="I97" s="14" t="e">
        <f t="shared" si="18"/>
        <v>#NUM!</v>
      </c>
      <c r="J97" s="14" t="e">
        <f>IF(AND(ReducedOrTerminated="Terminated",$B97&gt;=EffectiveWithPILON),0,IF(B97&gt;=EffectiveWithPILON,H97+MAX(I$24:I97),IF(B97&gt;=NoticeStartDate,H97,"")))</f>
        <v>#NUM!</v>
      </c>
      <c r="K97" s="9" t="e">
        <f t="shared" si="20"/>
        <v>#NUM!</v>
      </c>
    </row>
    <row r="98" spans="1:11">
      <c r="A98" s="149" t="e">
        <f>IF(B98&lt;MIN('A1 Contract'!$B$36:$B$45),0,IF(B98&gt;MAX('A1 Contract'!$B$36:$B$45),MAX('A1 Contract'!$A$36:$A$45),LOOKUP(B98,'A1 Contract'!$B$36:$B$45,'A1 Contract'!$A$36:$A$45)))</f>
        <v>#NUM!</v>
      </c>
      <c r="B98" s="152" t="e">
        <f t="shared" si="21"/>
        <v>#NUM!</v>
      </c>
      <c r="C98" s="129" t="e">
        <f t="shared" si="14"/>
        <v>#NUM!</v>
      </c>
      <c r="D98" s="133" t="e">
        <f t="shared" si="8"/>
        <v>#NUM!</v>
      </c>
      <c r="E98" s="134" t="e">
        <f t="shared" si="15"/>
        <v>#NUM!</v>
      </c>
      <c r="F98" s="129" t="e">
        <f t="shared" si="19"/>
        <v>#NUM!</v>
      </c>
      <c r="G98" s="8" t="e">
        <f t="shared" si="16"/>
        <v>#NUM!</v>
      </c>
      <c r="H98" s="14" t="e">
        <f t="shared" si="17"/>
        <v>#NUM!</v>
      </c>
      <c r="I98" s="14" t="e">
        <f t="shared" si="18"/>
        <v>#NUM!</v>
      </c>
      <c r="J98" s="14" t="e">
        <f>IF(AND(ReducedOrTerminated="Terminated",$B98&gt;=EffectiveWithPILON),0,IF(B98&gt;=EffectiveWithPILON,H98+MAX(I$24:I98),IF(B98&gt;=NoticeStartDate,H98,"")))</f>
        <v>#NUM!</v>
      </c>
      <c r="K98" s="9" t="e">
        <f t="shared" si="20"/>
        <v>#NUM!</v>
      </c>
    </row>
    <row r="99" spans="1:11">
      <c r="A99" s="149" t="e">
        <f>IF(B99&lt;MIN('A1 Contract'!$B$36:$B$45),0,IF(B99&gt;MAX('A1 Contract'!$B$36:$B$45),MAX('A1 Contract'!$A$36:$A$45),LOOKUP(B99,'A1 Contract'!$B$36:$B$45,'A1 Contract'!$A$36:$A$45)))</f>
        <v>#NUM!</v>
      </c>
      <c r="B99" s="152" t="e">
        <f t="shared" si="21"/>
        <v>#NUM!</v>
      </c>
      <c r="C99" s="129" t="e">
        <f t="shared" si="14"/>
        <v>#NUM!</v>
      </c>
      <c r="D99" s="133" t="e">
        <f t="shared" si="8"/>
        <v>#NUM!</v>
      </c>
      <c r="E99" s="134" t="e">
        <f t="shared" si="15"/>
        <v>#NUM!</v>
      </c>
      <c r="F99" s="129" t="e">
        <f t="shared" si="19"/>
        <v>#NUM!</v>
      </c>
      <c r="G99" s="8" t="e">
        <f t="shared" si="16"/>
        <v>#NUM!</v>
      </c>
      <c r="H99" s="14" t="e">
        <f t="shared" si="17"/>
        <v>#NUM!</v>
      </c>
      <c r="I99" s="14" t="e">
        <f t="shared" si="18"/>
        <v>#NUM!</v>
      </c>
      <c r="J99" s="14" t="e">
        <f>IF(AND(ReducedOrTerminated="Terminated",$B99&gt;=EffectiveWithPILON),0,IF(B99&gt;=EffectiveWithPILON,H99+MAX(I$24:I99),IF(B99&gt;=NoticeStartDate,H99,"")))</f>
        <v>#NUM!</v>
      </c>
      <c r="K99" s="9" t="e">
        <f t="shared" si="20"/>
        <v>#NUM!</v>
      </c>
    </row>
    <row r="100" spans="1:11">
      <c r="A100" s="149" t="e">
        <f>IF(B100&lt;MIN('A1 Contract'!$B$36:$B$45),0,IF(B100&gt;MAX('A1 Contract'!$B$36:$B$45),MAX('A1 Contract'!$A$36:$A$45),LOOKUP(B100,'A1 Contract'!$B$36:$B$45,'A1 Contract'!$A$36:$A$45)))</f>
        <v>#NUM!</v>
      </c>
      <c r="B100" s="152" t="e">
        <f t="shared" si="21"/>
        <v>#NUM!</v>
      </c>
      <c r="C100" s="129" t="e">
        <f t="shared" si="14"/>
        <v>#NUM!</v>
      </c>
      <c r="D100" s="133" t="e">
        <f t="shared" si="8"/>
        <v>#NUM!</v>
      </c>
      <c r="E100" s="134" t="e">
        <f t="shared" si="15"/>
        <v>#NUM!</v>
      </c>
      <c r="F100" s="129" t="e">
        <f t="shared" si="19"/>
        <v>#NUM!</v>
      </c>
      <c r="G100" s="8" t="e">
        <f t="shared" si="16"/>
        <v>#NUM!</v>
      </c>
      <c r="H100" s="14" t="e">
        <f t="shared" si="17"/>
        <v>#NUM!</v>
      </c>
      <c r="I100" s="14" t="e">
        <f t="shared" si="18"/>
        <v>#NUM!</v>
      </c>
      <c r="J100" s="14" t="e">
        <f>IF(AND(ReducedOrTerminated="Terminated",$B100&gt;=EffectiveWithPILON),0,IF(B100&gt;=EffectiveWithPILON,H100+MAX(I$24:I100),IF(B100&gt;=NoticeStartDate,H100,"")))</f>
        <v>#NUM!</v>
      </c>
      <c r="K100" s="9" t="e">
        <f t="shared" si="20"/>
        <v>#NUM!</v>
      </c>
    </row>
    <row r="101" spans="1:11">
      <c r="A101" s="149" t="e">
        <f>IF(B101&lt;MIN('A1 Contract'!$B$36:$B$45),0,IF(B101&gt;MAX('A1 Contract'!$B$36:$B$45),MAX('A1 Contract'!$A$36:$A$45),LOOKUP(B101,'A1 Contract'!$B$36:$B$45,'A1 Contract'!$A$36:$A$45)))</f>
        <v>#NUM!</v>
      </c>
      <c r="B101" s="152" t="e">
        <f t="shared" si="21"/>
        <v>#NUM!</v>
      </c>
      <c r="C101" s="129" t="e">
        <f t="shared" si="14"/>
        <v>#NUM!</v>
      </c>
      <c r="D101" s="133" t="e">
        <f t="shared" si="8"/>
        <v>#NUM!</v>
      </c>
      <c r="E101" s="134" t="e">
        <f t="shared" si="15"/>
        <v>#NUM!</v>
      </c>
      <c r="F101" s="129" t="e">
        <f t="shared" si="19"/>
        <v>#NUM!</v>
      </c>
      <c r="G101" s="8" t="e">
        <f t="shared" si="16"/>
        <v>#NUM!</v>
      </c>
      <c r="H101" s="14" t="e">
        <f t="shared" si="17"/>
        <v>#NUM!</v>
      </c>
      <c r="I101" s="14" t="e">
        <f t="shared" si="18"/>
        <v>#NUM!</v>
      </c>
      <c r="J101" s="14" t="e">
        <f>IF(AND(ReducedOrTerminated="Terminated",$B101&gt;=EffectiveWithPILON),0,IF(B101&gt;=EffectiveWithPILON,H101+MAX(I$24:I101),IF(B101&gt;=NoticeStartDate,H101,"")))</f>
        <v>#NUM!</v>
      </c>
      <c r="K101" s="9" t="e">
        <f t="shared" si="20"/>
        <v>#NUM!</v>
      </c>
    </row>
    <row r="102" spans="1:11">
      <c r="A102" s="149" t="e">
        <f>IF(B102&lt;MIN('A1 Contract'!$B$36:$B$45),0,IF(B102&gt;MAX('A1 Contract'!$B$36:$B$45),MAX('A1 Contract'!$A$36:$A$45),LOOKUP(B102,'A1 Contract'!$B$36:$B$45,'A1 Contract'!$A$36:$A$45)))</f>
        <v>#NUM!</v>
      </c>
      <c r="B102" s="152" t="e">
        <f t="shared" si="21"/>
        <v>#NUM!</v>
      </c>
      <c r="C102" s="129" t="e">
        <f t="shared" si="14"/>
        <v>#NUM!</v>
      </c>
      <c r="D102" s="133" t="e">
        <f t="shared" si="8"/>
        <v>#NUM!</v>
      </c>
      <c r="E102" s="134" t="e">
        <f t="shared" si="15"/>
        <v>#NUM!</v>
      </c>
      <c r="F102" s="129" t="e">
        <f t="shared" si="19"/>
        <v>#NUM!</v>
      </c>
      <c r="G102" s="8" t="e">
        <f t="shared" si="16"/>
        <v>#NUM!</v>
      </c>
      <c r="H102" s="14" t="e">
        <f t="shared" si="17"/>
        <v>#NUM!</v>
      </c>
      <c r="I102" s="14" t="e">
        <f t="shared" si="18"/>
        <v>#NUM!</v>
      </c>
      <c r="J102" s="14" t="e">
        <f>IF(AND(ReducedOrTerminated="Terminated",$B102&gt;=EffectiveWithPILON),0,IF(B102&gt;=EffectiveWithPILON,H102+MAX(I$24:I102),IF(B102&gt;=NoticeStartDate,H102,"")))</f>
        <v>#NUM!</v>
      </c>
      <c r="K102" s="9" t="e">
        <f t="shared" si="20"/>
        <v>#NUM!</v>
      </c>
    </row>
    <row r="103" spans="1:11">
      <c r="A103" s="149" t="e">
        <f>IF(B103&lt;MIN('A1 Contract'!$B$36:$B$45),0,IF(B103&gt;MAX('A1 Contract'!$B$36:$B$45),MAX('A1 Contract'!$A$36:$A$45),LOOKUP(B103,'A1 Contract'!$B$36:$B$45,'A1 Contract'!$A$36:$A$45)))</f>
        <v>#NUM!</v>
      </c>
      <c r="B103" s="152" t="e">
        <f t="shared" si="21"/>
        <v>#NUM!</v>
      </c>
      <c r="C103" s="129" t="e">
        <f t="shared" si="14"/>
        <v>#NUM!</v>
      </c>
      <c r="D103" s="133" t="e">
        <f t="shared" si="8"/>
        <v>#NUM!</v>
      </c>
      <c r="E103" s="134" t="e">
        <f t="shared" si="15"/>
        <v>#NUM!</v>
      </c>
      <c r="F103" s="129" t="e">
        <f t="shared" si="19"/>
        <v>#NUM!</v>
      </c>
      <c r="G103" s="8" t="e">
        <f t="shared" si="16"/>
        <v>#NUM!</v>
      </c>
      <c r="H103" s="14" t="e">
        <f t="shared" si="17"/>
        <v>#NUM!</v>
      </c>
      <c r="I103" s="14" t="e">
        <f t="shared" si="18"/>
        <v>#NUM!</v>
      </c>
      <c r="J103" s="14" t="e">
        <f>IF(AND(ReducedOrTerminated="Terminated",$B103&gt;=EffectiveWithPILON),0,IF(B103&gt;=EffectiveWithPILON,H103+MAX(I$24:I103),IF(B103&gt;=NoticeStartDate,H103,"")))</f>
        <v>#NUM!</v>
      </c>
      <c r="K103" s="9" t="e">
        <f t="shared" si="20"/>
        <v>#NUM!</v>
      </c>
    </row>
    <row r="104" spans="1:11">
      <c r="A104" s="149" t="e">
        <f>IF(B104&lt;MIN('A1 Contract'!$B$36:$B$45),0,IF(B104&gt;MAX('A1 Contract'!$B$36:$B$45),MAX('A1 Contract'!$A$36:$A$45),LOOKUP(B104,'A1 Contract'!$B$36:$B$45,'A1 Contract'!$A$36:$A$45)))</f>
        <v>#NUM!</v>
      </c>
      <c r="B104" s="152" t="e">
        <f t="shared" si="21"/>
        <v>#NUM!</v>
      </c>
      <c r="C104" s="129" t="e">
        <f t="shared" si="14"/>
        <v>#NUM!</v>
      </c>
      <c r="D104" s="133" t="e">
        <f t="shared" si="8"/>
        <v>#NUM!</v>
      </c>
      <c r="E104" s="134" t="e">
        <f t="shared" si="15"/>
        <v>#NUM!</v>
      </c>
      <c r="F104" s="129" t="e">
        <f t="shared" si="19"/>
        <v>#NUM!</v>
      </c>
      <c r="G104" s="8" t="e">
        <f t="shared" si="16"/>
        <v>#NUM!</v>
      </c>
      <c r="H104" s="14" t="e">
        <f t="shared" si="17"/>
        <v>#NUM!</v>
      </c>
      <c r="I104" s="14" t="e">
        <f t="shared" si="18"/>
        <v>#NUM!</v>
      </c>
      <c r="J104" s="14" t="e">
        <f>IF(AND(ReducedOrTerminated="Terminated",$B104&gt;=EffectiveWithPILON),0,IF(B104&gt;=EffectiveWithPILON,H104+MAX(I$24:I104),IF(B104&gt;=NoticeStartDate,H104,"")))</f>
        <v>#NUM!</v>
      </c>
      <c r="K104" s="9" t="e">
        <f t="shared" si="20"/>
        <v>#NUM!</v>
      </c>
    </row>
    <row r="105" spans="1:11">
      <c r="A105" s="149" t="e">
        <f>IF(B105&lt;MIN('A1 Contract'!$B$36:$B$45),0,IF(B105&gt;MAX('A1 Contract'!$B$36:$B$45),MAX('A1 Contract'!$A$36:$A$45),LOOKUP(B105,'A1 Contract'!$B$36:$B$45,'A1 Contract'!$A$36:$A$45)))</f>
        <v>#NUM!</v>
      </c>
      <c r="B105" s="152" t="e">
        <f t="shared" si="21"/>
        <v>#NUM!</v>
      </c>
      <c r="C105" s="129" t="e">
        <f t="shared" si="14"/>
        <v>#NUM!</v>
      </c>
      <c r="D105" s="133" t="e">
        <f t="shared" si="8"/>
        <v>#NUM!</v>
      </c>
      <c r="E105" s="134" t="e">
        <f t="shared" si="15"/>
        <v>#NUM!</v>
      </c>
      <c r="F105" s="129" t="e">
        <f t="shared" si="19"/>
        <v>#NUM!</v>
      </c>
      <c r="G105" s="8" t="e">
        <f t="shared" si="16"/>
        <v>#NUM!</v>
      </c>
      <c r="H105" s="14" t="e">
        <f t="shared" si="17"/>
        <v>#NUM!</v>
      </c>
      <c r="I105" s="14" t="e">
        <f t="shared" si="18"/>
        <v>#NUM!</v>
      </c>
      <c r="J105" s="14" t="e">
        <f>IF(AND(ReducedOrTerminated="Terminated",$B105&gt;=EffectiveWithPILON),0,IF(B105&gt;=EffectiveWithPILON,H105+MAX(I$24:I105),IF(B105&gt;=NoticeStartDate,H105,"")))</f>
        <v>#NUM!</v>
      </c>
      <c r="K105" s="9" t="e">
        <f t="shared" si="20"/>
        <v>#NUM!</v>
      </c>
    </row>
    <row r="106" spans="1:11">
      <c r="A106" s="149" t="e">
        <f>IF(B106&lt;MIN('A1 Contract'!$B$36:$B$45),0,IF(B106&gt;MAX('A1 Contract'!$B$36:$B$45),MAX('A1 Contract'!$A$36:$A$45),LOOKUP(B106,'A1 Contract'!$B$36:$B$45,'A1 Contract'!$A$36:$A$45)))</f>
        <v>#NUM!</v>
      </c>
      <c r="B106" s="152" t="e">
        <f t="shared" si="21"/>
        <v>#NUM!</v>
      </c>
      <c r="C106" s="129" t="e">
        <f t="shared" si="14"/>
        <v>#NUM!</v>
      </c>
      <c r="D106" s="133" t="e">
        <f t="shared" si="8"/>
        <v>#NUM!</v>
      </c>
      <c r="E106" s="134" t="e">
        <f t="shared" si="15"/>
        <v>#NUM!</v>
      </c>
      <c r="F106" s="129" t="e">
        <f t="shared" si="19"/>
        <v>#NUM!</v>
      </c>
      <c r="G106" s="8" t="e">
        <f t="shared" si="16"/>
        <v>#NUM!</v>
      </c>
      <c r="H106" s="14" t="e">
        <f t="shared" si="17"/>
        <v>#NUM!</v>
      </c>
      <c r="I106" s="14" t="e">
        <f t="shared" si="18"/>
        <v>#NUM!</v>
      </c>
      <c r="J106" s="14" t="e">
        <f>IF(AND(ReducedOrTerminated="Terminated",$B106&gt;=EffectiveWithPILON),0,IF(B106&gt;=EffectiveWithPILON,H106+MAX(I$24:I106),IF(B106&gt;=NoticeStartDate,H106,"")))</f>
        <v>#NUM!</v>
      </c>
      <c r="K106" s="9" t="e">
        <f t="shared" si="20"/>
        <v>#NUM!</v>
      </c>
    </row>
    <row r="107" spans="1:11">
      <c r="A107" s="150" t="e">
        <f>IF(B107&lt;MIN('A1 Contract'!$B$36:$B$45),0,IF(B107&gt;MAX('A1 Contract'!$B$36:$B$45),MAX('A1 Contract'!$A$36:$A$45),LOOKUP(B107,'A1 Contract'!$B$36:$B$45,'A1 Contract'!$A$36:$A$45)))</f>
        <v>#NUM!</v>
      </c>
      <c r="B107" s="153" t="e">
        <f t="shared" si="21"/>
        <v>#NUM!</v>
      </c>
      <c r="C107" s="130" t="e">
        <f t="shared" si="14"/>
        <v>#NUM!</v>
      </c>
      <c r="D107" s="135" t="e">
        <f t="shared" si="8"/>
        <v>#NUM!</v>
      </c>
      <c r="E107" s="136" t="e">
        <f t="shared" si="15"/>
        <v>#NUM!</v>
      </c>
      <c r="F107" s="130" t="e">
        <f t="shared" si="19"/>
        <v>#NUM!</v>
      </c>
      <c r="G107" s="10" t="e">
        <f t="shared" si="16"/>
        <v>#NUM!</v>
      </c>
      <c r="H107" s="15" t="e">
        <f t="shared" si="17"/>
        <v>#NUM!</v>
      </c>
      <c r="I107" s="15" t="e">
        <f t="shared" si="18"/>
        <v>#NUM!</v>
      </c>
      <c r="J107" s="15" t="e">
        <f>IF(AND(ReducedOrTerminated="Terminated",$B107&gt;=EffectiveWithPILON),0,IF(B107&gt;=EffectiveWithPILON,H107+MAX(I$24:I107),IF(B107&gt;=NoticeStartDate,H107,"")))</f>
        <v>#NUM!</v>
      </c>
      <c r="K107" s="11" t="e">
        <f t="shared" si="20"/>
        <v>#NUM!</v>
      </c>
    </row>
  </sheetData>
  <mergeCells count="11">
    <mergeCell ref="D21:F21"/>
    <mergeCell ref="G21:K21"/>
    <mergeCell ref="A12:K12"/>
    <mergeCell ref="F16:H16"/>
    <mergeCell ref="F17:H17"/>
    <mergeCell ref="C16:D16"/>
    <mergeCell ref="C17:D17"/>
    <mergeCell ref="C15:G15"/>
    <mergeCell ref="C14:G14"/>
    <mergeCell ref="J14:K14"/>
    <mergeCell ref="J17:K17"/>
  </mergeCells>
  <pageMargins left="0.51181102362204722" right="0.51181102362204722" top="0.23622047244094491" bottom="0.51181102362204722" header="0.31496062992125984" footer="0.31496062992125984"/>
  <pageSetup scale="54" orientation="portrait" r:id="rId1"/>
  <headerFooter alignWithMargins="0">
    <oddFooter>&amp;L&amp;8Attachment to ISO Tariff - PILON Calculator (AESO ID No. 2025-010T)
Filename: &amp;F — Page &amp;P of &amp;N&amp;R&amp;8Proprietary When Completed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9D479-41DB-4435-AE66-3F835A94BBC6}">
  <sheetPr>
    <pageSetUpPr fitToPage="1"/>
  </sheetPr>
  <dimension ref="A7:M73"/>
  <sheetViews>
    <sheetView showGridLines="0" zoomScaleNormal="100" workbookViewId="0">
      <selection activeCell="A7" sqref="A7"/>
    </sheetView>
  </sheetViews>
  <sheetFormatPr defaultRowHeight="15"/>
  <cols>
    <col min="1" max="1" width="37.46484375" style="396" customWidth="1"/>
    <col min="2" max="2" width="28.6640625" customWidth="1"/>
    <col min="3" max="4" width="4.53125" customWidth="1"/>
    <col min="5" max="5" width="4.6640625" customWidth="1"/>
    <col min="6" max="6" width="6.33203125" bestFit="1" customWidth="1"/>
    <col min="7" max="7" width="15.33203125" customWidth="1"/>
    <col min="8" max="8" width="18.33203125" customWidth="1"/>
    <col min="9" max="9" width="14.33203125" bestFit="1" customWidth="1"/>
    <col min="10" max="10" width="2" customWidth="1"/>
    <col min="11" max="11" width="7.33203125" customWidth="1"/>
    <col min="12" max="12" width="7.1328125" customWidth="1"/>
  </cols>
  <sheetData>
    <row r="7" spans="1:12" ht="22.15">
      <c r="A7" s="474" t="s">
        <v>222</v>
      </c>
    </row>
    <row r="8" spans="1:12" ht="22.15">
      <c r="A8" s="474" t="s">
        <v>223</v>
      </c>
    </row>
    <row r="9" spans="1:12" ht="22.15">
      <c r="A9" s="474" t="s">
        <v>224</v>
      </c>
    </row>
    <row r="10" spans="1:12" ht="17" customHeight="1">
      <c r="A10" s="466" t="s">
        <v>215</v>
      </c>
      <c r="B10" s="466"/>
      <c r="C10" s="466"/>
      <c r="D10" s="466"/>
      <c r="E10" s="466"/>
      <c r="F10" s="466"/>
      <c r="G10" s="466"/>
      <c r="H10" s="466"/>
      <c r="I10" s="466"/>
      <c r="J10" s="398"/>
      <c r="K10" s="398"/>
      <c r="L10" s="398"/>
    </row>
    <row r="11" spans="1:12" ht="13.25" customHeight="1">
      <c r="A11"/>
      <c r="H11" s="380"/>
    </row>
    <row r="12" spans="1:12" ht="13.25" customHeight="1">
      <c r="A12" s="1" t="s">
        <v>201</v>
      </c>
    </row>
    <row r="13" spans="1:12" ht="26.45" customHeight="1">
      <c r="A13" t="s">
        <v>194</v>
      </c>
      <c r="B13" s="381" t="s">
        <v>195</v>
      </c>
      <c r="E13" s="382" t="s">
        <v>204</v>
      </c>
      <c r="F13" s="382" t="s">
        <v>13</v>
      </c>
      <c r="G13" s="397" t="s">
        <v>218</v>
      </c>
      <c r="H13" s="397" t="s">
        <v>217</v>
      </c>
      <c r="I13" s="397" t="s">
        <v>205</v>
      </c>
    </row>
    <row r="14" spans="1:12" ht="13.25" customHeight="1">
      <c r="A14" t="s">
        <v>179</v>
      </c>
      <c r="B14" s="383" t="s">
        <v>143</v>
      </c>
      <c r="E14" s="384">
        <v>1</v>
      </c>
      <c r="F14" s="384" t="str">
        <f>IF(B23="","",1)</f>
        <v/>
      </c>
      <c r="G14" s="384" t="str">
        <f>IF(F14="","",0)</f>
        <v/>
      </c>
      <c r="H14" s="385" t="str">
        <f t="shared" ref="H14:H45" si="0">IF(F14="","",($B$25*0.9*$B$43))</f>
        <v/>
      </c>
      <c r="I14" s="386" t="str">
        <f>IF(F14="","",SUM(G14:H14))</f>
        <v/>
      </c>
    </row>
    <row r="15" spans="1:12" ht="13.25" customHeight="1">
      <c r="A15" t="s">
        <v>178</v>
      </c>
      <c r="B15" s="400" t="s">
        <v>144</v>
      </c>
      <c r="E15" s="384">
        <f>E14+1</f>
        <v>2</v>
      </c>
      <c r="F15" s="384" t="str">
        <f t="shared" ref="F15:F46" si="1">IF(F14&lt;$B$23,F14+1,"")</f>
        <v/>
      </c>
      <c r="G15" s="384" t="str">
        <f t="shared" ref="G15:G73" si="2">IF(F15="","",0)</f>
        <v/>
      </c>
      <c r="H15" s="385" t="str">
        <f t="shared" si="0"/>
        <v/>
      </c>
      <c r="I15" s="386" t="str">
        <f t="shared" ref="I15:I73" si="3">IF(F15="","",SUM(G15:H15))</f>
        <v/>
      </c>
    </row>
    <row r="16" spans="1:12" ht="13.25" customHeight="1">
      <c r="A16" t="s">
        <v>16</v>
      </c>
      <c r="B16" s="383" t="s">
        <v>145</v>
      </c>
      <c r="E16" s="384">
        <f t="shared" ref="E16:E73" si="4">E15+1</f>
        <v>3</v>
      </c>
      <c r="F16" s="384" t="str">
        <f t="shared" si="1"/>
        <v/>
      </c>
      <c r="G16" s="384" t="str">
        <f t="shared" si="2"/>
        <v/>
      </c>
      <c r="H16" s="385" t="str">
        <f t="shared" si="0"/>
        <v/>
      </c>
      <c r="I16" s="386" t="str">
        <f t="shared" si="3"/>
        <v/>
      </c>
    </row>
    <row r="17" spans="1:13" ht="13.25" customHeight="1">
      <c r="A17" t="s">
        <v>17</v>
      </c>
      <c r="B17" s="401" t="s">
        <v>146</v>
      </c>
      <c r="E17" s="384">
        <f t="shared" si="4"/>
        <v>4</v>
      </c>
      <c r="F17" s="384" t="str">
        <f t="shared" si="1"/>
        <v/>
      </c>
      <c r="G17" s="384" t="str">
        <f t="shared" si="2"/>
        <v/>
      </c>
      <c r="H17" s="385" t="str">
        <f t="shared" si="0"/>
        <v/>
      </c>
      <c r="I17" s="386" t="str">
        <f t="shared" si="3"/>
        <v/>
      </c>
    </row>
    <row r="18" spans="1:13" ht="13.25" customHeight="1">
      <c r="A18"/>
      <c r="B18" s="399"/>
      <c r="E18" s="384">
        <f t="shared" si="4"/>
        <v>5</v>
      </c>
      <c r="F18" s="384" t="str">
        <f t="shared" si="1"/>
        <v/>
      </c>
      <c r="G18" s="384" t="str">
        <f t="shared" si="2"/>
        <v/>
      </c>
      <c r="H18" s="385" t="str">
        <f t="shared" si="0"/>
        <v/>
      </c>
      <c r="I18" s="386" t="str">
        <f t="shared" si="3"/>
        <v/>
      </c>
    </row>
    <row r="19" spans="1:13" ht="13.25" customHeight="1">
      <c r="A19" s="1" t="s">
        <v>15</v>
      </c>
      <c r="E19" s="384">
        <f t="shared" si="4"/>
        <v>6</v>
      </c>
      <c r="F19" s="384" t="str">
        <f t="shared" si="1"/>
        <v/>
      </c>
      <c r="G19" s="384" t="str">
        <f t="shared" si="2"/>
        <v/>
      </c>
      <c r="H19" s="385" t="str">
        <f t="shared" si="0"/>
        <v/>
      </c>
      <c r="I19" s="386" t="str">
        <f t="shared" si="3"/>
        <v/>
      </c>
    </row>
    <row r="20" spans="1:13" ht="13.25" customHeight="1">
      <c r="A20" t="s">
        <v>0</v>
      </c>
      <c r="B20" s="402" t="s">
        <v>220</v>
      </c>
      <c r="E20" s="384">
        <f t="shared" si="4"/>
        <v>7</v>
      </c>
      <c r="F20" s="384" t="str">
        <f t="shared" si="1"/>
        <v/>
      </c>
      <c r="G20" s="384" t="str">
        <f t="shared" si="2"/>
        <v/>
      </c>
      <c r="H20" s="385" t="str">
        <f t="shared" si="0"/>
        <v/>
      </c>
      <c r="I20" s="386" t="str">
        <f t="shared" si="3"/>
        <v/>
      </c>
      <c r="M20" s="127"/>
    </row>
    <row r="21" spans="1:13" ht="13.25" customHeight="1">
      <c r="A21" t="s">
        <v>206</v>
      </c>
      <c r="B21" s="390"/>
      <c r="E21" s="384">
        <f t="shared" si="4"/>
        <v>8</v>
      </c>
      <c r="F21" s="384" t="str">
        <f t="shared" si="1"/>
        <v/>
      </c>
      <c r="G21" s="384" t="str">
        <f t="shared" si="2"/>
        <v/>
      </c>
      <c r="H21" s="385" t="str">
        <f t="shared" si="0"/>
        <v/>
      </c>
      <c r="I21" s="386" t="str">
        <f t="shared" si="3"/>
        <v/>
      </c>
    </row>
    <row r="22" spans="1:13" ht="13.25" customHeight="1">
      <c r="A22" t="s">
        <v>207</v>
      </c>
      <c r="B22" s="390"/>
      <c r="E22" s="384">
        <f t="shared" si="4"/>
        <v>9</v>
      </c>
      <c r="F22" s="384" t="str">
        <f t="shared" si="1"/>
        <v/>
      </c>
      <c r="G22" s="384" t="str">
        <f t="shared" si="2"/>
        <v/>
      </c>
      <c r="H22" s="385" t="str">
        <f t="shared" si="0"/>
        <v/>
      </c>
      <c r="I22" s="386" t="str">
        <f t="shared" si="3"/>
        <v/>
      </c>
    </row>
    <row r="23" spans="1:13" ht="13.25" customHeight="1">
      <c r="A23" t="s">
        <v>208</v>
      </c>
      <c r="B23" s="391" t="str">
        <f>IF(OR($B$21="",$B$22=""),"",DATEDIF(B21,B22,"m"))</f>
        <v/>
      </c>
      <c r="E23" s="384">
        <f t="shared" si="4"/>
        <v>10</v>
      </c>
      <c r="F23" s="384" t="str">
        <f t="shared" si="1"/>
        <v/>
      </c>
      <c r="G23" s="384" t="str">
        <f t="shared" si="2"/>
        <v/>
      </c>
      <c r="H23" s="385" t="str">
        <f t="shared" si="0"/>
        <v/>
      </c>
      <c r="I23" s="386" t="str">
        <f t="shared" si="3"/>
        <v/>
      </c>
    </row>
    <row r="24" spans="1:13" ht="13.25" customHeight="1">
      <c r="A24" t="s">
        <v>209</v>
      </c>
      <c r="B24" s="403"/>
      <c r="E24" s="384">
        <f t="shared" si="4"/>
        <v>11</v>
      </c>
      <c r="F24" s="384" t="str">
        <f t="shared" si="1"/>
        <v/>
      </c>
      <c r="G24" s="384" t="str">
        <f t="shared" si="2"/>
        <v/>
      </c>
      <c r="H24" s="385" t="str">
        <f t="shared" si="0"/>
        <v/>
      </c>
      <c r="I24" s="386" t="str">
        <f t="shared" si="3"/>
        <v/>
      </c>
    </row>
    <row r="25" spans="1:13" ht="13.25" customHeight="1">
      <c r="A25" s="127" t="s">
        <v>210</v>
      </c>
      <c r="B25" s="392"/>
      <c r="E25" s="384">
        <f t="shared" si="4"/>
        <v>12</v>
      </c>
      <c r="F25" s="384" t="str">
        <f t="shared" si="1"/>
        <v/>
      </c>
      <c r="G25" s="384" t="str">
        <f t="shared" si="2"/>
        <v/>
      </c>
      <c r="H25" s="385" t="str">
        <f t="shared" si="0"/>
        <v/>
      </c>
      <c r="I25" s="386" t="str">
        <f t="shared" si="3"/>
        <v/>
      </c>
    </row>
    <row r="26" spans="1:13" ht="13.25" customHeight="1">
      <c r="A26" s="127" t="s">
        <v>211</v>
      </c>
      <c r="B26" s="392"/>
      <c r="E26" s="384">
        <f t="shared" si="4"/>
        <v>13</v>
      </c>
      <c r="F26" s="384" t="str">
        <f t="shared" si="1"/>
        <v/>
      </c>
      <c r="G26" s="384" t="str">
        <f t="shared" si="2"/>
        <v/>
      </c>
      <c r="H26" s="385" t="str">
        <f t="shared" si="0"/>
        <v/>
      </c>
      <c r="I26" s="386" t="str">
        <f t="shared" si="3"/>
        <v/>
      </c>
    </row>
    <row r="27" spans="1:13" ht="13.25" customHeight="1">
      <c r="A27" s="127" t="s">
        <v>212</v>
      </c>
      <c r="B27" s="393">
        <f>IF(B26=0,1,(B25/(B25+B26)))</f>
        <v>1</v>
      </c>
      <c r="E27" s="384">
        <f>E26+1</f>
        <v>14</v>
      </c>
      <c r="F27" s="384" t="str">
        <f t="shared" si="1"/>
        <v/>
      </c>
      <c r="G27" s="384" t="str">
        <f t="shared" si="2"/>
        <v/>
      </c>
      <c r="H27" s="385" t="str">
        <f t="shared" si="0"/>
        <v/>
      </c>
      <c r="I27" s="386" t="str">
        <f t="shared" si="3"/>
        <v/>
      </c>
    </row>
    <row r="28" spans="1:13" ht="13.25" customHeight="1">
      <c r="A28" s="127" t="s">
        <v>213</v>
      </c>
      <c r="B28" s="394" t="str">
        <f>IF(B21="","",B21-30)</f>
        <v/>
      </c>
      <c r="E28" s="384">
        <f t="shared" si="4"/>
        <v>15</v>
      </c>
      <c r="F28" s="384" t="str">
        <f t="shared" si="1"/>
        <v/>
      </c>
      <c r="G28" s="384" t="str">
        <f t="shared" si="2"/>
        <v/>
      </c>
      <c r="H28" s="385" t="str">
        <f t="shared" si="0"/>
        <v/>
      </c>
      <c r="I28" s="386" t="str">
        <f t="shared" si="3"/>
        <v/>
      </c>
    </row>
    <row r="29" spans="1:13" ht="13.25" customHeight="1">
      <c r="A29" s="127" t="s">
        <v>214</v>
      </c>
      <c r="B29" s="395">
        <f>NPV($B$24/12,$I$14:$I$73)</f>
        <v>0</v>
      </c>
      <c r="E29" s="384">
        <f t="shared" si="4"/>
        <v>16</v>
      </c>
      <c r="F29" s="384" t="str">
        <f t="shared" si="1"/>
        <v/>
      </c>
      <c r="G29" s="384" t="str">
        <f t="shared" si="2"/>
        <v/>
      </c>
      <c r="H29" s="385" t="str">
        <f t="shared" si="0"/>
        <v/>
      </c>
      <c r="I29" s="386" t="str">
        <f t="shared" si="3"/>
        <v/>
      </c>
    </row>
    <row r="30" spans="1:13" ht="13.25" customHeight="1">
      <c r="E30" s="384">
        <f t="shared" si="4"/>
        <v>17</v>
      </c>
      <c r="F30" s="384" t="str">
        <f t="shared" si="1"/>
        <v/>
      </c>
      <c r="G30" s="384" t="str">
        <f t="shared" si="2"/>
        <v/>
      </c>
      <c r="H30" s="385" t="str">
        <f t="shared" si="0"/>
        <v/>
      </c>
      <c r="I30" s="386" t="str">
        <f t="shared" si="3"/>
        <v/>
      </c>
    </row>
    <row r="31" spans="1:13" ht="13.25" customHeight="1">
      <c r="A31" s="127"/>
      <c r="E31" s="384">
        <f t="shared" si="4"/>
        <v>18</v>
      </c>
      <c r="F31" s="384" t="str">
        <f t="shared" si="1"/>
        <v/>
      </c>
      <c r="G31" s="384" t="str">
        <f t="shared" si="2"/>
        <v/>
      </c>
      <c r="H31" s="385" t="str">
        <f t="shared" si="0"/>
        <v/>
      </c>
      <c r="I31" s="386" t="str">
        <f t="shared" si="3"/>
        <v/>
      </c>
    </row>
    <row r="32" spans="1:13" ht="13.25" customHeight="1">
      <c r="A32"/>
      <c r="E32" s="384">
        <f t="shared" si="4"/>
        <v>19</v>
      </c>
      <c r="F32" s="384" t="str">
        <f t="shared" si="1"/>
        <v/>
      </c>
      <c r="G32" s="384" t="str">
        <f t="shared" si="2"/>
        <v/>
      </c>
      <c r="H32" s="385" t="str">
        <f t="shared" si="0"/>
        <v/>
      </c>
      <c r="I32" s="386" t="str">
        <f t="shared" si="3"/>
        <v/>
      </c>
    </row>
    <row r="33" spans="1:9" ht="13.25" customHeight="1">
      <c r="E33" s="384">
        <f t="shared" si="4"/>
        <v>20</v>
      </c>
      <c r="F33" s="384" t="str">
        <f t="shared" si="1"/>
        <v/>
      </c>
      <c r="G33" s="384" t="str">
        <f t="shared" si="2"/>
        <v/>
      </c>
      <c r="H33" s="385" t="str">
        <f t="shared" si="0"/>
        <v/>
      </c>
      <c r="I33" s="386" t="str">
        <f t="shared" si="3"/>
        <v/>
      </c>
    </row>
    <row r="34" spans="1:9" ht="13.25" customHeight="1">
      <c r="E34" s="384">
        <f t="shared" si="4"/>
        <v>21</v>
      </c>
      <c r="F34" s="384" t="str">
        <f t="shared" si="1"/>
        <v/>
      </c>
      <c r="G34" s="384" t="str">
        <f t="shared" si="2"/>
        <v/>
      </c>
      <c r="H34" s="385" t="str">
        <f t="shared" si="0"/>
        <v/>
      </c>
      <c r="I34" s="386" t="str">
        <f t="shared" si="3"/>
        <v/>
      </c>
    </row>
    <row r="35" spans="1:9" ht="13.25" customHeight="1">
      <c r="E35" s="384">
        <f t="shared" si="4"/>
        <v>22</v>
      </c>
      <c r="F35" s="384" t="str">
        <f t="shared" si="1"/>
        <v/>
      </c>
      <c r="G35" s="384" t="str">
        <f t="shared" si="2"/>
        <v/>
      </c>
      <c r="H35" s="385" t="str">
        <f t="shared" si="0"/>
        <v/>
      </c>
      <c r="I35" s="386" t="str">
        <f t="shared" si="3"/>
        <v/>
      </c>
    </row>
    <row r="36" spans="1:9" ht="13.25" customHeight="1">
      <c r="E36" s="384">
        <f t="shared" si="4"/>
        <v>23</v>
      </c>
      <c r="F36" s="384" t="str">
        <f t="shared" si="1"/>
        <v/>
      </c>
      <c r="G36" s="384" t="str">
        <f t="shared" si="2"/>
        <v/>
      </c>
      <c r="H36" s="385" t="str">
        <f t="shared" si="0"/>
        <v/>
      </c>
      <c r="I36" s="386" t="str">
        <f t="shared" si="3"/>
        <v/>
      </c>
    </row>
    <row r="37" spans="1:9" ht="13.25" customHeight="1">
      <c r="A37" s="379" t="s">
        <v>83</v>
      </c>
      <c r="B37" s="467" t="s">
        <v>103</v>
      </c>
      <c r="C37" s="468"/>
      <c r="D37" s="380"/>
      <c r="E37" s="384">
        <f t="shared" si="4"/>
        <v>24</v>
      </c>
      <c r="F37" s="384" t="str">
        <f t="shared" si="1"/>
        <v/>
      </c>
      <c r="G37" s="384" t="str">
        <f t="shared" si="2"/>
        <v/>
      </c>
      <c r="H37" s="385" t="str">
        <f t="shared" si="0"/>
        <v/>
      </c>
      <c r="I37" s="386" t="str">
        <f t="shared" si="3"/>
        <v/>
      </c>
    </row>
    <row r="38" spans="1:9" ht="13.25" customHeight="1">
      <c r="A38" s="387" t="s">
        <v>85</v>
      </c>
      <c r="B38" s="17"/>
      <c r="C38" s="388"/>
      <c r="E38" s="384">
        <f t="shared" si="4"/>
        <v>25</v>
      </c>
      <c r="F38" s="384" t="str">
        <f t="shared" si="1"/>
        <v/>
      </c>
      <c r="G38" s="384" t="str">
        <f t="shared" si="2"/>
        <v/>
      </c>
      <c r="H38" s="385" t="str">
        <f t="shared" si="0"/>
        <v/>
      </c>
      <c r="I38" s="386" t="str">
        <f t="shared" si="3"/>
        <v/>
      </c>
    </row>
    <row r="39" spans="1:9" ht="13.25" customHeight="1">
      <c r="A39" s="184" t="s">
        <v>71</v>
      </c>
      <c r="B39" s="319"/>
      <c r="C39" s="334"/>
      <c r="E39" s="384">
        <f t="shared" si="4"/>
        <v>26</v>
      </c>
      <c r="F39" s="384" t="str">
        <f t="shared" si="1"/>
        <v/>
      </c>
      <c r="G39" s="384" t="str">
        <f t="shared" si="2"/>
        <v/>
      </c>
      <c r="H39" s="385" t="str">
        <f t="shared" si="0"/>
        <v/>
      </c>
      <c r="I39" s="386" t="str">
        <f t="shared" si="3"/>
        <v/>
      </c>
    </row>
    <row r="40" spans="1:9" ht="13.25" customHeight="1">
      <c r="A40" s="188" t="s">
        <v>120</v>
      </c>
      <c r="B40" s="445">
        <f>INDEX(Lookup!$C$4:$Z$4,1,MATCH($B$20,Lookup!$C$1:$Z$1,0))</f>
        <v>11164</v>
      </c>
      <c r="C40" s="469"/>
      <c r="E40" s="384">
        <f t="shared" si="4"/>
        <v>27</v>
      </c>
      <c r="F40" s="384" t="str">
        <f t="shared" si="1"/>
        <v/>
      </c>
      <c r="G40" s="384" t="str">
        <f t="shared" si="2"/>
        <v/>
      </c>
      <c r="H40" s="385" t="str">
        <f t="shared" si="0"/>
        <v/>
      </c>
      <c r="I40" s="386" t="str">
        <f t="shared" si="3"/>
        <v/>
      </c>
    </row>
    <row r="41" spans="1:9" ht="13.25" customHeight="1">
      <c r="A41" s="192" t="s">
        <v>121</v>
      </c>
      <c r="B41" s="447">
        <f>INDEX(Lookup!$C$5:$Z$5,1,MATCH($B$20,Lookup!$C$1:$Z$1,0))</f>
        <v>1.23</v>
      </c>
      <c r="C41" s="465"/>
      <c r="E41" s="384">
        <f t="shared" si="4"/>
        <v>28</v>
      </c>
      <c r="F41" s="384" t="str">
        <f t="shared" si="1"/>
        <v/>
      </c>
      <c r="G41" s="384" t="str">
        <f t="shared" si="2"/>
        <v/>
      </c>
      <c r="H41" s="385" t="str">
        <f t="shared" si="0"/>
        <v/>
      </c>
      <c r="I41" s="386" t="str">
        <f t="shared" si="3"/>
        <v/>
      </c>
    </row>
    <row r="42" spans="1:9" ht="13.25" customHeight="1">
      <c r="A42" s="184" t="s">
        <v>216</v>
      </c>
      <c r="B42" s="319"/>
      <c r="C42" s="389"/>
      <c r="E42" s="384">
        <f t="shared" si="4"/>
        <v>29</v>
      </c>
      <c r="F42" s="384" t="str">
        <f t="shared" si="1"/>
        <v/>
      </c>
      <c r="G42" s="384" t="str">
        <f t="shared" si="2"/>
        <v/>
      </c>
      <c r="H42" s="385" t="str">
        <f t="shared" si="0"/>
        <v/>
      </c>
      <c r="I42" s="386" t="str">
        <f t="shared" si="3"/>
        <v/>
      </c>
    </row>
    <row r="43" spans="1:9" ht="13.25" customHeight="1">
      <c r="A43" s="188" t="s">
        <v>122</v>
      </c>
      <c r="B43" s="445">
        <f>INDEX(Lookup!$C$6:$Z$6,1,MATCH($B$20,Lookup!$C$1:$Z$1,0))</f>
        <v>2945</v>
      </c>
      <c r="C43" s="469"/>
      <c r="E43" s="384">
        <f t="shared" si="4"/>
        <v>30</v>
      </c>
      <c r="F43" s="384" t="str">
        <f t="shared" si="1"/>
        <v/>
      </c>
      <c r="G43" s="384" t="str">
        <f t="shared" si="2"/>
        <v/>
      </c>
      <c r="H43" s="385" t="str">
        <f t="shared" si="0"/>
        <v/>
      </c>
      <c r="I43" s="386" t="str">
        <f t="shared" si="3"/>
        <v/>
      </c>
    </row>
    <row r="44" spans="1:9" ht="13.25" customHeight="1">
      <c r="A44" s="192" t="s">
        <v>123</v>
      </c>
      <c r="B44" s="447">
        <f>INDEX(Lookup!$C$7:$Z$7,1,MATCH($B$20,Lookup!$C$1:$Z$1,0))</f>
        <v>0.93</v>
      </c>
      <c r="C44" s="465"/>
      <c r="E44" s="384">
        <f t="shared" si="4"/>
        <v>31</v>
      </c>
      <c r="F44" s="384" t="str">
        <f t="shared" si="1"/>
        <v/>
      </c>
      <c r="G44" s="384" t="str">
        <f t="shared" si="2"/>
        <v/>
      </c>
      <c r="H44" s="385" t="str">
        <f t="shared" si="0"/>
        <v/>
      </c>
      <c r="I44" s="386" t="str">
        <f t="shared" si="3"/>
        <v/>
      </c>
    </row>
    <row r="45" spans="1:9" ht="13.25" customHeight="1">
      <c r="A45" s="184" t="s">
        <v>100</v>
      </c>
      <c r="B45" s="319"/>
      <c r="C45" s="389"/>
      <c r="E45" s="384">
        <f t="shared" si="4"/>
        <v>32</v>
      </c>
      <c r="F45" s="384" t="str">
        <f t="shared" si="1"/>
        <v/>
      </c>
      <c r="G45" s="384" t="str">
        <f t="shared" si="2"/>
        <v/>
      </c>
      <c r="H45" s="385" t="str">
        <f t="shared" si="0"/>
        <v/>
      </c>
      <c r="I45" s="386" t="str">
        <f t="shared" si="3"/>
        <v/>
      </c>
    </row>
    <row r="46" spans="1:9" ht="13.25" customHeight="1">
      <c r="A46" s="188" t="s">
        <v>127</v>
      </c>
      <c r="B46" s="445">
        <f>INDEX(Lookup!$C$8:$Z$8,1,MATCH($B$20,Lookup!$C$1:$Z$1,0))</f>
        <v>15304</v>
      </c>
      <c r="C46" s="469"/>
      <c r="E46" s="384">
        <f t="shared" si="4"/>
        <v>33</v>
      </c>
      <c r="F46" s="384" t="str">
        <f t="shared" si="1"/>
        <v/>
      </c>
      <c r="G46" s="384" t="str">
        <f t="shared" si="2"/>
        <v/>
      </c>
      <c r="H46" s="385" t="str">
        <f t="shared" ref="H46:H73" si="5">IF(F46="","",($B$25*0.9*$B$43))</f>
        <v/>
      </c>
      <c r="I46" s="386" t="str">
        <f t="shared" si="3"/>
        <v/>
      </c>
    </row>
    <row r="47" spans="1:9" ht="13.25" customHeight="1">
      <c r="A47" s="188" t="s">
        <v>128</v>
      </c>
      <c r="B47" s="445">
        <f>INDEX(Lookup!$C$9:$Z$9,1,MATCH($B$20,Lookup!$C$1:$Z$1,0))</f>
        <v>5037</v>
      </c>
      <c r="C47" s="469"/>
      <c r="E47" s="384">
        <f t="shared" si="4"/>
        <v>34</v>
      </c>
      <c r="F47" s="384" t="str">
        <f t="shared" ref="F47:F73" si="6">IF(F46&lt;$B$23,F46+1,"")</f>
        <v/>
      </c>
      <c r="G47" s="384" t="str">
        <f t="shared" si="2"/>
        <v/>
      </c>
      <c r="H47" s="385" t="str">
        <f t="shared" si="5"/>
        <v/>
      </c>
      <c r="I47" s="386" t="str">
        <f t="shared" si="3"/>
        <v/>
      </c>
    </row>
    <row r="48" spans="1:9" ht="13.25" customHeight="1">
      <c r="A48" s="188" t="s">
        <v>129</v>
      </c>
      <c r="B48" s="445">
        <f>INDEX(Lookup!$C$10:$Z$10,1,MATCH($B$20,Lookup!$C$1:$Z$1,0))</f>
        <v>2987</v>
      </c>
      <c r="C48" s="469"/>
      <c r="E48" s="384">
        <f t="shared" si="4"/>
        <v>35</v>
      </c>
      <c r="F48" s="384" t="str">
        <f t="shared" si="6"/>
        <v/>
      </c>
      <c r="G48" s="384" t="str">
        <f t="shared" si="2"/>
        <v/>
      </c>
      <c r="H48" s="385" t="str">
        <f t="shared" si="5"/>
        <v/>
      </c>
      <c r="I48" s="386" t="str">
        <f t="shared" si="3"/>
        <v/>
      </c>
    </row>
    <row r="49" spans="1:9" ht="13.25" customHeight="1">
      <c r="A49" s="188" t="s">
        <v>130</v>
      </c>
      <c r="B49" s="445">
        <f>INDEX(Lookup!$C$11:$Z$11,1,MATCH($B$20,Lookup!$C$1:$Z$1,0))</f>
        <v>2000</v>
      </c>
      <c r="C49" s="469"/>
      <c r="E49" s="384">
        <f t="shared" si="4"/>
        <v>36</v>
      </c>
      <c r="F49" s="384" t="str">
        <f t="shared" si="6"/>
        <v/>
      </c>
      <c r="G49" s="384" t="str">
        <f t="shared" si="2"/>
        <v/>
      </c>
      <c r="H49" s="385" t="str">
        <f t="shared" si="5"/>
        <v/>
      </c>
      <c r="I49" s="386" t="str">
        <f t="shared" si="3"/>
        <v/>
      </c>
    </row>
    <row r="50" spans="1:9" ht="13.25" customHeight="1">
      <c r="A50" s="192" t="s">
        <v>131</v>
      </c>
      <c r="B50" s="447">
        <f>INDEX(Lookup!$C$12:$Z$12,1,MATCH($B$20,Lookup!$C$1:$Z$1,0))</f>
        <v>1231</v>
      </c>
      <c r="C50" s="465"/>
      <c r="E50" s="384">
        <f t="shared" si="4"/>
        <v>37</v>
      </c>
      <c r="F50" s="384" t="str">
        <f t="shared" si="6"/>
        <v/>
      </c>
      <c r="G50" s="384" t="str">
        <f t="shared" si="2"/>
        <v/>
      </c>
      <c r="H50" s="385" t="str">
        <f t="shared" si="5"/>
        <v/>
      </c>
      <c r="I50" s="386" t="str">
        <f t="shared" si="3"/>
        <v/>
      </c>
    </row>
    <row r="51" spans="1:9" ht="13.25" customHeight="1">
      <c r="E51" s="384">
        <f t="shared" si="4"/>
        <v>38</v>
      </c>
      <c r="F51" s="384" t="str">
        <f t="shared" si="6"/>
        <v/>
      </c>
      <c r="G51" s="384" t="str">
        <f t="shared" si="2"/>
        <v/>
      </c>
      <c r="H51" s="385" t="str">
        <f t="shared" si="5"/>
        <v/>
      </c>
      <c r="I51" s="386" t="str">
        <f t="shared" si="3"/>
        <v/>
      </c>
    </row>
    <row r="52" spans="1:9" ht="13.25" customHeight="1">
      <c r="E52" s="384">
        <f t="shared" si="4"/>
        <v>39</v>
      </c>
      <c r="F52" s="384" t="str">
        <f t="shared" si="6"/>
        <v/>
      </c>
      <c r="G52" s="384" t="str">
        <f t="shared" si="2"/>
        <v/>
      </c>
      <c r="H52" s="385" t="str">
        <f t="shared" si="5"/>
        <v/>
      </c>
      <c r="I52" s="386" t="str">
        <f t="shared" si="3"/>
        <v/>
      </c>
    </row>
    <row r="53" spans="1:9" ht="13.25" customHeight="1">
      <c r="E53" s="384">
        <f t="shared" si="4"/>
        <v>40</v>
      </c>
      <c r="F53" s="384" t="str">
        <f t="shared" si="6"/>
        <v/>
      </c>
      <c r="G53" s="384" t="str">
        <f t="shared" si="2"/>
        <v/>
      </c>
      <c r="H53" s="385" t="str">
        <f t="shared" si="5"/>
        <v/>
      </c>
      <c r="I53" s="386" t="str">
        <f t="shared" si="3"/>
        <v/>
      </c>
    </row>
    <row r="54" spans="1:9" ht="13.25" customHeight="1">
      <c r="E54" s="384">
        <f t="shared" si="4"/>
        <v>41</v>
      </c>
      <c r="F54" s="384" t="str">
        <f t="shared" si="6"/>
        <v/>
      </c>
      <c r="G54" s="384" t="str">
        <f t="shared" si="2"/>
        <v/>
      </c>
      <c r="H54" s="385" t="str">
        <f t="shared" si="5"/>
        <v/>
      </c>
      <c r="I54" s="386" t="str">
        <f t="shared" si="3"/>
        <v/>
      </c>
    </row>
    <row r="55" spans="1:9" ht="13.25" customHeight="1">
      <c r="E55" s="384">
        <f t="shared" si="4"/>
        <v>42</v>
      </c>
      <c r="F55" s="384" t="str">
        <f t="shared" si="6"/>
        <v/>
      </c>
      <c r="G55" s="384" t="str">
        <f t="shared" si="2"/>
        <v/>
      </c>
      <c r="H55" s="385" t="str">
        <f t="shared" si="5"/>
        <v/>
      </c>
      <c r="I55" s="386" t="str">
        <f t="shared" si="3"/>
        <v/>
      </c>
    </row>
    <row r="56" spans="1:9" ht="13.25" customHeight="1">
      <c r="E56" s="384">
        <f t="shared" si="4"/>
        <v>43</v>
      </c>
      <c r="F56" s="384" t="str">
        <f t="shared" si="6"/>
        <v/>
      </c>
      <c r="G56" s="384" t="str">
        <f t="shared" si="2"/>
        <v/>
      </c>
      <c r="H56" s="385" t="str">
        <f t="shared" si="5"/>
        <v/>
      </c>
      <c r="I56" s="386" t="str">
        <f t="shared" si="3"/>
        <v/>
      </c>
    </row>
    <row r="57" spans="1:9" ht="13.25" customHeight="1">
      <c r="E57" s="384">
        <f t="shared" si="4"/>
        <v>44</v>
      </c>
      <c r="F57" s="384" t="str">
        <f t="shared" si="6"/>
        <v/>
      </c>
      <c r="G57" s="384" t="str">
        <f t="shared" si="2"/>
        <v/>
      </c>
      <c r="H57" s="385" t="str">
        <f t="shared" si="5"/>
        <v/>
      </c>
      <c r="I57" s="386" t="str">
        <f t="shared" si="3"/>
        <v/>
      </c>
    </row>
    <row r="58" spans="1:9" ht="13.25" customHeight="1">
      <c r="E58" s="384">
        <f t="shared" si="4"/>
        <v>45</v>
      </c>
      <c r="F58" s="384" t="str">
        <f t="shared" si="6"/>
        <v/>
      </c>
      <c r="G58" s="384" t="str">
        <f t="shared" si="2"/>
        <v/>
      </c>
      <c r="H58" s="385" t="str">
        <f t="shared" si="5"/>
        <v/>
      </c>
      <c r="I58" s="386" t="str">
        <f t="shared" si="3"/>
        <v/>
      </c>
    </row>
    <row r="59" spans="1:9" ht="13.25" customHeight="1">
      <c r="E59" s="384">
        <f t="shared" si="4"/>
        <v>46</v>
      </c>
      <c r="F59" s="384" t="str">
        <f t="shared" si="6"/>
        <v/>
      </c>
      <c r="G59" s="384" t="str">
        <f t="shared" si="2"/>
        <v/>
      </c>
      <c r="H59" s="385" t="str">
        <f t="shared" si="5"/>
        <v/>
      </c>
      <c r="I59" s="386" t="str">
        <f t="shared" si="3"/>
        <v/>
      </c>
    </row>
    <row r="60" spans="1:9" ht="13.25" customHeight="1">
      <c r="E60" s="384">
        <f t="shared" si="4"/>
        <v>47</v>
      </c>
      <c r="F60" s="384" t="str">
        <f t="shared" si="6"/>
        <v/>
      </c>
      <c r="G60" s="384" t="str">
        <f t="shared" si="2"/>
        <v/>
      </c>
      <c r="H60" s="385" t="str">
        <f t="shared" si="5"/>
        <v/>
      </c>
      <c r="I60" s="386" t="str">
        <f t="shared" si="3"/>
        <v/>
      </c>
    </row>
    <row r="61" spans="1:9" ht="13.25" customHeight="1">
      <c r="E61" s="384">
        <f t="shared" si="4"/>
        <v>48</v>
      </c>
      <c r="F61" s="384" t="str">
        <f t="shared" si="6"/>
        <v/>
      </c>
      <c r="G61" s="384" t="str">
        <f t="shared" si="2"/>
        <v/>
      </c>
      <c r="H61" s="385" t="str">
        <f t="shared" si="5"/>
        <v/>
      </c>
      <c r="I61" s="386" t="str">
        <f t="shared" si="3"/>
        <v/>
      </c>
    </row>
    <row r="62" spans="1:9" ht="13.25" customHeight="1">
      <c r="E62" s="384">
        <f t="shared" si="4"/>
        <v>49</v>
      </c>
      <c r="F62" s="384" t="str">
        <f t="shared" si="6"/>
        <v/>
      </c>
      <c r="G62" s="384" t="str">
        <f t="shared" si="2"/>
        <v/>
      </c>
      <c r="H62" s="385" t="str">
        <f t="shared" si="5"/>
        <v/>
      </c>
      <c r="I62" s="386" t="str">
        <f t="shared" si="3"/>
        <v/>
      </c>
    </row>
    <row r="63" spans="1:9" ht="13.25" customHeight="1">
      <c r="E63" s="384">
        <f t="shared" si="4"/>
        <v>50</v>
      </c>
      <c r="F63" s="384" t="str">
        <f t="shared" si="6"/>
        <v/>
      </c>
      <c r="G63" s="384" t="str">
        <f t="shared" si="2"/>
        <v/>
      </c>
      <c r="H63" s="385" t="str">
        <f t="shared" si="5"/>
        <v/>
      </c>
      <c r="I63" s="386" t="str">
        <f t="shared" si="3"/>
        <v/>
      </c>
    </row>
    <row r="64" spans="1:9" ht="13.25" customHeight="1">
      <c r="E64" s="384">
        <f t="shared" si="4"/>
        <v>51</v>
      </c>
      <c r="F64" s="384" t="str">
        <f t="shared" si="6"/>
        <v/>
      </c>
      <c r="G64" s="384" t="str">
        <f t="shared" si="2"/>
        <v/>
      </c>
      <c r="H64" s="385" t="str">
        <f t="shared" si="5"/>
        <v/>
      </c>
      <c r="I64" s="386" t="str">
        <f t="shared" si="3"/>
        <v/>
      </c>
    </row>
    <row r="65" spans="5:9" ht="13.25" customHeight="1">
      <c r="E65" s="384">
        <f t="shared" si="4"/>
        <v>52</v>
      </c>
      <c r="F65" s="384" t="str">
        <f t="shared" si="6"/>
        <v/>
      </c>
      <c r="G65" s="384" t="str">
        <f t="shared" si="2"/>
        <v/>
      </c>
      <c r="H65" s="385" t="str">
        <f t="shared" si="5"/>
        <v/>
      </c>
      <c r="I65" s="386" t="str">
        <f t="shared" si="3"/>
        <v/>
      </c>
    </row>
    <row r="66" spans="5:9" ht="13.25" customHeight="1">
      <c r="E66" s="384">
        <f t="shared" si="4"/>
        <v>53</v>
      </c>
      <c r="F66" s="384" t="str">
        <f t="shared" si="6"/>
        <v/>
      </c>
      <c r="G66" s="384" t="str">
        <f t="shared" si="2"/>
        <v/>
      </c>
      <c r="H66" s="385" t="str">
        <f t="shared" si="5"/>
        <v/>
      </c>
      <c r="I66" s="386" t="str">
        <f t="shared" si="3"/>
        <v/>
      </c>
    </row>
    <row r="67" spans="5:9" ht="13.25" customHeight="1">
      <c r="E67" s="384">
        <f t="shared" si="4"/>
        <v>54</v>
      </c>
      <c r="F67" s="384" t="str">
        <f t="shared" si="6"/>
        <v/>
      </c>
      <c r="G67" s="384" t="str">
        <f t="shared" si="2"/>
        <v/>
      </c>
      <c r="H67" s="385" t="str">
        <f t="shared" si="5"/>
        <v/>
      </c>
      <c r="I67" s="386" t="str">
        <f t="shared" si="3"/>
        <v/>
      </c>
    </row>
    <row r="68" spans="5:9" ht="13.25" customHeight="1">
      <c r="E68" s="384">
        <f t="shared" si="4"/>
        <v>55</v>
      </c>
      <c r="F68" s="384" t="str">
        <f t="shared" si="6"/>
        <v/>
      </c>
      <c r="G68" s="384" t="str">
        <f t="shared" si="2"/>
        <v/>
      </c>
      <c r="H68" s="385" t="str">
        <f t="shared" si="5"/>
        <v/>
      </c>
      <c r="I68" s="386" t="str">
        <f t="shared" si="3"/>
        <v/>
      </c>
    </row>
    <row r="69" spans="5:9" ht="13.25" customHeight="1">
      <c r="E69" s="384">
        <f t="shared" si="4"/>
        <v>56</v>
      </c>
      <c r="F69" s="384" t="str">
        <f t="shared" si="6"/>
        <v/>
      </c>
      <c r="G69" s="384" t="str">
        <f t="shared" si="2"/>
        <v/>
      </c>
      <c r="H69" s="385" t="str">
        <f t="shared" si="5"/>
        <v/>
      </c>
      <c r="I69" s="386" t="str">
        <f t="shared" si="3"/>
        <v/>
      </c>
    </row>
    <row r="70" spans="5:9" ht="13.25" customHeight="1">
      <c r="E70" s="384">
        <f t="shared" si="4"/>
        <v>57</v>
      </c>
      <c r="F70" s="384" t="str">
        <f t="shared" si="6"/>
        <v/>
      </c>
      <c r="G70" s="384" t="str">
        <f t="shared" si="2"/>
        <v/>
      </c>
      <c r="H70" s="385" t="str">
        <f t="shared" si="5"/>
        <v/>
      </c>
      <c r="I70" s="386" t="str">
        <f t="shared" si="3"/>
        <v/>
      </c>
    </row>
    <row r="71" spans="5:9" ht="13.25" customHeight="1">
      <c r="E71" s="384">
        <f t="shared" si="4"/>
        <v>58</v>
      </c>
      <c r="F71" s="384" t="str">
        <f t="shared" si="6"/>
        <v/>
      </c>
      <c r="G71" s="384" t="str">
        <f t="shared" si="2"/>
        <v/>
      </c>
      <c r="H71" s="385" t="str">
        <f t="shared" si="5"/>
        <v/>
      </c>
      <c r="I71" s="386" t="str">
        <f t="shared" si="3"/>
        <v/>
      </c>
    </row>
    <row r="72" spans="5:9" ht="13.25" customHeight="1">
      <c r="E72" s="384">
        <f t="shared" si="4"/>
        <v>59</v>
      </c>
      <c r="F72" s="384" t="str">
        <f t="shared" si="6"/>
        <v/>
      </c>
      <c r="G72" s="384" t="str">
        <f t="shared" si="2"/>
        <v/>
      </c>
      <c r="H72" s="385" t="str">
        <f t="shared" si="5"/>
        <v/>
      </c>
      <c r="I72" s="386" t="str">
        <f t="shared" si="3"/>
        <v/>
      </c>
    </row>
    <row r="73" spans="5:9" ht="13.25" customHeight="1">
      <c r="E73" s="384">
        <f t="shared" si="4"/>
        <v>60</v>
      </c>
      <c r="F73" s="384" t="str">
        <f t="shared" si="6"/>
        <v/>
      </c>
      <c r="G73" s="384" t="str">
        <f t="shared" si="2"/>
        <v/>
      </c>
      <c r="H73" s="385" t="str">
        <f t="shared" si="5"/>
        <v/>
      </c>
      <c r="I73" s="386" t="str">
        <f t="shared" si="3"/>
        <v/>
      </c>
    </row>
  </sheetData>
  <mergeCells count="11">
    <mergeCell ref="B46:C46"/>
    <mergeCell ref="B47:C47"/>
    <mergeCell ref="B48:C48"/>
    <mergeCell ref="B49:C49"/>
    <mergeCell ref="B50:C50"/>
    <mergeCell ref="B44:C44"/>
    <mergeCell ref="A10:I10"/>
    <mergeCell ref="B37:C37"/>
    <mergeCell ref="B40:C40"/>
    <mergeCell ref="B41:C41"/>
    <mergeCell ref="B43:C43"/>
  </mergeCells>
  <conditionalFormatting sqref="B20">
    <cfRule type="expression" dxfId="1" priority="1" stopIfTrue="1">
      <formula>LEFT($J$19,5)="Error"</formula>
    </cfRule>
  </conditionalFormatting>
  <conditionalFormatting sqref="B24">
    <cfRule type="expression" dxfId="0" priority="2" stopIfTrue="1">
      <formula>AND(ISNUMBER(XFB33),ISBLANK(DiscountRate))</formula>
    </cfRule>
  </conditionalFormatting>
  <dataValidations count="1">
    <dataValidation type="decimal" allowBlank="1" showInputMessage="1" showErrorMessage="1" errorTitle="Invalid Data" error="Discount rate must be between 4% and 12%." promptTitle="Discount Rate" prompt="Enter the discount rate provided in section 4.9 of the ISO tariff (applicable to the net present value calculation of a payment in lieu of notice in accordance with subsection 5.3(3)(a)." sqref="B24" xr:uid="{CCB7A249-094D-4B6B-8C38-DCA74DF2D118}">
      <formula1>0.04</formula1>
      <formula2>0.12</formula2>
    </dataValidation>
  </dataValidations>
  <pageMargins left="0.51181102362204722" right="0.51181102362204722" top="0.23622047244094491" bottom="0.51181102362204722" header="0.31496062992125984" footer="0.31496062992125984"/>
  <pageSetup scale="71" orientation="portrait" r:id="rId1"/>
  <headerFooter alignWithMargins="0">
    <oddFooter>&amp;L&amp;8Attachment to ISO Tariff - PILON Calculator (AESO ID No. 2025-010T)
Filename: &amp;F — Page &amp;P of &amp;N&amp;R&amp;8Proprietary When Completed</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Applicable ISO Tariff" prompt="Enter the tariff in effect at the time of the notice of reduction or termination is received." xr:uid="{1D0B75CB-43BF-40B1-A9A7-0018C7EDB45E}">
          <x14:formula1>
            <xm:f>Lookup!$C$1:$Z$1</xm:f>
          </x14:formula1>
          <xm:sqref>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188"/>
  <sheetViews>
    <sheetView showGridLines="0" zoomScaleNormal="100" workbookViewId="0">
      <selection activeCell="A8" sqref="A8"/>
    </sheetView>
  </sheetViews>
  <sheetFormatPr defaultColWidth="9.6640625" defaultRowHeight="12.75"/>
  <cols>
    <col min="1" max="1" width="7.6640625" style="116" customWidth="1"/>
    <col min="2" max="2" width="8.6640625" style="237" customWidth="1"/>
    <col min="3" max="3" width="9.6640625" style="237"/>
    <col min="4" max="4" width="9.6640625" style="239"/>
    <col min="5" max="5" width="9.6640625" style="126"/>
    <col min="6" max="6" width="10.6640625" style="126" customWidth="1"/>
    <col min="7" max="7" width="9.6640625" style="126"/>
    <col min="8" max="8" width="10.6640625" style="126" customWidth="1"/>
    <col min="9" max="9" width="12.33203125" style="126" customWidth="1"/>
    <col min="10" max="13" width="10.6640625" style="126" customWidth="1"/>
    <col min="14" max="16" width="10.6640625" style="127" customWidth="1"/>
    <col min="17" max="16384" width="9.6640625" style="127"/>
  </cols>
  <sheetData>
    <row r="1" spans="1:13">
      <c r="B1" s="368"/>
      <c r="C1" s="368"/>
    </row>
    <row r="2" spans="1:13">
      <c r="B2" s="368"/>
      <c r="C2" s="368"/>
    </row>
    <row r="3" spans="1:13">
      <c r="B3" s="368"/>
      <c r="C3" s="368"/>
    </row>
    <row r="4" spans="1:13">
      <c r="B4" s="368"/>
      <c r="C4" s="368"/>
    </row>
    <row r="5" spans="1:13">
      <c r="B5" s="368"/>
      <c r="C5" s="368"/>
    </row>
    <row r="6" spans="1:13">
      <c r="B6" s="368"/>
      <c r="C6" s="368"/>
    </row>
    <row r="7" spans="1:13">
      <c r="B7" s="368"/>
      <c r="C7" s="368"/>
    </row>
    <row r="8" spans="1:13" ht="22.15">
      <c r="A8" s="474" t="s">
        <v>222</v>
      </c>
      <c r="B8" s="406"/>
      <c r="C8" s="406"/>
    </row>
    <row r="9" spans="1:13" ht="22.15">
      <c r="A9" s="474" t="s">
        <v>223</v>
      </c>
      <c r="B9" s="406"/>
      <c r="C9" s="406"/>
    </row>
    <row r="10" spans="1:13" ht="22.15">
      <c r="A10" s="474" t="s">
        <v>224</v>
      </c>
      <c r="B10" s="406"/>
      <c r="C10" s="406"/>
    </row>
    <row r="11" spans="1:13" ht="22.15">
      <c r="A11" s="474"/>
      <c r="B11" s="406"/>
      <c r="C11" s="406"/>
    </row>
    <row r="12" spans="1:13" ht="16.899999999999999">
      <c r="A12" s="463" t="s">
        <v>138</v>
      </c>
      <c r="B12" s="463"/>
      <c r="C12" s="463"/>
      <c r="D12" s="463"/>
      <c r="E12" s="463"/>
      <c r="F12" s="463"/>
      <c r="G12" s="463"/>
      <c r="H12" s="463"/>
      <c r="I12" s="463"/>
      <c r="J12" s="338"/>
      <c r="K12" s="338"/>
      <c r="L12" s="338"/>
      <c r="M12" s="338"/>
    </row>
    <row r="13" spans="1:13" ht="8" customHeight="1"/>
    <row r="14" spans="1:13" ht="13.15">
      <c r="A14" s="116" t="s">
        <v>194</v>
      </c>
      <c r="C14" s="457" t="str">
        <f>ParticipantName</f>
        <v>Name of Market Participant</v>
      </c>
      <c r="D14" s="457"/>
      <c r="E14" s="457"/>
      <c r="F14" s="457"/>
      <c r="G14" s="457"/>
      <c r="H14" s="126" t="s">
        <v>0</v>
      </c>
      <c r="I14" s="459" t="str">
        <f>'A1 Contract'!I13</f>
        <v>AESO 2025</v>
      </c>
      <c r="J14" s="459"/>
      <c r="K14" s="459"/>
      <c r="L14" s="127"/>
      <c r="M14" s="127"/>
    </row>
    <row r="15" spans="1:13" ht="13.15">
      <c r="A15" s="116" t="s">
        <v>179</v>
      </c>
      <c r="C15" s="457" t="str">
        <f>ProjectName</f>
        <v>Project Name</v>
      </c>
      <c r="D15" s="457"/>
      <c r="E15" s="457"/>
      <c r="F15" s="457"/>
      <c r="G15" s="457"/>
      <c r="H15" s="126" t="s">
        <v>1</v>
      </c>
      <c r="I15" s="367">
        <f>'A1 Contract'!I14</f>
        <v>45658</v>
      </c>
      <c r="J15" s="362"/>
      <c r="K15" s="362"/>
      <c r="L15" s="127"/>
      <c r="M15" s="127"/>
    </row>
    <row r="16" spans="1:13">
      <c r="A16" s="116" t="s">
        <v>178</v>
      </c>
      <c r="C16" s="458" t="str">
        <f>ProjectNumber</f>
        <v>Project Number</v>
      </c>
      <c r="D16" s="458"/>
      <c r="E16" s="236" t="s">
        <v>2</v>
      </c>
      <c r="F16" s="470" t="str">
        <f>ProjectType</f>
        <v>DTS Only</v>
      </c>
      <c r="G16" s="470"/>
      <c r="H16" s="126" t="s">
        <v>9</v>
      </c>
      <c r="I16" s="362" t="str">
        <f>'A1 Contract'!I15</f>
        <v>Current</v>
      </c>
      <c r="J16" s="362"/>
      <c r="K16" s="362"/>
      <c r="L16" s="127"/>
      <c r="M16" s="127"/>
    </row>
    <row r="17" spans="1:13">
      <c r="A17" s="116" t="s">
        <v>16</v>
      </c>
      <c r="C17" s="459" t="str">
        <f>PreparerName</f>
        <v>Name of Preparer</v>
      </c>
      <c r="D17" s="459"/>
      <c r="E17" s="236" t="s">
        <v>17</v>
      </c>
      <c r="F17" s="460" t="str">
        <f>PreparationDate</f>
        <v>Date Prepared</v>
      </c>
      <c r="G17" s="460"/>
      <c r="H17" s="231" t="s">
        <v>18</v>
      </c>
      <c r="I17" s="464" t="str">
        <f>'A1 Contract'!I16</f>
        <v>2025.0.0</v>
      </c>
      <c r="J17" s="464"/>
      <c r="K17" s="464"/>
      <c r="L17" s="127"/>
      <c r="M17" s="127"/>
    </row>
    <row r="19" spans="1:13" ht="13.15">
      <c r="A19" s="155" t="s">
        <v>186</v>
      </c>
      <c r="B19" s="156"/>
      <c r="C19" s="226"/>
      <c r="D19" s="226"/>
      <c r="E19" s="226"/>
      <c r="F19" s="179"/>
      <c r="G19" s="226"/>
      <c r="H19" s="17"/>
      <c r="I19" s="226"/>
      <c r="J19" s="127"/>
      <c r="K19" s="127"/>
      <c r="L19" s="127"/>
      <c r="M19" s="127"/>
    </row>
    <row r="20" spans="1:13">
      <c r="A20" s="116" t="str">
        <f>"From date of payment to end of five-year notice period ("&amp;TEXT(PILONDate,"mmm yyyy")&amp;" to "&amp;TEXT(EffectiveWithoutPILON-1,"mmm yyyy")&amp;"):"</f>
        <v>From date of payment to end of five-year notice period (Apr 2021 to Jan 1905):</v>
      </c>
      <c r="B20" s="125"/>
      <c r="C20" s="227"/>
      <c r="D20" s="227"/>
      <c r="E20" s="227"/>
      <c r="F20" s="154"/>
      <c r="G20" s="227"/>
      <c r="I20" s="227"/>
      <c r="J20" s="127"/>
      <c r="K20" s="127"/>
      <c r="L20" s="127"/>
      <c r="M20" s="127"/>
    </row>
    <row r="21" spans="1:13">
      <c r="A21" s="116" t="s">
        <v>117</v>
      </c>
      <c r="B21" s="125"/>
      <c r="C21" s="227"/>
      <c r="D21" s="227"/>
      <c r="E21" s="227"/>
      <c r="F21" s="154"/>
      <c r="G21" s="227"/>
      <c r="H21" s="461" t="e">
        <f>O61</f>
        <v>#NUM!</v>
      </c>
      <c r="I21" s="461"/>
      <c r="J21" s="127"/>
      <c r="K21" s="127"/>
      <c r="L21" s="127"/>
      <c r="M21" s="127"/>
    </row>
    <row r="22" spans="1:13">
      <c r="A22" s="116" t="s">
        <v>118</v>
      </c>
      <c r="B22" s="125"/>
      <c r="C22" s="227"/>
      <c r="D22" s="227"/>
      <c r="E22" s="227"/>
      <c r="F22" s="154"/>
      <c r="G22" s="227"/>
      <c r="H22" s="461" t="e">
        <f>O128</f>
        <v>#NUM!</v>
      </c>
      <c r="I22" s="461"/>
      <c r="J22" s="127"/>
      <c r="K22" s="127"/>
      <c r="L22" s="127"/>
      <c r="M22" s="127"/>
    </row>
    <row r="23" spans="1:13" ht="13.15">
      <c r="A23" s="155" t="s">
        <v>119</v>
      </c>
      <c r="B23" s="156"/>
      <c r="C23" s="226"/>
      <c r="D23" s="226"/>
      <c r="E23" s="226"/>
      <c r="F23" s="179"/>
      <c r="G23" s="226"/>
      <c r="H23" s="462" t="e">
        <f>H21-H22</f>
        <v>#NUM!</v>
      </c>
      <c r="I23" s="462"/>
      <c r="J23" s="127"/>
      <c r="K23" s="127"/>
      <c r="L23" s="127"/>
      <c r="M23" s="127"/>
    </row>
    <row r="24" spans="1:13">
      <c r="B24" s="125"/>
      <c r="C24" s="227"/>
      <c r="D24" s="227"/>
      <c r="E24" s="227"/>
      <c r="F24" s="154"/>
      <c r="G24" s="227"/>
      <c r="H24" s="227"/>
      <c r="J24" s="227"/>
      <c r="K24" s="127"/>
      <c r="L24" s="127"/>
      <c r="M24" s="127"/>
    </row>
    <row r="25" spans="1:13">
      <c r="A25" s="116" t="s">
        <v>86</v>
      </c>
      <c r="B25" s="125"/>
      <c r="C25" s="215"/>
      <c r="E25" s="127"/>
      <c r="L25" s="127"/>
      <c r="M25" s="127"/>
    </row>
    <row r="26" spans="1:13">
      <c r="B26" s="125"/>
      <c r="C26" s="215"/>
      <c r="E26" s="127"/>
      <c r="H26" s="215"/>
      <c r="J26" s="215"/>
      <c r="K26" s="215"/>
      <c r="L26" s="127"/>
      <c r="M26" s="127"/>
    </row>
    <row r="27" spans="1:13" ht="13.15">
      <c r="A27" s="467" t="s">
        <v>83</v>
      </c>
      <c r="B27" s="473"/>
      <c r="C27" s="473"/>
      <c r="D27" s="468"/>
      <c r="E27" s="467" t="s">
        <v>103</v>
      </c>
      <c r="F27" s="468"/>
      <c r="G27" s="467" t="s">
        <v>114</v>
      </c>
      <c r="H27" s="468"/>
      <c r="I27" s="230" t="s">
        <v>115</v>
      </c>
      <c r="J27" s="127"/>
      <c r="K27" s="127"/>
      <c r="L27" s="127"/>
      <c r="M27" s="127"/>
    </row>
    <row r="28" spans="1:13" ht="13.15">
      <c r="A28" s="183" t="s">
        <v>85</v>
      </c>
      <c r="C28" s="238"/>
      <c r="D28" s="183"/>
      <c r="E28" s="183"/>
      <c r="F28" s="183"/>
      <c r="G28" s="183"/>
      <c r="H28" s="183"/>
      <c r="I28" s="183"/>
      <c r="J28" s="127"/>
      <c r="K28" s="127"/>
      <c r="L28" s="127"/>
      <c r="M28" s="127"/>
    </row>
    <row r="29" spans="1:13">
      <c r="A29" s="184" t="s">
        <v>71</v>
      </c>
      <c r="B29" s="264"/>
      <c r="C29" s="240"/>
      <c r="D29" s="187"/>
      <c r="E29" s="319"/>
      <c r="F29" s="334"/>
      <c r="G29" s="271"/>
      <c r="H29" s="189"/>
      <c r="I29" s="316"/>
      <c r="J29" s="127"/>
      <c r="K29" s="127"/>
      <c r="L29" s="127"/>
      <c r="M29" s="127"/>
    </row>
    <row r="30" spans="1:13">
      <c r="A30" s="188" t="s">
        <v>120</v>
      </c>
      <c r="B30" s="265"/>
      <c r="C30" s="241"/>
      <c r="D30" s="254"/>
      <c r="E30" s="445">
        <f>INDEX(Lookup!$C$4:$Z$4,1,MATCH($I$14,Lookup!$C$1:$Z$1,0))</f>
        <v>11164</v>
      </c>
      <c r="F30" s="469"/>
      <c r="G30" s="272"/>
      <c r="H30" s="228"/>
      <c r="I30" s="317" t="s">
        <v>82</v>
      </c>
      <c r="J30" s="127"/>
      <c r="K30" s="127"/>
      <c r="L30" s="127"/>
      <c r="M30" s="127"/>
    </row>
    <row r="31" spans="1:13">
      <c r="A31" s="192" t="s">
        <v>121</v>
      </c>
      <c r="B31" s="266"/>
      <c r="C31" s="242"/>
      <c r="D31" s="326"/>
      <c r="E31" s="447">
        <f>INDEX(Lookup!$C$5:$Z$5,1,MATCH($I$14,Lookup!$C$1:$Z$1,0))</f>
        <v>1.23</v>
      </c>
      <c r="F31" s="465"/>
      <c r="G31" s="272"/>
      <c r="H31" s="228"/>
      <c r="I31" s="318" t="s">
        <v>73</v>
      </c>
      <c r="J31" s="127"/>
      <c r="K31" s="127"/>
      <c r="L31" s="127"/>
      <c r="M31" s="127"/>
    </row>
    <row r="32" spans="1:13">
      <c r="A32" s="184" t="s">
        <v>72</v>
      </c>
      <c r="B32" s="267"/>
      <c r="C32" s="240"/>
      <c r="D32" s="187"/>
      <c r="E32" s="319"/>
      <c r="F32" s="320"/>
      <c r="G32" s="271"/>
      <c r="H32" s="228"/>
      <c r="I32" s="316"/>
      <c r="J32" s="127"/>
      <c r="K32" s="127"/>
      <c r="L32" s="127"/>
      <c r="M32" s="127"/>
    </row>
    <row r="33" spans="1:13">
      <c r="A33" s="188" t="s">
        <v>122</v>
      </c>
      <c r="B33" s="268"/>
      <c r="C33" s="241"/>
      <c r="D33" s="254"/>
      <c r="E33" s="445">
        <f>INDEX(Lookup!$C$6:$Z$6,1,MATCH($I$14,Lookup!$C$1:$Z$1,0))</f>
        <v>2945</v>
      </c>
      <c r="F33" s="469"/>
      <c r="G33" s="272"/>
      <c r="H33" s="228"/>
      <c r="I33" s="317" t="s">
        <v>82</v>
      </c>
      <c r="J33" s="127"/>
      <c r="K33" s="127"/>
      <c r="L33" s="127"/>
      <c r="M33" s="127"/>
    </row>
    <row r="34" spans="1:13">
      <c r="A34" s="192" t="s">
        <v>123</v>
      </c>
      <c r="B34" s="269"/>
      <c r="C34" s="242"/>
      <c r="D34" s="326"/>
      <c r="E34" s="447">
        <f>INDEX(Lookup!$C$7:$Z$7,1,MATCH($I$14,Lookup!$C$1:$Z$1,0))</f>
        <v>0.93</v>
      </c>
      <c r="F34" s="465"/>
      <c r="G34" s="273"/>
      <c r="H34" s="229"/>
      <c r="I34" s="318" t="s">
        <v>73</v>
      </c>
      <c r="J34" s="127"/>
      <c r="K34" s="127"/>
      <c r="L34" s="127"/>
      <c r="M34" s="127"/>
    </row>
    <row r="35" spans="1:13">
      <c r="A35" s="184" t="s">
        <v>100</v>
      </c>
      <c r="B35" s="267"/>
      <c r="C35" s="240"/>
      <c r="D35" s="187"/>
      <c r="E35" s="319"/>
      <c r="F35" s="320"/>
      <c r="G35" s="319"/>
      <c r="H35" s="320"/>
      <c r="I35" s="316"/>
      <c r="J35" s="127"/>
      <c r="K35" s="127"/>
      <c r="L35" s="127"/>
      <c r="M35" s="127"/>
    </row>
    <row r="36" spans="1:13">
      <c r="A36" s="188" t="s">
        <v>127</v>
      </c>
      <c r="B36" s="268"/>
      <c r="C36" s="241"/>
      <c r="D36" s="254"/>
      <c r="E36" s="445">
        <f>INDEX(Lookup!$C$8:$Z$8,1,MATCH($I$14,Lookup!$C$1:$Z$1,0))</f>
        <v>15304</v>
      </c>
      <c r="F36" s="469"/>
      <c r="G36" s="445">
        <f>INDEX(Lookup!$C$13:$Z$13,1,MATCH($I$14,Lookup!$C$1:$Z$1,0))</f>
        <v>-12090</v>
      </c>
      <c r="H36" s="469"/>
      <c r="I36" s="317" t="s">
        <v>102</v>
      </c>
      <c r="J36" s="127"/>
      <c r="K36" s="404"/>
      <c r="L36" s="127"/>
      <c r="M36" s="127"/>
    </row>
    <row r="37" spans="1:13">
      <c r="A37" s="188" t="s">
        <v>128</v>
      </c>
      <c r="B37" s="268"/>
      <c r="C37" s="241"/>
      <c r="D37" s="254"/>
      <c r="E37" s="445">
        <f>INDEX(Lookup!$C$9:$Z$9,1,MATCH($I$14,Lookup!$C$1:$Z$1,0))</f>
        <v>5037</v>
      </c>
      <c r="F37" s="469"/>
      <c r="G37" s="445">
        <f>INDEX(Lookup!$C$14:$Z$14,1,MATCH($I$14,Lookup!$C$1:$Z$1,0))</f>
        <v>-3979</v>
      </c>
      <c r="H37" s="469"/>
      <c r="I37" s="317" t="s">
        <v>82</v>
      </c>
      <c r="J37" s="127"/>
      <c r="K37" s="404"/>
      <c r="L37" s="127"/>
      <c r="M37" s="127"/>
    </row>
    <row r="38" spans="1:13">
      <c r="A38" s="188" t="s">
        <v>129</v>
      </c>
      <c r="B38" s="268"/>
      <c r="C38" s="241"/>
      <c r="D38" s="254"/>
      <c r="E38" s="445">
        <f>INDEX(Lookup!$C$10:$Z$10,1,MATCH($I$14,Lookup!$C$1:$Z$1,0))</f>
        <v>2987</v>
      </c>
      <c r="F38" s="469"/>
      <c r="G38" s="445">
        <f>INDEX(Lookup!$C$15:$Z$15,1,MATCH($I$14,Lookup!$C$1:$Z$1,0))</f>
        <v>-2360</v>
      </c>
      <c r="H38" s="469"/>
      <c r="I38" s="317" t="s">
        <v>82</v>
      </c>
      <c r="J38" s="127"/>
      <c r="K38" s="404"/>
      <c r="L38" s="127"/>
      <c r="M38" s="127"/>
    </row>
    <row r="39" spans="1:13">
      <c r="A39" s="188" t="s">
        <v>130</v>
      </c>
      <c r="B39" s="268"/>
      <c r="C39" s="241"/>
      <c r="D39" s="254"/>
      <c r="E39" s="445">
        <f>INDEX(Lookup!$C$11:$Z$11,1,MATCH($I$14,Lookup!$C$1:$Z$1,0))</f>
        <v>2000</v>
      </c>
      <c r="F39" s="469"/>
      <c r="G39" s="445">
        <f>INDEX(Lookup!$C$16:$Z$16,1,MATCH($I$14,Lookup!$C$1:$Z$1,0))</f>
        <v>-1580</v>
      </c>
      <c r="H39" s="469"/>
      <c r="I39" s="317" t="s">
        <v>82</v>
      </c>
      <c r="J39" s="127"/>
      <c r="K39" s="404"/>
      <c r="L39" s="127"/>
      <c r="M39" s="127"/>
    </row>
    <row r="40" spans="1:13">
      <c r="A40" s="192" t="s">
        <v>131</v>
      </c>
      <c r="B40" s="269"/>
      <c r="C40" s="242"/>
      <c r="D40" s="326"/>
      <c r="E40" s="447">
        <f>INDEX(Lookup!$C$12:$Z$12,1,MATCH($I$14,Lookup!$C$1:$Z$1,0))</f>
        <v>1231</v>
      </c>
      <c r="F40" s="465"/>
      <c r="G40" s="447">
        <f>INDEX(Lookup!$C$17:$Z$17,1,MATCH($I$14,Lookup!$C$1:$Z$1,0))</f>
        <v>-1231</v>
      </c>
      <c r="H40" s="465"/>
      <c r="I40" s="318" t="s">
        <v>82</v>
      </c>
      <c r="J40" s="127"/>
      <c r="K40" s="404"/>
      <c r="L40" s="127"/>
      <c r="M40" s="127"/>
    </row>
    <row r="41" spans="1:13" ht="13.15">
      <c r="A41" s="255" t="s">
        <v>101</v>
      </c>
      <c r="B41" s="127"/>
      <c r="C41" s="256"/>
      <c r="D41" s="257"/>
      <c r="E41" s="258"/>
      <c r="F41" s="258"/>
      <c r="G41" s="274"/>
      <c r="H41" s="274"/>
      <c r="I41" s="259"/>
      <c r="J41" s="268"/>
      <c r="K41" s="127"/>
      <c r="L41" s="127"/>
      <c r="M41" s="127"/>
    </row>
    <row r="42" spans="1:13" ht="13.15">
      <c r="A42" s="184" t="s">
        <v>132</v>
      </c>
      <c r="B42" s="267"/>
      <c r="C42" s="240"/>
      <c r="D42" s="187"/>
      <c r="E42" s="335"/>
      <c r="F42" s="363">
        <f>INDEX(Lookup!$C$18:$Z$18,1,MATCH($I$14,Lookup!$C$1:$Z$1,0))</f>
        <v>54.3</v>
      </c>
      <c r="G42" s="258"/>
      <c r="H42" s="258"/>
      <c r="I42" s="323" t="s">
        <v>73</v>
      </c>
      <c r="J42" s="268"/>
      <c r="K42" s="127"/>
      <c r="L42" s="127"/>
      <c r="M42" s="127"/>
    </row>
    <row r="43" spans="1:13" ht="13.15">
      <c r="A43" s="192" t="s">
        <v>133</v>
      </c>
      <c r="B43" s="269"/>
      <c r="C43" s="242"/>
      <c r="D43" s="326"/>
      <c r="E43" s="273"/>
      <c r="F43" s="364">
        <f>INDEX(Lookup!$C$19:$Z$19,1,MATCH($I$14,Lookup!$C$1:$Z$1,0))</f>
        <v>6.8699999999999997E-2</v>
      </c>
      <c r="G43" s="258"/>
      <c r="H43" s="258"/>
      <c r="I43" s="318"/>
      <c r="J43" s="268"/>
      <c r="K43" s="127"/>
      <c r="L43" s="127"/>
      <c r="M43" s="127"/>
    </row>
    <row r="44" spans="1:13" ht="13.15">
      <c r="A44" s="255" t="s">
        <v>150</v>
      </c>
      <c r="B44" s="127"/>
      <c r="C44" s="256"/>
      <c r="D44" s="257"/>
      <c r="E44" s="258"/>
      <c r="F44" s="258"/>
      <c r="G44" s="258"/>
      <c r="H44" s="258"/>
      <c r="I44" s="259"/>
      <c r="J44" s="268"/>
      <c r="K44" s="127"/>
      <c r="L44" s="127"/>
      <c r="M44" s="127"/>
    </row>
    <row r="45" spans="1:13" ht="13.15">
      <c r="A45" s="260" t="s">
        <v>134</v>
      </c>
      <c r="B45" s="270"/>
      <c r="C45" s="261"/>
      <c r="D45" s="262"/>
      <c r="E45" s="336"/>
      <c r="F45" s="365">
        <f>INDEX(Lookup!$C$20:$Z$20,1,MATCH($I$14,Lookup!$C$1:$Z$1,0))</f>
        <v>0.26500000000000001</v>
      </c>
      <c r="G45" s="258"/>
      <c r="H45" s="258"/>
      <c r="I45" s="322" t="s">
        <v>73</v>
      </c>
      <c r="J45" s="268"/>
      <c r="K45" s="127"/>
      <c r="L45" s="127"/>
      <c r="M45" s="127"/>
    </row>
    <row r="46" spans="1:13" ht="13.15">
      <c r="A46" s="255" t="s">
        <v>152</v>
      </c>
      <c r="B46" s="127"/>
      <c r="C46" s="256"/>
      <c r="D46" s="257"/>
      <c r="E46" s="258"/>
      <c r="F46" s="258"/>
      <c r="G46" s="258"/>
      <c r="H46" s="258"/>
      <c r="I46" s="259"/>
      <c r="J46" s="268"/>
      <c r="K46" s="127"/>
      <c r="L46" s="127"/>
      <c r="M46" s="127"/>
    </row>
    <row r="47" spans="1:13" ht="13.15">
      <c r="A47" s="260" t="s">
        <v>151</v>
      </c>
      <c r="B47" s="270"/>
      <c r="C47" s="261"/>
      <c r="D47" s="262"/>
      <c r="E47" s="336"/>
      <c r="F47" s="366">
        <f>INDEX(Lookup!$C$21:$Z$21,1,MATCH($I$14,Lookup!$C$1:$Z$1,0))</f>
        <v>7.0000000000000007E-2</v>
      </c>
      <c r="G47" s="258"/>
      <c r="H47" s="258"/>
      <c r="I47" s="322" t="s">
        <v>73</v>
      </c>
      <c r="J47" s="268"/>
      <c r="K47" s="127"/>
      <c r="L47" s="127"/>
      <c r="M47" s="127"/>
    </row>
    <row r="48" spans="1:13" ht="13.15">
      <c r="A48" s="255" t="s">
        <v>153</v>
      </c>
      <c r="B48" s="127"/>
      <c r="C48" s="256"/>
      <c r="D48" s="257"/>
      <c r="E48" s="258"/>
      <c r="F48" s="258"/>
      <c r="G48" s="258"/>
      <c r="H48" s="258"/>
      <c r="I48" s="259"/>
      <c r="J48" s="268"/>
      <c r="K48" s="127"/>
      <c r="L48" s="127"/>
      <c r="M48" s="127"/>
    </row>
    <row r="49" spans="1:16" ht="13.15">
      <c r="A49" s="260" t="s">
        <v>154</v>
      </c>
      <c r="B49" s="270"/>
      <c r="C49" s="261"/>
      <c r="D49" s="337"/>
      <c r="E49" s="336"/>
      <c r="F49" s="366">
        <f>INDEX(Lookup!$C$22:$Z$22,1,MATCH($I$14,Lookup!$C$1:$Z$1,0))</f>
        <v>52</v>
      </c>
      <c r="G49" s="258"/>
      <c r="H49" s="258"/>
      <c r="I49" s="322" t="s">
        <v>82</v>
      </c>
      <c r="J49" s="268"/>
      <c r="K49" s="127"/>
      <c r="L49" s="127"/>
      <c r="M49" s="127"/>
    </row>
    <row r="50" spans="1:16" ht="13.15">
      <c r="B50" s="125"/>
      <c r="C50" s="252"/>
      <c r="D50" s="241"/>
      <c r="E50" s="190"/>
      <c r="F50" s="228"/>
      <c r="G50" s="253"/>
      <c r="H50" s="258"/>
      <c r="I50" s="258"/>
      <c r="J50" s="258"/>
      <c r="K50" s="127"/>
      <c r="L50" s="127"/>
      <c r="M50" s="127"/>
    </row>
    <row r="51" spans="1:16" ht="13.15">
      <c r="A51" s="452" t="s">
        <v>113</v>
      </c>
      <c r="B51" s="453"/>
      <c r="C51" s="453"/>
      <c r="D51" s="454"/>
      <c r="E51" s="452" t="s">
        <v>112</v>
      </c>
      <c r="F51" s="454"/>
      <c r="H51" s="215"/>
      <c r="I51" s="215"/>
      <c r="J51" s="127"/>
      <c r="K51" s="127"/>
      <c r="L51" s="127"/>
      <c r="M51" s="127"/>
    </row>
    <row r="52" spans="1:16">
      <c r="A52" s="184" t="s">
        <v>135</v>
      </c>
      <c r="B52" s="240"/>
      <c r="C52" s="186"/>
      <c r="D52" s="187"/>
      <c r="E52" s="327"/>
      <c r="F52" s="332">
        <f>IF(ISNUMBER(OverrideCF),OverrideCF,IF(ISNUMBER(AverageCF),AverageCF,75%))</f>
        <v>0.75</v>
      </c>
      <c r="H52" s="215"/>
      <c r="I52" s="215"/>
      <c r="J52" s="127"/>
      <c r="K52" s="127"/>
      <c r="L52" s="127"/>
      <c r="M52" s="127"/>
    </row>
    <row r="53" spans="1:16">
      <c r="A53" s="188" t="s">
        <v>136</v>
      </c>
      <c r="B53" s="241"/>
      <c r="C53" s="190"/>
      <c r="D53" s="254"/>
      <c r="E53" s="329"/>
      <c r="F53" s="333">
        <f>IF(ISNUMBER(OverrideLF),OverrideLF,IF(ISNUMBER(AverageLF),AverageLF,65%))</f>
        <v>0.65</v>
      </c>
      <c r="H53" s="215"/>
      <c r="I53" s="215"/>
      <c r="J53" s="127"/>
      <c r="K53" s="127"/>
      <c r="L53" s="127"/>
      <c r="M53" s="127"/>
    </row>
    <row r="54" spans="1:16">
      <c r="A54" s="325" t="s">
        <v>137</v>
      </c>
      <c r="B54" s="242"/>
      <c r="C54" s="194"/>
      <c r="D54" s="326"/>
      <c r="E54" s="331"/>
      <c r="F54" s="321">
        <f>DiscountRate</f>
        <v>0</v>
      </c>
      <c r="H54" s="215"/>
      <c r="I54" s="215"/>
      <c r="J54" s="127"/>
      <c r="K54" s="127"/>
      <c r="L54" s="127"/>
      <c r="M54" s="127"/>
    </row>
    <row r="56" spans="1:16" ht="13.15">
      <c r="A56" s="293"/>
      <c r="B56" s="4"/>
      <c r="C56" s="138" t="s">
        <v>44</v>
      </c>
      <c r="D56" s="146"/>
      <c r="E56" s="298"/>
      <c r="F56" s="146" t="s">
        <v>44</v>
      </c>
      <c r="G56" s="137"/>
      <c r="H56" s="418" t="s">
        <v>187</v>
      </c>
      <c r="I56" s="419"/>
      <c r="J56" s="419"/>
      <c r="K56" s="419"/>
      <c r="L56" s="419"/>
      <c r="M56" s="419"/>
      <c r="N56" s="419"/>
      <c r="O56" s="419"/>
      <c r="P56" s="420"/>
    </row>
    <row r="57" spans="1:16" ht="13.15">
      <c r="A57" s="294"/>
      <c r="B57" s="295"/>
      <c r="C57" s="157" t="s">
        <v>41</v>
      </c>
      <c r="D57" s="141"/>
      <c r="E57" s="299" t="s">
        <v>5</v>
      </c>
      <c r="F57" s="141" t="s">
        <v>46</v>
      </c>
      <c r="G57" s="139"/>
      <c r="H57" s="301" t="s">
        <v>67</v>
      </c>
      <c r="I57" s="302" t="s">
        <v>69</v>
      </c>
      <c r="J57" s="302" t="s">
        <v>92</v>
      </c>
      <c r="K57" s="302" t="s">
        <v>94</v>
      </c>
      <c r="L57" s="302" t="s">
        <v>155</v>
      </c>
      <c r="M57" s="302" t="s">
        <v>96</v>
      </c>
      <c r="N57" s="302" t="s">
        <v>10</v>
      </c>
      <c r="O57" s="306" t="s">
        <v>107</v>
      </c>
      <c r="P57" s="303" t="s">
        <v>5</v>
      </c>
    </row>
    <row r="58" spans="1:16" s="115" customFormat="1" ht="13.15">
      <c r="A58" s="140"/>
      <c r="B58" s="296"/>
      <c r="C58" s="157" t="s">
        <v>42</v>
      </c>
      <c r="D58" s="141" t="s">
        <v>61</v>
      </c>
      <c r="E58" s="299" t="s">
        <v>42</v>
      </c>
      <c r="F58" s="141" t="s">
        <v>42</v>
      </c>
      <c r="G58" s="139" t="s">
        <v>106</v>
      </c>
      <c r="H58" s="157" t="s">
        <v>68</v>
      </c>
      <c r="I58" s="141" t="s">
        <v>68</v>
      </c>
      <c r="J58" s="233" t="s">
        <v>93</v>
      </c>
      <c r="K58" s="233" t="s">
        <v>95</v>
      </c>
      <c r="L58" s="141" t="s">
        <v>156</v>
      </c>
      <c r="M58" s="141" t="s">
        <v>97</v>
      </c>
      <c r="N58" s="141" t="s">
        <v>68</v>
      </c>
      <c r="O58" s="234" t="s">
        <v>108</v>
      </c>
      <c r="P58" s="139" t="s">
        <v>99</v>
      </c>
    </row>
    <row r="59" spans="1:16" s="115" customFormat="1" ht="13.15">
      <c r="A59" s="180"/>
      <c r="B59" s="296"/>
      <c r="C59" s="157" t="s">
        <v>43</v>
      </c>
      <c r="D59" s="141" t="s">
        <v>31</v>
      </c>
      <c r="E59" s="299" t="s">
        <v>45</v>
      </c>
      <c r="F59" s="141" t="s">
        <v>43</v>
      </c>
      <c r="G59" s="139" t="s">
        <v>104</v>
      </c>
      <c r="H59" s="157" t="s">
        <v>84</v>
      </c>
      <c r="I59" s="141" t="s">
        <v>84</v>
      </c>
      <c r="J59" s="233" t="s">
        <v>84</v>
      </c>
      <c r="K59" s="233" t="s">
        <v>84</v>
      </c>
      <c r="L59" s="141" t="s">
        <v>84</v>
      </c>
      <c r="M59" s="141" t="s">
        <v>84</v>
      </c>
      <c r="N59" s="141" t="s">
        <v>98</v>
      </c>
      <c r="O59" s="234" t="s">
        <v>109</v>
      </c>
      <c r="P59" s="139" t="s">
        <v>70</v>
      </c>
    </row>
    <row r="60" spans="1:16" s="115" customFormat="1" ht="13.15">
      <c r="A60" s="142" t="s">
        <v>6</v>
      </c>
      <c r="B60" s="297" t="s">
        <v>13</v>
      </c>
      <c r="C60" s="214" t="s">
        <v>52</v>
      </c>
      <c r="D60" s="243" t="s">
        <v>52</v>
      </c>
      <c r="E60" s="300" t="s">
        <v>53</v>
      </c>
      <c r="F60" s="243" t="s">
        <v>52</v>
      </c>
      <c r="G60" s="210" t="s">
        <v>105</v>
      </c>
      <c r="H60" s="304" t="s">
        <v>77</v>
      </c>
      <c r="I60" s="212" t="s">
        <v>77</v>
      </c>
      <c r="J60" s="305" t="s">
        <v>77</v>
      </c>
      <c r="K60" s="305" t="s">
        <v>77</v>
      </c>
      <c r="L60" s="243" t="s">
        <v>77</v>
      </c>
      <c r="M60" s="243" t="s">
        <v>77</v>
      </c>
      <c r="N60" s="243" t="s">
        <v>77</v>
      </c>
      <c r="O60" s="235" t="s">
        <v>77</v>
      </c>
      <c r="P60" s="210" t="s">
        <v>77</v>
      </c>
    </row>
    <row r="61" spans="1:16" s="115" customFormat="1" ht="13.15">
      <c r="A61" s="312" t="s">
        <v>110</v>
      </c>
      <c r="B61" s="313">
        <f>PILONDate</f>
        <v>44287</v>
      </c>
      <c r="C61" s="310" t="s">
        <v>111</v>
      </c>
      <c r="D61" s="311"/>
      <c r="E61" s="314"/>
      <c r="F61" s="311"/>
      <c r="G61" s="311"/>
      <c r="H61" s="310"/>
      <c r="I61" s="308"/>
      <c r="J61" s="309"/>
      <c r="K61" s="177"/>
      <c r="L61" s="176"/>
      <c r="M61" s="176"/>
      <c r="N61" s="315" t="s">
        <v>78</v>
      </c>
      <c r="O61" s="471" t="e">
        <f>NPV(DiscountRate/12,P62:P121)</f>
        <v>#NUM!</v>
      </c>
      <c r="P61" s="472"/>
    </row>
    <row r="62" spans="1:16">
      <c r="A62" s="148" t="e">
        <f>'A4 Demands'!A48</f>
        <v>#NUM!</v>
      </c>
      <c r="B62" s="290" t="e">
        <f>'A4 Demands'!B48</f>
        <v>#NUM!</v>
      </c>
      <c r="C62" s="275" t="e">
        <f>'A4 Demands'!C48</f>
        <v>#NUM!</v>
      </c>
      <c r="D62" s="276" t="e">
        <f>'A4 Demands'!F48</f>
        <v>#NUM!</v>
      </c>
      <c r="E62" s="277" t="e">
        <f t="shared" ref="E62:E93" si="0">C62*(DATE(YEAR(B62),MONTH(B62)+1,1)-B62)*24*F$53</f>
        <v>#NUM!</v>
      </c>
      <c r="F62" s="132" t="e">
        <f t="shared" ref="F62:F93" si="1">C62*F$52</f>
        <v>#NUM!</v>
      </c>
      <c r="G62" s="278" t="e">
        <f>VLOOKUP(A62,'A1 Contract'!$A$55:$I$64,7,FALSE)</f>
        <v>#NUM!</v>
      </c>
      <c r="H62" s="244" t="e">
        <f t="shared" ref="H62:H93" si="2">IF(B62&lt;DATE(YEAR(PILONDate),MONTH(PILONDate),1),"",(F62*$E$30)+(E62*$E$31))</f>
        <v>#NUM!</v>
      </c>
      <c r="I62" s="245" t="e">
        <f t="shared" ref="I62:I93" si="3">IF(B62&lt;DATE(YEAR(PILONDate),MONTH(PILONDate),1),"",(D62*$E$33)+(E62*$E$34))</f>
        <v>#NUM!</v>
      </c>
      <c r="J62" s="245" t="e">
        <f t="shared" ref="J62:J93" si="4">IF(B62&lt;DATE(YEAR(PILONDate),MONTH(PILONDate),1),"",IF(D62&gt;0,(G62*$E$36)+(MIN(7.5*G62,D62)*$E$37)+(MAX(MIN(9.5*G62,D62-(7.5*G62)),0)*$E$38)+(MAX(MIN(23*G62,D62-(17*G62)),0)*$E$39)+(MAX(D62-(40*G62),0)*$E$40),IF(D62=0,G62*$E$36,0)))</f>
        <v>#NUM!</v>
      </c>
      <c r="K62" s="245" t="e">
        <f t="shared" ref="K62:K93" si="5">IF(B62&lt;DATE(YEAR(PILONDate),MONTH(PILONDate),1),"",E62*$F$42*$F$43)</f>
        <v>#NUM!</v>
      </c>
      <c r="L62" s="245" t="e">
        <f t="shared" ref="L62:L93" si="6">IF(B62&lt;DATE(YEAR(PILONDate),MONTH(PILONDate),1),"",E62*$F$45)</f>
        <v>#NUM!</v>
      </c>
      <c r="M62" s="245" t="e">
        <f t="shared" ref="M62:M93" si="7">IF(B62&lt;DATE(YEAR(PILONDate),MONTH(PILONDate),1),"",E62*$F$47)</f>
        <v>#NUM!</v>
      </c>
      <c r="N62" s="245" t="e">
        <f t="shared" ref="N62:N93" si="8">IF(B62&lt;DATE(YEAR(PILONDate),MONTH(PILONDate),1),"",C62*$F$49)</f>
        <v>#NUM!</v>
      </c>
      <c r="O62" s="246" t="e">
        <f t="shared" ref="O62:O93" si="9">IF(B62&lt;DATE(YEAR(PILONDate),MONTH(PILONDate),1),"",IF(ReceivePSC="Yes",IF(D62&gt;0,(G62*$G$36)+(MIN(7.5*G62,D62)*$G$37)+(MAX(MIN(9.5*G62,D62-(7.5*G62)),0)*$G$38)+(MAX(MIN(23*G62,D62-(17*G62)),0)*$G$39)+(MAX(D62-(40*G62),0)*$G$40),0),0))</f>
        <v>#NUM!</v>
      </c>
      <c r="P62" s="247" t="e">
        <f t="shared" ref="P62:P93" si="10">IF(B62&lt;DATE(YEAR(PILONDate),MONTH(PILONDate),1),"",SUM(H62:O62))</f>
        <v>#NUM!</v>
      </c>
    </row>
    <row r="63" spans="1:16">
      <c r="A63" s="149" t="e">
        <f>'A4 Demands'!A49</f>
        <v>#NUM!</v>
      </c>
      <c r="B63" s="291" t="e">
        <f>'A4 Demands'!B49</f>
        <v>#NUM!</v>
      </c>
      <c r="C63" s="279" t="e">
        <f>'A4 Demands'!C49</f>
        <v>#NUM!</v>
      </c>
      <c r="D63" s="280" t="e">
        <f>'A4 Demands'!F49</f>
        <v>#NUM!</v>
      </c>
      <c r="E63" s="281" t="e">
        <f t="shared" si="0"/>
        <v>#NUM!</v>
      </c>
      <c r="F63" s="134" t="e">
        <f t="shared" si="1"/>
        <v>#NUM!</v>
      </c>
      <c r="G63" s="282" t="e">
        <f>VLOOKUP(A63,'A1 Contract'!$A$55:$I$64,7,FALSE)</f>
        <v>#NUM!</v>
      </c>
      <c r="H63" s="248" t="e">
        <f t="shared" si="2"/>
        <v>#NUM!</v>
      </c>
      <c r="I63" s="249" t="e">
        <f t="shared" si="3"/>
        <v>#NUM!</v>
      </c>
      <c r="J63" s="249" t="e">
        <f t="shared" si="4"/>
        <v>#NUM!</v>
      </c>
      <c r="K63" s="249" t="e">
        <f t="shared" si="5"/>
        <v>#NUM!</v>
      </c>
      <c r="L63" s="249" t="e">
        <f t="shared" si="6"/>
        <v>#NUM!</v>
      </c>
      <c r="M63" s="249" t="e">
        <f t="shared" si="7"/>
        <v>#NUM!</v>
      </c>
      <c r="N63" s="249" t="e">
        <f t="shared" si="8"/>
        <v>#NUM!</v>
      </c>
      <c r="O63" s="250" t="e">
        <f t="shared" si="9"/>
        <v>#NUM!</v>
      </c>
      <c r="P63" s="251" t="e">
        <f t="shared" si="10"/>
        <v>#NUM!</v>
      </c>
    </row>
    <row r="64" spans="1:16">
      <c r="A64" s="149" t="e">
        <f>'A4 Demands'!A50</f>
        <v>#NUM!</v>
      </c>
      <c r="B64" s="291" t="e">
        <f>'A4 Demands'!B50</f>
        <v>#NUM!</v>
      </c>
      <c r="C64" s="279" t="e">
        <f>'A4 Demands'!C50</f>
        <v>#NUM!</v>
      </c>
      <c r="D64" s="280" t="e">
        <f>'A4 Demands'!F50</f>
        <v>#NUM!</v>
      </c>
      <c r="E64" s="281" t="e">
        <f t="shared" si="0"/>
        <v>#NUM!</v>
      </c>
      <c r="F64" s="134" t="e">
        <f t="shared" si="1"/>
        <v>#NUM!</v>
      </c>
      <c r="G64" s="282" t="e">
        <f>VLOOKUP(A64,'A1 Contract'!$A$55:$I$64,7,FALSE)</f>
        <v>#NUM!</v>
      </c>
      <c r="H64" s="248" t="e">
        <f t="shared" si="2"/>
        <v>#NUM!</v>
      </c>
      <c r="I64" s="249" t="e">
        <f t="shared" si="3"/>
        <v>#NUM!</v>
      </c>
      <c r="J64" s="249" t="e">
        <f t="shared" si="4"/>
        <v>#NUM!</v>
      </c>
      <c r="K64" s="249" t="e">
        <f t="shared" si="5"/>
        <v>#NUM!</v>
      </c>
      <c r="L64" s="249" t="e">
        <f t="shared" si="6"/>
        <v>#NUM!</v>
      </c>
      <c r="M64" s="249" t="e">
        <f t="shared" si="7"/>
        <v>#NUM!</v>
      </c>
      <c r="N64" s="249" t="e">
        <f t="shared" si="8"/>
        <v>#NUM!</v>
      </c>
      <c r="O64" s="250" t="e">
        <f t="shared" si="9"/>
        <v>#NUM!</v>
      </c>
      <c r="P64" s="251" t="e">
        <f t="shared" si="10"/>
        <v>#NUM!</v>
      </c>
    </row>
    <row r="65" spans="1:16">
      <c r="A65" s="149" t="e">
        <f>'A4 Demands'!A51</f>
        <v>#NUM!</v>
      </c>
      <c r="B65" s="291" t="e">
        <f>'A4 Demands'!B51</f>
        <v>#NUM!</v>
      </c>
      <c r="C65" s="279" t="e">
        <f>'A4 Demands'!C51</f>
        <v>#NUM!</v>
      </c>
      <c r="D65" s="280" t="e">
        <f>'A4 Demands'!F51</f>
        <v>#NUM!</v>
      </c>
      <c r="E65" s="281" t="e">
        <f t="shared" si="0"/>
        <v>#NUM!</v>
      </c>
      <c r="F65" s="134" t="e">
        <f t="shared" si="1"/>
        <v>#NUM!</v>
      </c>
      <c r="G65" s="282" t="e">
        <f>VLOOKUP(A65,'A1 Contract'!$A$55:$I$64,7,FALSE)</f>
        <v>#NUM!</v>
      </c>
      <c r="H65" s="248" t="e">
        <f t="shared" si="2"/>
        <v>#NUM!</v>
      </c>
      <c r="I65" s="249" t="e">
        <f t="shared" si="3"/>
        <v>#NUM!</v>
      </c>
      <c r="J65" s="249" t="e">
        <f t="shared" si="4"/>
        <v>#NUM!</v>
      </c>
      <c r="K65" s="249" t="e">
        <f t="shared" si="5"/>
        <v>#NUM!</v>
      </c>
      <c r="L65" s="249" t="e">
        <f t="shared" si="6"/>
        <v>#NUM!</v>
      </c>
      <c r="M65" s="249" t="e">
        <f t="shared" si="7"/>
        <v>#NUM!</v>
      </c>
      <c r="N65" s="249" t="e">
        <f t="shared" si="8"/>
        <v>#NUM!</v>
      </c>
      <c r="O65" s="250" t="e">
        <f t="shared" si="9"/>
        <v>#NUM!</v>
      </c>
      <c r="P65" s="251" t="e">
        <f t="shared" si="10"/>
        <v>#NUM!</v>
      </c>
    </row>
    <row r="66" spans="1:16">
      <c r="A66" s="149" t="e">
        <f>'A4 Demands'!A52</f>
        <v>#NUM!</v>
      </c>
      <c r="B66" s="291" t="e">
        <f>'A4 Demands'!B52</f>
        <v>#NUM!</v>
      </c>
      <c r="C66" s="279" t="e">
        <f>'A4 Demands'!C52</f>
        <v>#NUM!</v>
      </c>
      <c r="D66" s="280" t="e">
        <f>'A4 Demands'!F52</f>
        <v>#NUM!</v>
      </c>
      <c r="E66" s="281" t="e">
        <f t="shared" si="0"/>
        <v>#NUM!</v>
      </c>
      <c r="F66" s="134" t="e">
        <f t="shared" si="1"/>
        <v>#NUM!</v>
      </c>
      <c r="G66" s="282" t="e">
        <f>VLOOKUP(A66,'A1 Contract'!$A$55:$I$64,7,FALSE)</f>
        <v>#NUM!</v>
      </c>
      <c r="H66" s="248" t="e">
        <f t="shared" si="2"/>
        <v>#NUM!</v>
      </c>
      <c r="I66" s="249" t="e">
        <f t="shared" si="3"/>
        <v>#NUM!</v>
      </c>
      <c r="J66" s="249" t="e">
        <f t="shared" si="4"/>
        <v>#NUM!</v>
      </c>
      <c r="K66" s="249" t="e">
        <f t="shared" si="5"/>
        <v>#NUM!</v>
      </c>
      <c r="L66" s="249" t="e">
        <f t="shared" si="6"/>
        <v>#NUM!</v>
      </c>
      <c r="M66" s="249" t="e">
        <f t="shared" si="7"/>
        <v>#NUM!</v>
      </c>
      <c r="N66" s="249" t="e">
        <f t="shared" si="8"/>
        <v>#NUM!</v>
      </c>
      <c r="O66" s="250" t="e">
        <f t="shared" si="9"/>
        <v>#NUM!</v>
      </c>
      <c r="P66" s="251" t="e">
        <f t="shared" si="10"/>
        <v>#NUM!</v>
      </c>
    </row>
    <row r="67" spans="1:16">
      <c r="A67" s="149" t="e">
        <f>'A4 Demands'!A53</f>
        <v>#NUM!</v>
      </c>
      <c r="B67" s="291" t="e">
        <f>'A4 Demands'!B53</f>
        <v>#NUM!</v>
      </c>
      <c r="C67" s="279" t="e">
        <f>'A4 Demands'!C53</f>
        <v>#NUM!</v>
      </c>
      <c r="D67" s="280" t="e">
        <f>'A4 Demands'!F53</f>
        <v>#NUM!</v>
      </c>
      <c r="E67" s="281" t="e">
        <f t="shared" si="0"/>
        <v>#NUM!</v>
      </c>
      <c r="F67" s="134" t="e">
        <f t="shared" si="1"/>
        <v>#NUM!</v>
      </c>
      <c r="G67" s="282" t="e">
        <f>VLOOKUP(A67,'A1 Contract'!$A$55:$I$64,7,FALSE)</f>
        <v>#NUM!</v>
      </c>
      <c r="H67" s="248" t="e">
        <f t="shared" si="2"/>
        <v>#NUM!</v>
      </c>
      <c r="I67" s="249" t="e">
        <f t="shared" si="3"/>
        <v>#NUM!</v>
      </c>
      <c r="J67" s="249" t="e">
        <f t="shared" si="4"/>
        <v>#NUM!</v>
      </c>
      <c r="K67" s="249" t="e">
        <f t="shared" si="5"/>
        <v>#NUM!</v>
      </c>
      <c r="L67" s="249" t="e">
        <f t="shared" si="6"/>
        <v>#NUM!</v>
      </c>
      <c r="M67" s="249" t="e">
        <f t="shared" si="7"/>
        <v>#NUM!</v>
      </c>
      <c r="N67" s="249" t="e">
        <f t="shared" si="8"/>
        <v>#NUM!</v>
      </c>
      <c r="O67" s="250" t="e">
        <f t="shared" si="9"/>
        <v>#NUM!</v>
      </c>
      <c r="P67" s="251" t="e">
        <f t="shared" si="10"/>
        <v>#NUM!</v>
      </c>
    </row>
    <row r="68" spans="1:16">
      <c r="A68" s="149" t="e">
        <f>'A4 Demands'!A54</f>
        <v>#NUM!</v>
      </c>
      <c r="B68" s="291" t="e">
        <f>'A4 Demands'!B54</f>
        <v>#NUM!</v>
      </c>
      <c r="C68" s="279" t="e">
        <f>'A4 Demands'!C54</f>
        <v>#NUM!</v>
      </c>
      <c r="D68" s="280" t="e">
        <f>'A4 Demands'!F54</f>
        <v>#NUM!</v>
      </c>
      <c r="E68" s="281" t="e">
        <f t="shared" si="0"/>
        <v>#NUM!</v>
      </c>
      <c r="F68" s="134" t="e">
        <f t="shared" si="1"/>
        <v>#NUM!</v>
      </c>
      <c r="G68" s="282" t="e">
        <f>VLOOKUP(A68,'A1 Contract'!$A$55:$I$64,7,FALSE)</f>
        <v>#NUM!</v>
      </c>
      <c r="H68" s="248" t="e">
        <f t="shared" si="2"/>
        <v>#NUM!</v>
      </c>
      <c r="I68" s="249" t="e">
        <f t="shared" si="3"/>
        <v>#NUM!</v>
      </c>
      <c r="J68" s="249" t="e">
        <f t="shared" si="4"/>
        <v>#NUM!</v>
      </c>
      <c r="K68" s="249" t="e">
        <f t="shared" si="5"/>
        <v>#NUM!</v>
      </c>
      <c r="L68" s="249" t="e">
        <f t="shared" si="6"/>
        <v>#NUM!</v>
      </c>
      <c r="M68" s="249" t="e">
        <f t="shared" si="7"/>
        <v>#NUM!</v>
      </c>
      <c r="N68" s="249" t="e">
        <f t="shared" si="8"/>
        <v>#NUM!</v>
      </c>
      <c r="O68" s="250" t="e">
        <f t="shared" si="9"/>
        <v>#NUM!</v>
      </c>
      <c r="P68" s="251" t="e">
        <f t="shared" si="10"/>
        <v>#NUM!</v>
      </c>
    </row>
    <row r="69" spans="1:16">
      <c r="A69" s="149" t="e">
        <f>'A4 Demands'!A55</f>
        <v>#NUM!</v>
      </c>
      <c r="B69" s="291" t="e">
        <f>'A4 Demands'!B55</f>
        <v>#NUM!</v>
      </c>
      <c r="C69" s="279" t="e">
        <f>'A4 Demands'!C55</f>
        <v>#NUM!</v>
      </c>
      <c r="D69" s="280" t="e">
        <f>'A4 Demands'!F55</f>
        <v>#NUM!</v>
      </c>
      <c r="E69" s="281" t="e">
        <f t="shared" si="0"/>
        <v>#NUM!</v>
      </c>
      <c r="F69" s="134" t="e">
        <f t="shared" si="1"/>
        <v>#NUM!</v>
      </c>
      <c r="G69" s="282" t="e">
        <f>VLOOKUP(A69,'A1 Contract'!$A$55:$I$64,7,FALSE)</f>
        <v>#NUM!</v>
      </c>
      <c r="H69" s="248" t="e">
        <f t="shared" si="2"/>
        <v>#NUM!</v>
      </c>
      <c r="I69" s="249" t="e">
        <f t="shared" si="3"/>
        <v>#NUM!</v>
      </c>
      <c r="J69" s="249" t="e">
        <f t="shared" si="4"/>
        <v>#NUM!</v>
      </c>
      <c r="K69" s="249" t="e">
        <f t="shared" si="5"/>
        <v>#NUM!</v>
      </c>
      <c r="L69" s="249" t="e">
        <f t="shared" si="6"/>
        <v>#NUM!</v>
      </c>
      <c r="M69" s="249" t="e">
        <f t="shared" si="7"/>
        <v>#NUM!</v>
      </c>
      <c r="N69" s="249" t="e">
        <f t="shared" si="8"/>
        <v>#NUM!</v>
      </c>
      <c r="O69" s="250" t="e">
        <f t="shared" si="9"/>
        <v>#NUM!</v>
      </c>
      <c r="P69" s="251" t="e">
        <f t="shared" si="10"/>
        <v>#NUM!</v>
      </c>
    </row>
    <row r="70" spans="1:16">
      <c r="A70" s="149" t="e">
        <f>'A4 Demands'!A56</f>
        <v>#NUM!</v>
      </c>
      <c r="B70" s="291" t="e">
        <f>'A4 Demands'!B56</f>
        <v>#NUM!</v>
      </c>
      <c r="C70" s="279" t="e">
        <f>'A4 Demands'!C56</f>
        <v>#NUM!</v>
      </c>
      <c r="D70" s="280" t="e">
        <f>'A4 Demands'!F56</f>
        <v>#NUM!</v>
      </c>
      <c r="E70" s="281" t="e">
        <f t="shared" si="0"/>
        <v>#NUM!</v>
      </c>
      <c r="F70" s="134" t="e">
        <f t="shared" si="1"/>
        <v>#NUM!</v>
      </c>
      <c r="G70" s="282" t="e">
        <f>VLOOKUP(A70,'A1 Contract'!$A$55:$I$64,7,FALSE)</f>
        <v>#NUM!</v>
      </c>
      <c r="H70" s="248" t="e">
        <f t="shared" si="2"/>
        <v>#NUM!</v>
      </c>
      <c r="I70" s="249" t="e">
        <f t="shared" si="3"/>
        <v>#NUM!</v>
      </c>
      <c r="J70" s="249" t="e">
        <f t="shared" si="4"/>
        <v>#NUM!</v>
      </c>
      <c r="K70" s="249" t="e">
        <f t="shared" si="5"/>
        <v>#NUM!</v>
      </c>
      <c r="L70" s="249" t="e">
        <f t="shared" si="6"/>
        <v>#NUM!</v>
      </c>
      <c r="M70" s="249" t="e">
        <f t="shared" si="7"/>
        <v>#NUM!</v>
      </c>
      <c r="N70" s="249" t="e">
        <f t="shared" si="8"/>
        <v>#NUM!</v>
      </c>
      <c r="O70" s="250" t="e">
        <f t="shared" si="9"/>
        <v>#NUM!</v>
      </c>
      <c r="P70" s="251" t="e">
        <f t="shared" si="10"/>
        <v>#NUM!</v>
      </c>
    </row>
    <row r="71" spans="1:16">
      <c r="A71" s="149" t="e">
        <f>'A4 Demands'!A57</f>
        <v>#NUM!</v>
      </c>
      <c r="B71" s="291" t="e">
        <f>'A4 Demands'!B57</f>
        <v>#NUM!</v>
      </c>
      <c r="C71" s="279" t="e">
        <f>'A4 Demands'!C57</f>
        <v>#NUM!</v>
      </c>
      <c r="D71" s="280" t="e">
        <f>'A4 Demands'!F57</f>
        <v>#NUM!</v>
      </c>
      <c r="E71" s="281" t="e">
        <f t="shared" si="0"/>
        <v>#NUM!</v>
      </c>
      <c r="F71" s="134" t="e">
        <f t="shared" si="1"/>
        <v>#NUM!</v>
      </c>
      <c r="G71" s="282" t="e">
        <f>VLOOKUP(A71,'A1 Contract'!$A$55:$I$64,7,FALSE)</f>
        <v>#NUM!</v>
      </c>
      <c r="H71" s="248" t="e">
        <f t="shared" si="2"/>
        <v>#NUM!</v>
      </c>
      <c r="I71" s="249" t="e">
        <f t="shared" si="3"/>
        <v>#NUM!</v>
      </c>
      <c r="J71" s="249" t="e">
        <f t="shared" si="4"/>
        <v>#NUM!</v>
      </c>
      <c r="K71" s="249" t="e">
        <f t="shared" si="5"/>
        <v>#NUM!</v>
      </c>
      <c r="L71" s="249" t="e">
        <f t="shared" si="6"/>
        <v>#NUM!</v>
      </c>
      <c r="M71" s="249" t="e">
        <f t="shared" si="7"/>
        <v>#NUM!</v>
      </c>
      <c r="N71" s="249" t="e">
        <f t="shared" si="8"/>
        <v>#NUM!</v>
      </c>
      <c r="O71" s="250" t="e">
        <f t="shared" si="9"/>
        <v>#NUM!</v>
      </c>
      <c r="P71" s="251" t="e">
        <f t="shared" si="10"/>
        <v>#NUM!</v>
      </c>
    </row>
    <row r="72" spans="1:16">
      <c r="A72" s="149" t="e">
        <f>'A4 Demands'!A58</f>
        <v>#NUM!</v>
      </c>
      <c r="B72" s="291" t="e">
        <f>'A4 Demands'!B58</f>
        <v>#NUM!</v>
      </c>
      <c r="C72" s="279" t="e">
        <f>'A4 Demands'!C58</f>
        <v>#NUM!</v>
      </c>
      <c r="D72" s="280" t="e">
        <f>'A4 Demands'!F58</f>
        <v>#NUM!</v>
      </c>
      <c r="E72" s="281" t="e">
        <f t="shared" si="0"/>
        <v>#NUM!</v>
      </c>
      <c r="F72" s="134" t="e">
        <f t="shared" si="1"/>
        <v>#NUM!</v>
      </c>
      <c r="G72" s="282" t="e">
        <f>VLOOKUP(A72,'A1 Contract'!$A$55:$I$64,7,FALSE)</f>
        <v>#NUM!</v>
      </c>
      <c r="H72" s="248" t="e">
        <f t="shared" si="2"/>
        <v>#NUM!</v>
      </c>
      <c r="I72" s="249" t="e">
        <f t="shared" si="3"/>
        <v>#NUM!</v>
      </c>
      <c r="J72" s="249" t="e">
        <f t="shared" si="4"/>
        <v>#NUM!</v>
      </c>
      <c r="K72" s="249" t="e">
        <f t="shared" si="5"/>
        <v>#NUM!</v>
      </c>
      <c r="L72" s="249" t="e">
        <f t="shared" si="6"/>
        <v>#NUM!</v>
      </c>
      <c r="M72" s="249" t="e">
        <f t="shared" si="7"/>
        <v>#NUM!</v>
      </c>
      <c r="N72" s="249" t="e">
        <f t="shared" si="8"/>
        <v>#NUM!</v>
      </c>
      <c r="O72" s="250" t="e">
        <f t="shared" si="9"/>
        <v>#NUM!</v>
      </c>
      <c r="P72" s="251" t="e">
        <f t="shared" si="10"/>
        <v>#NUM!</v>
      </c>
    </row>
    <row r="73" spans="1:16">
      <c r="A73" s="149" t="e">
        <f>'A4 Demands'!A59</f>
        <v>#NUM!</v>
      </c>
      <c r="B73" s="291" t="e">
        <f>'A4 Demands'!B59</f>
        <v>#NUM!</v>
      </c>
      <c r="C73" s="279" t="e">
        <f>'A4 Demands'!C59</f>
        <v>#NUM!</v>
      </c>
      <c r="D73" s="280" t="e">
        <f>'A4 Demands'!F59</f>
        <v>#NUM!</v>
      </c>
      <c r="E73" s="281" t="e">
        <f t="shared" si="0"/>
        <v>#NUM!</v>
      </c>
      <c r="F73" s="134" t="e">
        <f t="shared" si="1"/>
        <v>#NUM!</v>
      </c>
      <c r="G73" s="282" t="e">
        <f>VLOOKUP(A73,'A1 Contract'!$A$55:$I$64,7,FALSE)</f>
        <v>#NUM!</v>
      </c>
      <c r="H73" s="248" t="e">
        <f t="shared" si="2"/>
        <v>#NUM!</v>
      </c>
      <c r="I73" s="249" t="e">
        <f t="shared" si="3"/>
        <v>#NUM!</v>
      </c>
      <c r="J73" s="249" t="e">
        <f t="shared" si="4"/>
        <v>#NUM!</v>
      </c>
      <c r="K73" s="249" t="e">
        <f t="shared" si="5"/>
        <v>#NUM!</v>
      </c>
      <c r="L73" s="249" t="e">
        <f t="shared" si="6"/>
        <v>#NUM!</v>
      </c>
      <c r="M73" s="249" t="e">
        <f t="shared" si="7"/>
        <v>#NUM!</v>
      </c>
      <c r="N73" s="249" t="e">
        <f t="shared" si="8"/>
        <v>#NUM!</v>
      </c>
      <c r="O73" s="250" t="e">
        <f t="shared" si="9"/>
        <v>#NUM!</v>
      </c>
      <c r="P73" s="251" t="e">
        <f t="shared" si="10"/>
        <v>#NUM!</v>
      </c>
    </row>
    <row r="74" spans="1:16">
      <c r="A74" s="149" t="e">
        <f>'A4 Demands'!A60</f>
        <v>#NUM!</v>
      </c>
      <c r="B74" s="291" t="e">
        <f>'A4 Demands'!B60</f>
        <v>#NUM!</v>
      </c>
      <c r="C74" s="279" t="e">
        <f>'A4 Demands'!C60</f>
        <v>#NUM!</v>
      </c>
      <c r="D74" s="280" t="e">
        <f>'A4 Demands'!F60</f>
        <v>#NUM!</v>
      </c>
      <c r="E74" s="281" t="e">
        <f t="shared" si="0"/>
        <v>#NUM!</v>
      </c>
      <c r="F74" s="134" t="e">
        <f t="shared" si="1"/>
        <v>#NUM!</v>
      </c>
      <c r="G74" s="282" t="e">
        <f>VLOOKUP(A74,'A1 Contract'!$A$55:$I$64,7,FALSE)</f>
        <v>#NUM!</v>
      </c>
      <c r="H74" s="248" t="e">
        <f t="shared" si="2"/>
        <v>#NUM!</v>
      </c>
      <c r="I74" s="249" t="e">
        <f t="shared" si="3"/>
        <v>#NUM!</v>
      </c>
      <c r="J74" s="249" t="e">
        <f t="shared" si="4"/>
        <v>#NUM!</v>
      </c>
      <c r="K74" s="249" t="e">
        <f t="shared" si="5"/>
        <v>#NUM!</v>
      </c>
      <c r="L74" s="249" t="e">
        <f t="shared" si="6"/>
        <v>#NUM!</v>
      </c>
      <c r="M74" s="249" t="e">
        <f t="shared" si="7"/>
        <v>#NUM!</v>
      </c>
      <c r="N74" s="249" t="e">
        <f t="shared" si="8"/>
        <v>#NUM!</v>
      </c>
      <c r="O74" s="250" t="e">
        <f t="shared" si="9"/>
        <v>#NUM!</v>
      </c>
      <c r="P74" s="251" t="e">
        <f t="shared" si="10"/>
        <v>#NUM!</v>
      </c>
    </row>
    <row r="75" spans="1:16">
      <c r="A75" s="149" t="e">
        <f>'A4 Demands'!A61</f>
        <v>#NUM!</v>
      </c>
      <c r="B75" s="291" t="e">
        <f>'A4 Demands'!B61</f>
        <v>#NUM!</v>
      </c>
      <c r="C75" s="279" t="e">
        <f>'A4 Demands'!C61</f>
        <v>#NUM!</v>
      </c>
      <c r="D75" s="280" t="e">
        <f>'A4 Demands'!F61</f>
        <v>#NUM!</v>
      </c>
      <c r="E75" s="281" t="e">
        <f t="shared" si="0"/>
        <v>#NUM!</v>
      </c>
      <c r="F75" s="134" t="e">
        <f t="shared" si="1"/>
        <v>#NUM!</v>
      </c>
      <c r="G75" s="282" t="e">
        <f>VLOOKUP(A75,'A1 Contract'!$A$55:$I$64,7,FALSE)</f>
        <v>#NUM!</v>
      </c>
      <c r="H75" s="248" t="e">
        <f t="shared" si="2"/>
        <v>#NUM!</v>
      </c>
      <c r="I75" s="249" t="e">
        <f t="shared" si="3"/>
        <v>#NUM!</v>
      </c>
      <c r="J75" s="249" t="e">
        <f t="shared" si="4"/>
        <v>#NUM!</v>
      </c>
      <c r="K75" s="249" t="e">
        <f t="shared" si="5"/>
        <v>#NUM!</v>
      </c>
      <c r="L75" s="249" t="e">
        <f t="shared" si="6"/>
        <v>#NUM!</v>
      </c>
      <c r="M75" s="249" t="e">
        <f t="shared" si="7"/>
        <v>#NUM!</v>
      </c>
      <c r="N75" s="249" t="e">
        <f t="shared" si="8"/>
        <v>#NUM!</v>
      </c>
      <c r="O75" s="250" t="e">
        <f t="shared" si="9"/>
        <v>#NUM!</v>
      </c>
      <c r="P75" s="251" t="e">
        <f t="shared" si="10"/>
        <v>#NUM!</v>
      </c>
    </row>
    <row r="76" spans="1:16">
      <c r="A76" s="149" t="e">
        <f>'A4 Demands'!A62</f>
        <v>#NUM!</v>
      </c>
      <c r="B76" s="291" t="e">
        <f>'A4 Demands'!B62</f>
        <v>#NUM!</v>
      </c>
      <c r="C76" s="279" t="e">
        <f>'A4 Demands'!C62</f>
        <v>#NUM!</v>
      </c>
      <c r="D76" s="280" t="e">
        <f>'A4 Demands'!F62</f>
        <v>#NUM!</v>
      </c>
      <c r="E76" s="281" t="e">
        <f t="shared" si="0"/>
        <v>#NUM!</v>
      </c>
      <c r="F76" s="134" t="e">
        <f t="shared" si="1"/>
        <v>#NUM!</v>
      </c>
      <c r="G76" s="282" t="e">
        <f>VLOOKUP(A76,'A1 Contract'!$A$55:$I$64,7,FALSE)</f>
        <v>#NUM!</v>
      </c>
      <c r="H76" s="248" t="e">
        <f t="shared" si="2"/>
        <v>#NUM!</v>
      </c>
      <c r="I76" s="249" t="e">
        <f t="shared" si="3"/>
        <v>#NUM!</v>
      </c>
      <c r="J76" s="249" t="e">
        <f t="shared" si="4"/>
        <v>#NUM!</v>
      </c>
      <c r="K76" s="249" t="e">
        <f t="shared" si="5"/>
        <v>#NUM!</v>
      </c>
      <c r="L76" s="249" t="e">
        <f t="shared" si="6"/>
        <v>#NUM!</v>
      </c>
      <c r="M76" s="249" t="e">
        <f t="shared" si="7"/>
        <v>#NUM!</v>
      </c>
      <c r="N76" s="249" t="e">
        <f t="shared" si="8"/>
        <v>#NUM!</v>
      </c>
      <c r="O76" s="250" t="e">
        <f t="shared" si="9"/>
        <v>#NUM!</v>
      </c>
      <c r="P76" s="251" t="e">
        <f t="shared" si="10"/>
        <v>#NUM!</v>
      </c>
    </row>
    <row r="77" spans="1:16">
      <c r="A77" s="149" t="e">
        <f>'A4 Demands'!A63</f>
        <v>#NUM!</v>
      </c>
      <c r="B77" s="291" t="e">
        <f>'A4 Demands'!B63</f>
        <v>#NUM!</v>
      </c>
      <c r="C77" s="279" t="e">
        <f>'A4 Demands'!C63</f>
        <v>#NUM!</v>
      </c>
      <c r="D77" s="280" t="e">
        <f>'A4 Demands'!F63</f>
        <v>#NUM!</v>
      </c>
      <c r="E77" s="281" t="e">
        <f t="shared" si="0"/>
        <v>#NUM!</v>
      </c>
      <c r="F77" s="134" t="e">
        <f t="shared" si="1"/>
        <v>#NUM!</v>
      </c>
      <c r="G77" s="282" t="e">
        <f>VLOOKUP(A77,'A1 Contract'!$A$55:$I$64,7,FALSE)</f>
        <v>#NUM!</v>
      </c>
      <c r="H77" s="248" t="e">
        <f t="shared" si="2"/>
        <v>#NUM!</v>
      </c>
      <c r="I77" s="249" t="e">
        <f t="shared" si="3"/>
        <v>#NUM!</v>
      </c>
      <c r="J77" s="249" t="e">
        <f t="shared" si="4"/>
        <v>#NUM!</v>
      </c>
      <c r="K77" s="249" t="e">
        <f t="shared" si="5"/>
        <v>#NUM!</v>
      </c>
      <c r="L77" s="249" t="e">
        <f t="shared" si="6"/>
        <v>#NUM!</v>
      </c>
      <c r="M77" s="249" t="e">
        <f t="shared" si="7"/>
        <v>#NUM!</v>
      </c>
      <c r="N77" s="249" t="e">
        <f t="shared" si="8"/>
        <v>#NUM!</v>
      </c>
      <c r="O77" s="250" t="e">
        <f t="shared" si="9"/>
        <v>#NUM!</v>
      </c>
      <c r="P77" s="251" t="e">
        <f t="shared" si="10"/>
        <v>#NUM!</v>
      </c>
    </row>
    <row r="78" spans="1:16">
      <c r="A78" s="149" t="e">
        <f>'A4 Demands'!A64</f>
        <v>#NUM!</v>
      </c>
      <c r="B78" s="291" t="e">
        <f>'A4 Demands'!B64</f>
        <v>#NUM!</v>
      </c>
      <c r="C78" s="279" t="e">
        <f>'A4 Demands'!C64</f>
        <v>#NUM!</v>
      </c>
      <c r="D78" s="280" t="e">
        <f>'A4 Demands'!F64</f>
        <v>#NUM!</v>
      </c>
      <c r="E78" s="281" t="e">
        <f t="shared" si="0"/>
        <v>#NUM!</v>
      </c>
      <c r="F78" s="134" t="e">
        <f t="shared" si="1"/>
        <v>#NUM!</v>
      </c>
      <c r="G78" s="282" t="e">
        <f>VLOOKUP(A78,'A1 Contract'!$A$55:$I$64,7,FALSE)</f>
        <v>#NUM!</v>
      </c>
      <c r="H78" s="248" t="e">
        <f t="shared" si="2"/>
        <v>#NUM!</v>
      </c>
      <c r="I78" s="249" t="e">
        <f t="shared" si="3"/>
        <v>#NUM!</v>
      </c>
      <c r="J78" s="249" t="e">
        <f t="shared" si="4"/>
        <v>#NUM!</v>
      </c>
      <c r="K78" s="249" t="e">
        <f t="shared" si="5"/>
        <v>#NUM!</v>
      </c>
      <c r="L78" s="249" t="e">
        <f t="shared" si="6"/>
        <v>#NUM!</v>
      </c>
      <c r="M78" s="249" t="e">
        <f t="shared" si="7"/>
        <v>#NUM!</v>
      </c>
      <c r="N78" s="249" t="e">
        <f t="shared" si="8"/>
        <v>#NUM!</v>
      </c>
      <c r="O78" s="250" t="e">
        <f t="shared" si="9"/>
        <v>#NUM!</v>
      </c>
      <c r="P78" s="251" t="e">
        <f t="shared" si="10"/>
        <v>#NUM!</v>
      </c>
    </row>
    <row r="79" spans="1:16">
      <c r="A79" s="149" t="e">
        <f>'A4 Demands'!A65</f>
        <v>#NUM!</v>
      </c>
      <c r="B79" s="291" t="e">
        <f>'A4 Demands'!B65</f>
        <v>#NUM!</v>
      </c>
      <c r="C79" s="279" t="e">
        <f>'A4 Demands'!C65</f>
        <v>#NUM!</v>
      </c>
      <c r="D79" s="280" t="e">
        <f>'A4 Demands'!F65</f>
        <v>#NUM!</v>
      </c>
      <c r="E79" s="281" t="e">
        <f t="shared" si="0"/>
        <v>#NUM!</v>
      </c>
      <c r="F79" s="134" t="e">
        <f t="shared" si="1"/>
        <v>#NUM!</v>
      </c>
      <c r="G79" s="282" t="e">
        <f>VLOOKUP(A79,'A1 Contract'!$A$55:$I$64,7,FALSE)</f>
        <v>#NUM!</v>
      </c>
      <c r="H79" s="248" t="e">
        <f t="shared" si="2"/>
        <v>#NUM!</v>
      </c>
      <c r="I79" s="249" t="e">
        <f t="shared" si="3"/>
        <v>#NUM!</v>
      </c>
      <c r="J79" s="249" t="e">
        <f t="shared" si="4"/>
        <v>#NUM!</v>
      </c>
      <c r="K79" s="249" t="e">
        <f t="shared" si="5"/>
        <v>#NUM!</v>
      </c>
      <c r="L79" s="249" t="e">
        <f t="shared" si="6"/>
        <v>#NUM!</v>
      </c>
      <c r="M79" s="249" t="e">
        <f t="shared" si="7"/>
        <v>#NUM!</v>
      </c>
      <c r="N79" s="249" t="e">
        <f t="shared" si="8"/>
        <v>#NUM!</v>
      </c>
      <c r="O79" s="250" t="e">
        <f t="shared" si="9"/>
        <v>#NUM!</v>
      </c>
      <c r="P79" s="251" t="e">
        <f t="shared" si="10"/>
        <v>#NUM!</v>
      </c>
    </row>
    <row r="80" spans="1:16">
      <c r="A80" s="149" t="e">
        <f>'A4 Demands'!A66</f>
        <v>#NUM!</v>
      </c>
      <c r="B80" s="291" t="e">
        <f>'A4 Demands'!B66</f>
        <v>#NUM!</v>
      </c>
      <c r="C80" s="279" t="e">
        <f>'A4 Demands'!C66</f>
        <v>#NUM!</v>
      </c>
      <c r="D80" s="280" t="e">
        <f>'A4 Demands'!F66</f>
        <v>#NUM!</v>
      </c>
      <c r="E80" s="281" t="e">
        <f t="shared" si="0"/>
        <v>#NUM!</v>
      </c>
      <c r="F80" s="134" t="e">
        <f t="shared" si="1"/>
        <v>#NUM!</v>
      </c>
      <c r="G80" s="282" t="e">
        <f>VLOOKUP(A80,'A1 Contract'!$A$55:$I$64,7,FALSE)</f>
        <v>#NUM!</v>
      </c>
      <c r="H80" s="248" t="e">
        <f t="shared" si="2"/>
        <v>#NUM!</v>
      </c>
      <c r="I80" s="249" t="e">
        <f t="shared" si="3"/>
        <v>#NUM!</v>
      </c>
      <c r="J80" s="249" t="e">
        <f t="shared" si="4"/>
        <v>#NUM!</v>
      </c>
      <c r="K80" s="249" t="e">
        <f t="shared" si="5"/>
        <v>#NUM!</v>
      </c>
      <c r="L80" s="249" t="e">
        <f t="shared" si="6"/>
        <v>#NUM!</v>
      </c>
      <c r="M80" s="249" t="e">
        <f t="shared" si="7"/>
        <v>#NUM!</v>
      </c>
      <c r="N80" s="249" t="e">
        <f t="shared" si="8"/>
        <v>#NUM!</v>
      </c>
      <c r="O80" s="250" t="e">
        <f t="shared" si="9"/>
        <v>#NUM!</v>
      </c>
      <c r="P80" s="251" t="e">
        <f t="shared" si="10"/>
        <v>#NUM!</v>
      </c>
    </row>
    <row r="81" spans="1:16">
      <c r="A81" s="149" t="e">
        <f>'A4 Demands'!A67</f>
        <v>#NUM!</v>
      </c>
      <c r="B81" s="291" t="e">
        <f>'A4 Demands'!B67</f>
        <v>#NUM!</v>
      </c>
      <c r="C81" s="279" t="e">
        <f>'A4 Demands'!C67</f>
        <v>#NUM!</v>
      </c>
      <c r="D81" s="280" t="e">
        <f>'A4 Demands'!F67</f>
        <v>#NUM!</v>
      </c>
      <c r="E81" s="281" t="e">
        <f t="shared" si="0"/>
        <v>#NUM!</v>
      </c>
      <c r="F81" s="134" t="e">
        <f t="shared" si="1"/>
        <v>#NUM!</v>
      </c>
      <c r="G81" s="282" t="e">
        <f>VLOOKUP(A81,'A1 Contract'!$A$55:$I$64,7,FALSE)</f>
        <v>#NUM!</v>
      </c>
      <c r="H81" s="248" t="e">
        <f t="shared" si="2"/>
        <v>#NUM!</v>
      </c>
      <c r="I81" s="249" t="e">
        <f t="shared" si="3"/>
        <v>#NUM!</v>
      </c>
      <c r="J81" s="249" t="e">
        <f t="shared" si="4"/>
        <v>#NUM!</v>
      </c>
      <c r="K81" s="249" t="e">
        <f t="shared" si="5"/>
        <v>#NUM!</v>
      </c>
      <c r="L81" s="249" t="e">
        <f t="shared" si="6"/>
        <v>#NUM!</v>
      </c>
      <c r="M81" s="249" t="e">
        <f t="shared" si="7"/>
        <v>#NUM!</v>
      </c>
      <c r="N81" s="249" t="e">
        <f t="shared" si="8"/>
        <v>#NUM!</v>
      </c>
      <c r="O81" s="250" t="e">
        <f t="shared" si="9"/>
        <v>#NUM!</v>
      </c>
      <c r="P81" s="251" t="e">
        <f t="shared" si="10"/>
        <v>#NUM!</v>
      </c>
    </row>
    <row r="82" spans="1:16">
      <c r="A82" s="149" t="e">
        <f>'A4 Demands'!A68</f>
        <v>#NUM!</v>
      </c>
      <c r="B82" s="291" t="e">
        <f>'A4 Demands'!B68</f>
        <v>#NUM!</v>
      </c>
      <c r="C82" s="279" t="e">
        <f>'A4 Demands'!C68</f>
        <v>#NUM!</v>
      </c>
      <c r="D82" s="280" t="e">
        <f>'A4 Demands'!F68</f>
        <v>#NUM!</v>
      </c>
      <c r="E82" s="281" t="e">
        <f t="shared" si="0"/>
        <v>#NUM!</v>
      </c>
      <c r="F82" s="134" t="e">
        <f t="shared" si="1"/>
        <v>#NUM!</v>
      </c>
      <c r="G82" s="282" t="e">
        <f>VLOOKUP(A82,'A1 Contract'!$A$55:$I$64,7,FALSE)</f>
        <v>#NUM!</v>
      </c>
      <c r="H82" s="248" t="e">
        <f t="shared" si="2"/>
        <v>#NUM!</v>
      </c>
      <c r="I82" s="249" t="e">
        <f t="shared" si="3"/>
        <v>#NUM!</v>
      </c>
      <c r="J82" s="249" t="e">
        <f t="shared" si="4"/>
        <v>#NUM!</v>
      </c>
      <c r="K82" s="249" t="e">
        <f t="shared" si="5"/>
        <v>#NUM!</v>
      </c>
      <c r="L82" s="249" t="e">
        <f t="shared" si="6"/>
        <v>#NUM!</v>
      </c>
      <c r="M82" s="249" t="e">
        <f t="shared" si="7"/>
        <v>#NUM!</v>
      </c>
      <c r="N82" s="249" t="e">
        <f t="shared" si="8"/>
        <v>#NUM!</v>
      </c>
      <c r="O82" s="250" t="e">
        <f t="shared" si="9"/>
        <v>#NUM!</v>
      </c>
      <c r="P82" s="251" t="e">
        <f t="shared" si="10"/>
        <v>#NUM!</v>
      </c>
    </row>
    <row r="83" spans="1:16">
      <c r="A83" s="149" t="e">
        <f>'A4 Demands'!A69</f>
        <v>#NUM!</v>
      </c>
      <c r="B83" s="291" t="e">
        <f>'A4 Demands'!B69</f>
        <v>#NUM!</v>
      </c>
      <c r="C83" s="279" t="e">
        <f>'A4 Demands'!C69</f>
        <v>#NUM!</v>
      </c>
      <c r="D83" s="280" t="e">
        <f>'A4 Demands'!F69</f>
        <v>#NUM!</v>
      </c>
      <c r="E83" s="281" t="e">
        <f t="shared" si="0"/>
        <v>#NUM!</v>
      </c>
      <c r="F83" s="134" t="e">
        <f t="shared" si="1"/>
        <v>#NUM!</v>
      </c>
      <c r="G83" s="282" t="e">
        <f>VLOOKUP(A83,'A1 Contract'!$A$55:$I$64,7,FALSE)</f>
        <v>#NUM!</v>
      </c>
      <c r="H83" s="248" t="e">
        <f t="shared" si="2"/>
        <v>#NUM!</v>
      </c>
      <c r="I83" s="249" t="e">
        <f t="shared" si="3"/>
        <v>#NUM!</v>
      </c>
      <c r="J83" s="249" t="e">
        <f t="shared" si="4"/>
        <v>#NUM!</v>
      </c>
      <c r="K83" s="249" t="e">
        <f t="shared" si="5"/>
        <v>#NUM!</v>
      </c>
      <c r="L83" s="249" t="e">
        <f t="shared" si="6"/>
        <v>#NUM!</v>
      </c>
      <c r="M83" s="249" t="e">
        <f t="shared" si="7"/>
        <v>#NUM!</v>
      </c>
      <c r="N83" s="249" t="e">
        <f t="shared" si="8"/>
        <v>#NUM!</v>
      </c>
      <c r="O83" s="250" t="e">
        <f t="shared" si="9"/>
        <v>#NUM!</v>
      </c>
      <c r="P83" s="251" t="e">
        <f t="shared" si="10"/>
        <v>#NUM!</v>
      </c>
    </row>
    <row r="84" spans="1:16">
      <c r="A84" s="149" t="e">
        <f>'A4 Demands'!A70</f>
        <v>#NUM!</v>
      </c>
      <c r="B84" s="291" t="e">
        <f>'A4 Demands'!B70</f>
        <v>#NUM!</v>
      </c>
      <c r="C84" s="279" t="e">
        <f>'A4 Demands'!C70</f>
        <v>#NUM!</v>
      </c>
      <c r="D84" s="280" t="e">
        <f>'A4 Demands'!F70</f>
        <v>#NUM!</v>
      </c>
      <c r="E84" s="281" t="e">
        <f t="shared" si="0"/>
        <v>#NUM!</v>
      </c>
      <c r="F84" s="134" t="e">
        <f t="shared" si="1"/>
        <v>#NUM!</v>
      </c>
      <c r="G84" s="282" t="e">
        <f>VLOOKUP(A84,'A1 Contract'!$A$55:$I$64,7,FALSE)</f>
        <v>#NUM!</v>
      </c>
      <c r="H84" s="248" t="e">
        <f t="shared" si="2"/>
        <v>#NUM!</v>
      </c>
      <c r="I84" s="249" t="e">
        <f t="shared" si="3"/>
        <v>#NUM!</v>
      </c>
      <c r="J84" s="249" t="e">
        <f t="shared" si="4"/>
        <v>#NUM!</v>
      </c>
      <c r="K84" s="249" t="e">
        <f t="shared" si="5"/>
        <v>#NUM!</v>
      </c>
      <c r="L84" s="249" t="e">
        <f t="shared" si="6"/>
        <v>#NUM!</v>
      </c>
      <c r="M84" s="249" t="e">
        <f t="shared" si="7"/>
        <v>#NUM!</v>
      </c>
      <c r="N84" s="249" t="e">
        <f t="shared" si="8"/>
        <v>#NUM!</v>
      </c>
      <c r="O84" s="250" t="e">
        <f t="shared" si="9"/>
        <v>#NUM!</v>
      </c>
      <c r="P84" s="251" t="e">
        <f t="shared" si="10"/>
        <v>#NUM!</v>
      </c>
    </row>
    <row r="85" spans="1:16">
      <c r="A85" s="149" t="e">
        <f>'A4 Demands'!A71</f>
        <v>#NUM!</v>
      </c>
      <c r="B85" s="291" t="e">
        <f>'A4 Demands'!B71</f>
        <v>#NUM!</v>
      </c>
      <c r="C85" s="279" t="e">
        <f>'A4 Demands'!C71</f>
        <v>#NUM!</v>
      </c>
      <c r="D85" s="280" t="e">
        <f>'A4 Demands'!F71</f>
        <v>#NUM!</v>
      </c>
      <c r="E85" s="281" t="e">
        <f t="shared" si="0"/>
        <v>#NUM!</v>
      </c>
      <c r="F85" s="134" t="e">
        <f t="shared" si="1"/>
        <v>#NUM!</v>
      </c>
      <c r="G85" s="282" t="e">
        <f>VLOOKUP(A85,'A1 Contract'!$A$55:$I$64,7,FALSE)</f>
        <v>#NUM!</v>
      </c>
      <c r="H85" s="248" t="e">
        <f t="shared" si="2"/>
        <v>#NUM!</v>
      </c>
      <c r="I85" s="249" t="e">
        <f t="shared" si="3"/>
        <v>#NUM!</v>
      </c>
      <c r="J85" s="249" t="e">
        <f t="shared" si="4"/>
        <v>#NUM!</v>
      </c>
      <c r="K85" s="249" t="e">
        <f t="shared" si="5"/>
        <v>#NUM!</v>
      </c>
      <c r="L85" s="249" t="e">
        <f t="shared" si="6"/>
        <v>#NUM!</v>
      </c>
      <c r="M85" s="249" t="e">
        <f t="shared" si="7"/>
        <v>#NUM!</v>
      </c>
      <c r="N85" s="249" t="e">
        <f t="shared" si="8"/>
        <v>#NUM!</v>
      </c>
      <c r="O85" s="250" t="e">
        <f t="shared" si="9"/>
        <v>#NUM!</v>
      </c>
      <c r="P85" s="251" t="e">
        <f t="shared" si="10"/>
        <v>#NUM!</v>
      </c>
    </row>
    <row r="86" spans="1:16">
      <c r="A86" s="149" t="e">
        <f>'A4 Demands'!A72</f>
        <v>#NUM!</v>
      </c>
      <c r="B86" s="291" t="e">
        <f>'A4 Demands'!B72</f>
        <v>#NUM!</v>
      </c>
      <c r="C86" s="279" t="e">
        <f>'A4 Demands'!C72</f>
        <v>#NUM!</v>
      </c>
      <c r="D86" s="280" t="e">
        <f>'A4 Demands'!F72</f>
        <v>#NUM!</v>
      </c>
      <c r="E86" s="281" t="e">
        <f t="shared" si="0"/>
        <v>#NUM!</v>
      </c>
      <c r="F86" s="134" t="e">
        <f t="shared" si="1"/>
        <v>#NUM!</v>
      </c>
      <c r="G86" s="282" t="e">
        <f>VLOOKUP(A86,'A1 Contract'!$A$55:$I$64,7,FALSE)</f>
        <v>#NUM!</v>
      </c>
      <c r="H86" s="248" t="e">
        <f t="shared" si="2"/>
        <v>#NUM!</v>
      </c>
      <c r="I86" s="249" t="e">
        <f t="shared" si="3"/>
        <v>#NUM!</v>
      </c>
      <c r="J86" s="249" t="e">
        <f t="shared" si="4"/>
        <v>#NUM!</v>
      </c>
      <c r="K86" s="249" t="e">
        <f t="shared" si="5"/>
        <v>#NUM!</v>
      </c>
      <c r="L86" s="249" t="e">
        <f t="shared" si="6"/>
        <v>#NUM!</v>
      </c>
      <c r="M86" s="249" t="e">
        <f t="shared" si="7"/>
        <v>#NUM!</v>
      </c>
      <c r="N86" s="249" t="e">
        <f t="shared" si="8"/>
        <v>#NUM!</v>
      </c>
      <c r="O86" s="250" t="e">
        <f t="shared" si="9"/>
        <v>#NUM!</v>
      </c>
      <c r="P86" s="251" t="e">
        <f t="shared" si="10"/>
        <v>#NUM!</v>
      </c>
    </row>
    <row r="87" spans="1:16">
      <c r="A87" s="149" t="e">
        <f>'A4 Demands'!A73</f>
        <v>#NUM!</v>
      </c>
      <c r="B87" s="291" t="e">
        <f>'A4 Demands'!B73</f>
        <v>#NUM!</v>
      </c>
      <c r="C87" s="279" t="e">
        <f>'A4 Demands'!C73</f>
        <v>#NUM!</v>
      </c>
      <c r="D87" s="280" t="e">
        <f>'A4 Demands'!F73</f>
        <v>#NUM!</v>
      </c>
      <c r="E87" s="281" t="e">
        <f t="shared" si="0"/>
        <v>#NUM!</v>
      </c>
      <c r="F87" s="134" t="e">
        <f t="shared" si="1"/>
        <v>#NUM!</v>
      </c>
      <c r="G87" s="282" t="e">
        <f>VLOOKUP(A87,'A1 Contract'!$A$55:$I$64,7,FALSE)</f>
        <v>#NUM!</v>
      </c>
      <c r="H87" s="248" t="e">
        <f t="shared" si="2"/>
        <v>#NUM!</v>
      </c>
      <c r="I87" s="249" t="e">
        <f t="shared" si="3"/>
        <v>#NUM!</v>
      </c>
      <c r="J87" s="249" t="e">
        <f t="shared" si="4"/>
        <v>#NUM!</v>
      </c>
      <c r="K87" s="249" t="e">
        <f t="shared" si="5"/>
        <v>#NUM!</v>
      </c>
      <c r="L87" s="249" t="e">
        <f t="shared" si="6"/>
        <v>#NUM!</v>
      </c>
      <c r="M87" s="249" t="e">
        <f t="shared" si="7"/>
        <v>#NUM!</v>
      </c>
      <c r="N87" s="249" t="e">
        <f t="shared" si="8"/>
        <v>#NUM!</v>
      </c>
      <c r="O87" s="250" t="e">
        <f t="shared" si="9"/>
        <v>#NUM!</v>
      </c>
      <c r="P87" s="251" t="e">
        <f t="shared" si="10"/>
        <v>#NUM!</v>
      </c>
    </row>
    <row r="88" spans="1:16">
      <c r="A88" s="149" t="e">
        <f>'A4 Demands'!A74</f>
        <v>#NUM!</v>
      </c>
      <c r="B88" s="291" t="e">
        <f>'A4 Demands'!B74</f>
        <v>#NUM!</v>
      </c>
      <c r="C88" s="279" t="e">
        <f>'A4 Demands'!C74</f>
        <v>#NUM!</v>
      </c>
      <c r="D88" s="280" t="e">
        <f>'A4 Demands'!F74</f>
        <v>#NUM!</v>
      </c>
      <c r="E88" s="281" t="e">
        <f t="shared" si="0"/>
        <v>#NUM!</v>
      </c>
      <c r="F88" s="134" t="e">
        <f t="shared" si="1"/>
        <v>#NUM!</v>
      </c>
      <c r="G88" s="282" t="e">
        <f>VLOOKUP(A88,'A1 Contract'!$A$55:$I$64,7,FALSE)</f>
        <v>#NUM!</v>
      </c>
      <c r="H88" s="248" t="e">
        <f t="shared" si="2"/>
        <v>#NUM!</v>
      </c>
      <c r="I88" s="249" t="e">
        <f t="shared" si="3"/>
        <v>#NUM!</v>
      </c>
      <c r="J88" s="249" t="e">
        <f t="shared" si="4"/>
        <v>#NUM!</v>
      </c>
      <c r="K88" s="249" t="e">
        <f t="shared" si="5"/>
        <v>#NUM!</v>
      </c>
      <c r="L88" s="249" t="e">
        <f t="shared" si="6"/>
        <v>#NUM!</v>
      </c>
      <c r="M88" s="249" t="e">
        <f t="shared" si="7"/>
        <v>#NUM!</v>
      </c>
      <c r="N88" s="249" t="e">
        <f t="shared" si="8"/>
        <v>#NUM!</v>
      </c>
      <c r="O88" s="250" t="e">
        <f t="shared" si="9"/>
        <v>#NUM!</v>
      </c>
      <c r="P88" s="251" t="e">
        <f t="shared" si="10"/>
        <v>#NUM!</v>
      </c>
    </row>
    <row r="89" spans="1:16">
      <c r="A89" s="149" t="e">
        <f>'A4 Demands'!A75</f>
        <v>#NUM!</v>
      </c>
      <c r="B89" s="291" t="e">
        <f>'A4 Demands'!B75</f>
        <v>#NUM!</v>
      </c>
      <c r="C89" s="279" t="e">
        <f>'A4 Demands'!C75</f>
        <v>#NUM!</v>
      </c>
      <c r="D89" s="280" t="e">
        <f>'A4 Demands'!F75</f>
        <v>#NUM!</v>
      </c>
      <c r="E89" s="281" t="e">
        <f t="shared" si="0"/>
        <v>#NUM!</v>
      </c>
      <c r="F89" s="134" t="e">
        <f t="shared" si="1"/>
        <v>#NUM!</v>
      </c>
      <c r="G89" s="282" t="e">
        <f>VLOOKUP(A89,'A1 Contract'!$A$55:$I$64,7,FALSE)</f>
        <v>#NUM!</v>
      </c>
      <c r="H89" s="248" t="e">
        <f t="shared" si="2"/>
        <v>#NUM!</v>
      </c>
      <c r="I89" s="249" t="e">
        <f t="shared" si="3"/>
        <v>#NUM!</v>
      </c>
      <c r="J89" s="249" t="e">
        <f t="shared" si="4"/>
        <v>#NUM!</v>
      </c>
      <c r="K89" s="249" t="e">
        <f t="shared" si="5"/>
        <v>#NUM!</v>
      </c>
      <c r="L89" s="249" t="e">
        <f t="shared" si="6"/>
        <v>#NUM!</v>
      </c>
      <c r="M89" s="249" t="e">
        <f t="shared" si="7"/>
        <v>#NUM!</v>
      </c>
      <c r="N89" s="249" t="e">
        <f t="shared" si="8"/>
        <v>#NUM!</v>
      </c>
      <c r="O89" s="250" t="e">
        <f t="shared" si="9"/>
        <v>#NUM!</v>
      </c>
      <c r="P89" s="251" t="e">
        <f t="shared" si="10"/>
        <v>#NUM!</v>
      </c>
    </row>
    <row r="90" spans="1:16">
      <c r="A90" s="149" t="e">
        <f>'A4 Demands'!A76</f>
        <v>#NUM!</v>
      </c>
      <c r="B90" s="291" t="e">
        <f>'A4 Demands'!B76</f>
        <v>#NUM!</v>
      </c>
      <c r="C90" s="279" t="e">
        <f>'A4 Demands'!C76</f>
        <v>#NUM!</v>
      </c>
      <c r="D90" s="280" t="e">
        <f>'A4 Demands'!F76</f>
        <v>#NUM!</v>
      </c>
      <c r="E90" s="281" t="e">
        <f t="shared" si="0"/>
        <v>#NUM!</v>
      </c>
      <c r="F90" s="134" t="e">
        <f t="shared" si="1"/>
        <v>#NUM!</v>
      </c>
      <c r="G90" s="282" t="e">
        <f>VLOOKUP(A90,'A1 Contract'!$A$55:$I$64,7,FALSE)</f>
        <v>#NUM!</v>
      </c>
      <c r="H90" s="248" t="e">
        <f t="shared" si="2"/>
        <v>#NUM!</v>
      </c>
      <c r="I90" s="249" t="e">
        <f t="shared" si="3"/>
        <v>#NUM!</v>
      </c>
      <c r="J90" s="249" t="e">
        <f t="shared" si="4"/>
        <v>#NUM!</v>
      </c>
      <c r="K90" s="249" t="e">
        <f t="shared" si="5"/>
        <v>#NUM!</v>
      </c>
      <c r="L90" s="249" t="e">
        <f t="shared" si="6"/>
        <v>#NUM!</v>
      </c>
      <c r="M90" s="249" t="e">
        <f t="shared" si="7"/>
        <v>#NUM!</v>
      </c>
      <c r="N90" s="249" t="e">
        <f t="shared" si="8"/>
        <v>#NUM!</v>
      </c>
      <c r="O90" s="250" t="e">
        <f t="shared" si="9"/>
        <v>#NUM!</v>
      </c>
      <c r="P90" s="251" t="e">
        <f t="shared" si="10"/>
        <v>#NUM!</v>
      </c>
    </row>
    <row r="91" spans="1:16">
      <c r="A91" s="149" t="e">
        <f>'A4 Demands'!A77</f>
        <v>#NUM!</v>
      </c>
      <c r="B91" s="291" t="e">
        <f>'A4 Demands'!B77</f>
        <v>#NUM!</v>
      </c>
      <c r="C91" s="279" t="e">
        <f>'A4 Demands'!C77</f>
        <v>#NUM!</v>
      </c>
      <c r="D91" s="280" t="e">
        <f>'A4 Demands'!F77</f>
        <v>#NUM!</v>
      </c>
      <c r="E91" s="281" t="e">
        <f t="shared" si="0"/>
        <v>#NUM!</v>
      </c>
      <c r="F91" s="134" t="e">
        <f t="shared" si="1"/>
        <v>#NUM!</v>
      </c>
      <c r="G91" s="282" t="e">
        <f>VLOOKUP(A91,'A1 Contract'!$A$55:$I$64,7,FALSE)</f>
        <v>#NUM!</v>
      </c>
      <c r="H91" s="248" t="e">
        <f t="shared" si="2"/>
        <v>#NUM!</v>
      </c>
      <c r="I91" s="249" t="e">
        <f t="shared" si="3"/>
        <v>#NUM!</v>
      </c>
      <c r="J91" s="249" t="e">
        <f t="shared" si="4"/>
        <v>#NUM!</v>
      </c>
      <c r="K91" s="249" t="e">
        <f t="shared" si="5"/>
        <v>#NUM!</v>
      </c>
      <c r="L91" s="249" t="e">
        <f t="shared" si="6"/>
        <v>#NUM!</v>
      </c>
      <c r="M91" s="249" t="e">
        <f t="shared" si="7"/>
        <v>#NUM!</v>
      </c>
      <c r="N91" s="249" t="e">
        <f t="shared" si="8"/>
        <v>#NUM!</v>
      </c>
      <c r="O91" s="250" t="e">
        <f t="shared" si="9"/>
        <v>#NUM!</v>
      </c>
      <c r="P91" s="251" t="e">
        <f t="shared" si="10"/>
        <v>#NUM!</v>
      </c>
    </row>
    <row r="92" spans="1:16">
      <c r="A92" s="149" t="e">
        <f>'A4 Demands'!A78</f>
        <v>#NUM!</v>
      </c>
      <c r="B92" s="291" t="e">
        <f>'A4 Demands'!B78</f>
        <v>#NUM!</v>
      </c>
      <c r="C92" s="279" t="e">
        <f>'A4 Demands'!C78</f>
        <v>#NUM!</v>
      </c>
      <c r="D92" s="280" t="e">
        <f>'A4 Demands'!F78</f>
        <v>#NUM!</v>
      </c>
      <c r="E92" s="281" t="e">
        <f t="shared" si="0"/>
        <v>#NUM!</v>
      </c>
      <c r="F92" s="134" t="e">
        <f t="shared" si="1"/>
        <v>#NUM!</v>
      </c>
      <c r="G92" s="282" t="e">
        <f>VLOOKUP(A92,'A1 Contract'!$A$55:$I$64,7,FALSE)</f>
        <v>#NUM!</v>
      </c>
      <c r="H92" s="248" t="e">
        <f t="shared" si="2"/>
        <v>#NUM!</v>
      </c>
      <c r="I92" s="249" t="e">
        <f t="shared" si="3"/>
        <v>#NUM!</v>
      </c>
      <c r="J92" s="249" t="e">
        <f t="shared" si="4"/>
        <v>#NUM!</v>
      </c>
      <c r="K92" s="249" t="e">
        <f t="shared" si="5"/>
        <v>#NUM!</v>
      </c>
      <c r="L92" s="249" t="e">
        <f t="shared" si="6"/>
        <v>#NUM!</v>
      </c>
      <c r="M92" s="249" t="e">
        <f t="shared" si="7"/>
        <v>#NUM!</v>
      </c>
      <c r="N92" s="249" t="e">
        <f t="shared" si="8"/>
        <v>#NUM!</v>
      </c>
      <c r="O92" s="250" t="e">
        <f t="shared" si="9"/>
        <v>#NUM!</v>
      </c>
      <c r="P92" s="251" t="e">
        <f t="shared" si="10"/>
        <v>#NUM!</v>
      </c>
    </row>
    <row r="93" spans="1:16">
      <c r="A93" s="149" t="e">
        <f>'A4 Demands'!A79</f>
        <v>#NUM!</v>
      </c>
      <c r="B93" s="291" t="e">
        <f>'A4 Demands'!B79</f>
        <v>#NUM!</v>
      </c>
      <c r="C93" s="279" t="e">
        <f>'A4 Demands'!C79</f>
        <v>#NUM!</v>
      </c>
      <c r="D93" s="280" t="e">
        <f>'A4 Demands'!F79</f>
        <v>#NUM!</v>
      </c>
      <c r="E93" s="281" t="e">
        <f t="shared" si="0"/>
        <v>#NUM!</v>
      </c>
      <c r="F93" s="134" t="e">
        <f t="shared" si="1"/>
        <v>#NUM!</v>
      </c>
      <c r="G93" s="282" t="e">
        <f>VLOOKUP(A93,'A1 Contract'!$A$55:$I$64,7,FALSE)</f>
        <v>#NUM!</v>
      </c>
      <c r="H93" s="248" t="e">
        <f t="shared" si="2"/>
        <v>#NUM!</v>
      </c>
      <c r="I93" s="249" t="e">
        <f t="shared" si="3"/>
        <v>#NUM!</v>
      </c>
      <c r="J93" s="249" t="e">
        <f t="shared" si="4"/>
        <v>#NUM!</v>
      </c>
      <c r="K93" s="249" t="e">
        <f t="shared" si="5"/>
        <v>#NUM!</v>
      </c>
      <c r="L93" s="249" t="e">
        <f t="shared" si="6"/>
        <v>#NUM!</v>
      </c>
      <c r="M93" s="249" t="e">
        <f t="shared" si="7"/>
        <v>#NUM!</v>
      </c>
      <c r="N93" s="249" t="e">
        <f t="shared" si="8"/>
        <v>#NUM!</v>
      </c>
      <c r="O93" s="250" t="e">
        <f t="shared" si="9"/>
        <v>#NUM!</v>
      </c>
      <c r="P93" s="251" t="e">
        <f t="shared" si="10"/>
        <v>#NUM!</v>
      </c>
    </row>
    <row r="94" spans="1:16">
      <c r="A94" s="149" t="e">
        <f>'A4 Demands'!A80</f>
        <v>#NUM!</v>
      </c>
      <c r="B94" s="291" t="e">
        <f>'A4 Demands'!B80</f>
        <v>#NUM!</v>
      </c>
      <c r="C94" s="279" t="e">
        <f>'A4 Demands'!C80</f>
        <v>#NUM!</v>
      </c>
      <c r="D94" s="280" t="e">
        <f>'A4 Demands'!F80</f>
        <v>#NUM!</v>
      </c>
      <c r="E94" s="281" t="e">
        <f t="shared" ref="E94:E121" si="11">C94*(DATE(YEAR(B94),MONTH(B94)+1,1)-B94)*24*F$53</f>
        <v>#NUM!</v>
      </c>
      <c r="F94" s="134" t="e">
        <f t="shared" ref="F94:F121" si="12">C94*F$52</f>
        <v>#NUM!</v>
      </c>
      <c r="G94" s="282" t="e">
        <f>VLOOKUP(A94,'A1 Contract'!$A$55:$I$64,7,FALSE)</f>
        <v>#NUM!</v>
      </c>
      <c r="H94" s="248" t="e">
        <f t="shared" ref="H94:H121" si="13">IF(B94&lt;DATE(YEAR(PILONDate),MONTH(PILONDate),1),"",(F94*$E$30)+(E94*$E$31))</f>
        <v>#NUM!</v>
      </c>
      <c r="I94" s="249" t="e">
        <f t="shared" ref="I94:I121" si="14">IF(B94&lt;DATE(YEAR(PILONDate),MONTH(PILONDate),1),"",(D94*$E$33)+(E94*$E$34))</f>
        <v>#NUM!</v>
      </c>
      <c r="J94" s="249" t="e">
        <f t="shared" ref="J94:J121" si="15">IF(B94&lt;DATE(YEAR(PILONDate),MONTH(PILONDate),1),"",IF(D94&gt;0,(G94*$E$36)+(MIN(7.5*G94,D94)*$E$37)+(MAX(MIN(9.5*G94,D94-(7.5*G94)),0)*$E$38)+(MAX(MIN(23*G94,D94-(17*G94)),0)*$E$39)+(MAX(D94-(40*G94),0)*$E$40),IF(D94=0,G94*$E$36,0)))</f>
        <v>#NUM!</v>
      </c>
      <c r="K94" s="249" t="e">
        <f t="shared" ref="K94:K121" si="16">IF(B94&lt;DATE(YEAR(PILONDate),MONTH(PILONDate),1),"",E94*$F$42*$F$43)</f>
        <v>#NUM!</v>
      </c>
      <c r="L94" s="249" t="e">
        <f t="shared" ref="L94:L121" si="17">IF(B94&lt;DATE(YEAR(PILONDate),MONTH(PILONDate),1),"",E94*$F$45)</f>
        <v>#NUM!</v>
      </c>
      <c r="M94" s="249" t="e">
        <f t="shared" ref="M94:M121" si="18">IF(B94&lt;DATE(YEAR(PILONDate),MONTH(PILONDate),1),"",E94*$F$47)</f>
        <v>#NUM!</v>
      </c>
      <c r="N94" s="249" t="e">
        <f t="shared" ref="N94:N121" si="19">IF(B94&lt;DATE(YEAR(PILONDate),MONTH(PILONDate),1),"",C94*$F$49)</f>
        <v>#NUM!</v>
      </c>
      <c r="O94" s="250" t="e">
        <f t="shared" ref="O94:O121" si="20">IF(B94&lt;DATE(YEAR(PILONDate),MONTH(PILONDate),1),"",IF(ReceivePSC="Yes",IF(D94&gt;0,(G94*$G$36)+(MIN(7.5*G94,D94)*$G$37)+(MAX(MIN(9.5*G94,D94-(7.5*G94)),0)*$G$38)+(MAX(MIN(23*G94,D94-(17*G94)),0)*$G$39)+(MAX(D94-(40*G94),0)*$G$40),0),0))</f>
        <v>#NUM!</v>
      </c>
      <c r="P94" s="251" t="e">
        <f t="shared" ref="P94:P121" si="21">IF(B94&lt;DATE(YEAR(PILONDate),MONTH(PILONDate),1),"",SUM(H94:O94))</f>
        <v>#NUM!</v>
      </c>
    </row>
    <row r="95" spans="1:16">
      <c r="A95" s="149" t="e">
        <f>'A4 Demands'!A81</f>
        <v>#NUM!</v>
      </c>
      <c r="B95" s="291" t="e">
        <f>'A4 Demands'!B81</f>
        <v>#NUM!</v>
      </c>
      <c r="C95" s="279" t="e">
        <f>'A4 Demands'!C81</f>
        <v>#NUM!</v>
      </c>
      <c r="D95" s="280" t="e">
        <f>'A4 Demands'!F81</f>
        <v>#NUM!</v>
      </c>
      <c r="E95" s="281" t="e">
        <f t="shared" si="11"/>
        <v>#NUM!</v>
      </c>
      <c r="F95" s="134" t="e">
        <f t="shared" si="12"/>
        <v>#NUM!</v>
      </c>
      <c r="G95" s="282" t="e">
        <f>VLOOKUP(A95,'A1 Contract'!$A$55:$I$64,7,FALSE)</f>
        <v>#NUM!</v>
      </c>
      <c r="H95" s="248" t="e">
        <f t="shared" si="13"/>
        <v>#NUM!</v>
      </c>
      <c r="I95" s="249" t="e">
        <f t="shared" si="14"/>
        <v>#NUM!</v>
      </c>
      <c r="J95" s="249" t="e">
        <f t="shared" si="15"/>
        <v>#NUM!</v>
      </c>
      <c r="K95" s="249" t="e">
        <f t="shared" si="16"/>
        <v>#NUM!</v>
      </c>
      <c r="L95" s="249" t="e">
        <f t="shared" si="17"/>
        <v>#NUM!</v>
      </c>
      <c r="M95" s="249" t="e">
        <f t="shared" si="18"/>
        <v>#NUM!</v>
      </c>
      <c r="N95" s="249" t="e">
        <f t="shared" si="19"/>
        <v>#NUM!</v>
      </c>
      <c r="O95" s="250" t="e">
        <f t="shared" si="20"/>
        <v>#NUM!</v>
      </c>
      <c r="P95" s="251" t="e">
        <f t="shared" si="21"/>
        <v>#NUM!</v>
      </c>
    </row>
    <row r="96" spans="1:16">
      <c r="A96" s="149" t="e">
        <f>'A4 Demands'!A82</f>
        <v>#NUM!</v>
      </c>
      <c r="B96" s="291" t="e">
        <f>'A4 Demands'!B82</f>
        <v>#NUM!</v>
      </c>
      <c r="C96" s="279" t="e">
        <f>'A4 Demands'!C82</f>
        <v>#NUM!</v>
      </c>
      <c r="D96" s="280" t="e">
        <f>'A4 Demands'!F82</f>
        <v>#NUM!</v>
      </c>
      <c r="E96" s="281" t="e">
        <f t="shared" si="11"/>
        <v>#NUM!</v>
      </c>
      <c r="F96" s="134" t="e">
        <f t="shared" si="12"/>
        <v>#NUM!</v>
      </c>
      <c r="G96" s="282" t="e">
        <f>VLOOKUP(A96,'A1 Contract'!$A$55:$I$64,7,FALSE)</f>
        <v>#NUM!</v>
      </c>
      <c r="H96" s="248" t="e">
        <f t="shared" si="13"/>
        <v>#NUM!</v>
      </c>
      <c r="I96" s="249" t="e">
        <f t="shared" si="14"/>
        <v>#NUM!</v>
      </c>
      <c r="J96" s="249" t="e">
        <f t="shared" si="15"/>
        <v>#NUM!</v>
      </c>
      <c r="K96" s="249" t="e">
        <f t="shared" si="16"/>
        <v>#NUM!</v>
      </c>
      <c r="L96" s="249" t="e">
        <f t="shared" si="17"/>
        <v>#NUM!</v>
      </c>
      <c r="M96" s="249" t="e">
        <f t="shared" si="18"/>
        <v>#NUM!</v>
      </c>
      <c r="N96" s="249" t="e">
        <f t="shared" si="19"/>
        <v>#NUM!</v>
      </c>
      <c r="O96" s="250" t="e">
        <f t="shared" si="20"/>
        <v>#NUM!</v>
      </c>
      <c r="P96" s="251" t="e">
        <f t="shared" si="21"/>
        <v>#NUM!</v>
      </c>
    </row>
    <row r="97" spans="1:16">
      <c r="A97" s="149" t="e">
        <f>'A4 Demands'!A83</f>
        <v>#NUM!</v>
      </c>
      <c r="B97" s="291" t="e">
        <f>'A4 Demands'!B83</f>
        <v>#NUM!</v>
      </c>
      <c r="C97" s="279" t="e">
        <f>'A4 Demands'!C83</f>
        <v>#NUM!</v>
      </c>
      <c r="D97" s="280" t="e">
        <f>'A4 Demands'!F83</f>
        <v>#NUM!</v>
      </c>
      <c r="E97" s="281" t="e">
        <f t="shared" si="11"/>
        <v>#NUM!</v>
      </c>
      <c r="F97" s="134" t="e">
        <f t="shared" si="12"/>
        <v>#NUM!</v>
      </c>
      <c r="G97" s="282" t="e">
        <f>VLOOKUP(A97,'A1 Contract'!$A$55:$I$64,7,FALSE)</f>
        <v>#NUM!</v>
      </c>
      <c r="H97" s="248" t="e">
        <f t="shared" si="13"/>
        <v>#NUM!</v>
      </c>
      <c r="I97" s="249" t="e">
        <f t="shared" si="14"/>
        <v>#NUM!</v>
      </c>
      <c r="J97" s="249" t="e">
        <f t="shared" si="15"/>
        <v>#NUM!</v>
      </c>
      <c r="K97" s="249" t="e">
        <f t="shared" si="16"/>
        <v>#NUM!</v>
      </c>
      <c r="L97" s="249" t="e">
        <f t="shared" si="17"/>
        <v>#NUM!</v>
      </c>
      <c r="M97" s="249" t="e">
        <f t="shared" si="18"/>
        <v>#NUM!</v>
      </c>
      <c r="N97" s="249" t="e">
        <f t="shared" si="19"/>
        <v>#NUM!</v>
      </c>
      <c r="O97" s="250" t="e">
        <f t="shared" si="20"/>
        <v>#NUM!</v>
      </c>
      <c r="P97" s="251" t="e">
        <f t="shared" si="21"/>
        <v>#NUM!</v>
      </c>
    </row>
    <row r="98" spans="1:16">
      <c r="A98" s="149" t="e">
        <f>'A4 Demands'!A84</f>
        <v>#NUM!</v>
      </c>
      <c r="B98" s="291" t="e">
        <f>'A4 Demands'!B84</f>
        <v>#NUM!</v>
      </c>
      <c r="C98" s="279" t="e">
        <f>'A4 Demands'!C84</f>
        <v>#NUM!</v>
      </c>
      <c r="D98" s="280" t="e">
        <f>'A4 Demands'!F84</f>
        <v>#NUM!</v>
      </c>
      <c r="E98" s="281" t="e">
        <f t="shared" si="11"/>
        <v>#NUM!</v>
      </c>
      <c r="F98" s="134" t="e">
        <f t="shared" si="12"/>
        <v>#NUM!</v>
      </c>
      <c r="G98" s="282" t="e">
        <f>VLOOKUP(A98,'A1 Contract'!$A$55:$I$64,7,FALSE)</f>
        <v>#NUM!</v>
      </c>
      <c r="H98" s="248" t="e">
        <f t="shared" si="13"/>
        <v>#NUM!</v>
      </c>
      <c r="I98" s="249" t="e">
        <f t="shared" si="14"/>
        <v>#NUM!</v>
      </c>
      <c r="J98" s="249" t="e">
        <f t="shared" si="15"/>
        <v>#NUM!</v>
      </c>
      <c r="K98" s="249" t="e">
        <f t="shared" si="16"/>
        <v>#NUM!</v>
      </c>
      <c r="L98" s="249" t="e">
        <f t="shared" si="17"/>
        <v>#NUM!</v>
      </c>
      <c r="M98" s="249" t="e">
        <f t="shared" si="18"/>
        <v>#NUM!</v>
      </c>
      <c r="N98" s="249" t="e">
        <f t="shared" si="19"/>
        <v>#NUM!</v>
      </c>
      <c r="O98" s="250" t="e">
        <f t="shared" si="20"/>
        <v>#NUM!</v>
      </c>
      <c r="P98" s="251" t="e">
        <f t="shared" si="21"/>
        <v>#NUM!</v>
      </c>
    </row>
    <row r="99" spans="1:16">
      <c r="A99" s="149" t="e">
        <f>'A4 Demands'!A85</f>
        <v>#NUM!</v>
      </c>
      <c r="B99" s="291" t="e">
        <f>'A4 Demands'!B85</f>
        <v>#NUM!</v>
      </c>
      <c r="C99" s="279" t="e">
        <f>'A4 Demands'!C85</f>
        <v>#NUM!</v>
      </c>
      <c r="D99" s="280" t="e">
        <f>'A4 Demands'!F85</f>
        <v>#NUM!</v>
      </c>
      <c r="E99" s="281" t="e">
        <f t="shared" si="11"/>
        <v>#NUM!</v>
      </c>
      <c r="F99" s="134" t="e">
        <f t="shared" si="12"/>
        <v>#NUM!</v>
      </c>
      <c r="G99" s="282" t="e">
        <f>VLOOKUP(A99,'A1 Contract'!$A$55:$I$64,7,FALSE)</f>
        <v>#NUM!</v>
      </c>
      <c r="H99" s="248" t="e">
        <f t="shared" si="13"/>
        <v>#NUM!</v>
      </c>
      <c r="I99" s="249" t="e">
        <f t="shared" si="14"/>
        <v>#NUM!</v>
      </c>
      <c r="J99" s="249" t="e">
        <f t="shared" si="15"/>
        <v>#NUM!</v>
      </c>
      <c r="K99" s="249" t="e">
        <f t="shared" si="16"/>
        <v>#NUM!</v>
      </c>
      <c r="L99" s="249" t="e">
        <f t="shared" si="17"/>
        <v>#NUM!</v>
      </c>
      <c r="M99" s="249" t="e">
        <f t="shared" si="18"/>
        <v>#NUM!</v>
      </c>
      <c r="N99" s="249" t="e">
        <f t="shared" si="19"/>
        <v>#NUM!</v>
      </c>
      <c r="O99" s="250" t="e">
        <f t="shared" si="20"/>
        <v>#NUM!</v>
      </c>
      <c r="P99" s="251" t="e">
        <f t="shared" si="21"/>
        <v>#NUM!</v>
      </c>
    </row>
    <row r="100" spans="1:16">
      <c r="A100" s="149" t="e">
        <f>'A4 Demands'!A86</f>
        <v>#NUM!</v>
      </c>
      <c r="B100" s="291" t="e">
        <f>'A4 Demands'!B86</f>
        <v>#NUM!</v>
      </c>
      <c r="C100" s="279" t="e">
        <f>'A4 Demands'!C86</f>
        <v>#NUM!</v>
      </c>
      <c r="D100" s="280" t="e">
        <f>'A4 Demands'!F86</f>
        <v>#NUM!</v>
      </c>
      <c r="E100" s="281" t="e">
        <f t="shared" si="11"/>
        <v>#NUM!</v>
      </c>
      <c r="F100" s="134" t="e">
        <f t="shared" si="12"/>
        <v>#NUM!</v>
      </c>
      <c r="G100" s="282" t="e">
        <f>VLOOKUP(A100,'A1 Contract'!$A$55:$I$64,7,FALSE)</f>
        <v>#NUM!</v>
      </c>
      <c r="H100" s="248" t="e">
        <f t="shared" si="13"/>
        <v>#NUM!</v>
      </c>
      <c r="I100" s="249" t="e">
        <f t="shared" si="14"/>
        <v>#NUM!</v>
      </c>
      <c r="J100" s="249" t="e">
        <f t="shared" si="15"/>
        <v>#NUM!</v>
      </c>
      <c r="K100" s="249" t="e">
        <f t="shared" si="16"/>
        <v>#NUM!</v>
      </c>
      <c r="L100" s="249" t="e">
        <f t="shared" si="17"/>
        <v>#NUM!</v>
      </c>
      <c r="M100" s="249" t="e">
        <f t="shared" si="18"/>
        <v>#NUM!</v>
      </c>
      <c r="N100" s="249" t="e">
        <f t="shared" si="19"/>
        <v>#NUM!</v>
      </c>
      <c r="O100" s="250" t="e">
        <f t="shared" si="20"/>
        <v>#NUM!</v>
      </c>
      <c r="P100" s="251" t="e">
        <f t="shared" si="21"/>
        <v>#NUM!</v>
      </c>
    </row>
    <row r="101" spans="1:16">
      <c r="A101" s="149" t="e">
        <f>'A4 Demands'!A87</f>
        <v>#NUM!</v>
      </c>
      <c r="B101" s="291" t="e">
        <f>'A4 Demands'!B87</f>
        <v>#NUM!</v>
      </c>
      <c r="C101" s="279" t="e">
        <f>'A4 Demands'!C87</f>
        <v>#NUM!</v>
      </c>
      <c r="D101" s="280" t="e">
        <f>'A4 Demands'!F87</f>
        <v>#NUM!</v>
      </c>
      <c r="E101" s="281" t="e">
        <f t="shared" si="11"/>
        <v>#NUM!</v>
      </c>
      <c r="F101" s="134" t="e">
        <f t="shared" si="12"/>
        <v>#NUM!</v>
      </c>
      <c r="G101" s="282" t="e">
        <f>VLOOKUP(A101,'A1 Contract'!$A$55:$I$64,7,FALSE)</f>
        <v>#NUM!</v>
      </c>
      <c r="H101" s="248" t="e">
        <f t="shared" si="13"/>
        <v>#NUM!</v>
      </c>
      <c r="I101" s="249" t="e">
        <f t="shared" si="14"/>
        <v>#NUM!</v>
      </c>
      <c r="J101" s="249" t="e">
        <f t="shared" si="15"/>
        <v>#NUM!</v>
      </c>
      <c r="K101" s="249" t="e">
        <f t="shared" si="16"/>
        <v>#NUM!</v>
      </c>
      <c r="L101" s="249" t="e">
        <f t="shared" si="17"/>
        <v>#NUM!</v>
      </c>
      <c r="M101" s="249" t="e">
        <f t="shared" si="18"/>
        <v>#NUM!</v>
      </c>
      <c r="N101" s="249" t="e">
        <f t="shared" si="19"/>
        <v>#NUM!</v>
      </c>
      <c r="O101" s="250" t="e">
        <f t="shared" si="20"/>
        <v>#NUM!</v>
      </c>
      <c r="P101" s="251" t="e">
        <f t="shared" si="21"/>
        <v>#NUM!</v>
      </c>
    </row>
    <row r="102" spans="1:16">
      <c r="A102" s="149" t="e">
        <f>'A4 Demands'!A88</f>
        <v>#NUM!</v>
      </c>
      <c r="B102" s="291" t="e">
        <f>'A4 Demands'!B88</f>
        <v>#NUM!</v>
      </c>
      <c r="C102" s="279" t="e">
        <f>'A4 Demands'!C88</f>
        <v>#NUM!</v>
      </c>
      <c r="D102" s="280" t="e">
        <f>'A4 Demands'!F88</f>
        <v>#NUM!</v>
      </c>
      <c r="E102" s="281" t="e">
        <f t="shared" si="11"/>
        <v>#NUM!</v>
      </c>
      <c r="F102" s="134" t="e">
        <f t="shared" si="12"/>
        <v>#NUM!</v>
      </c>
      <c r="G102" s="282" t="e">
        <f>VLOOKUP(A102,'A1 Contract'!$A$55:$I$64,7,FALSE)</f>
        <v>#NUM!</v>
      </c>
      <c r="H102" s="248" t="e">
        <f t="shared" si="13"/>
        <v>#NUM!</v>
      </c>
      <c r="I102" s="249" t="e">
        <f t="shared" si="14"/>
        <v>#NUM!</v>
      </c>
      <c r="J102" s="249" t="e">
        <f t="shared" si="15"/>
        <v>#NUM!</v>
      </c>
      <c r="K102" s="249" t="e">
        <f t="shared" si="16"/>
        <v>#NUM!</v>
      </c>
      <c r="L102" s="249" t="e">
        <f t="shared" si="17"/>
        <v>#NUM!</v>
      </c>
      <c r="M102" s="249" t="e">
        <f t="shared" si="18"/>
        <v>#NUM!</v>
      </c>
      <c r="N102" s="249" t="e">
        <f t="shared" si="19"/>
        <v>#NUM!</v>
      </c>
      <c r="O102" s="250" t="e">
        <f t="shared" si="20"/>
        <v>#NUM!</v>
      </c>
      <c r="P102" s="251" t="e">
        <f t="shared" si="21"/>
        <v>#NUM!</v>
      </c>
    </row>
    <row r="103" spans="1:16">
      <c r="A103" s="149" t="e">
        <f>'A4 Demands'!A89</f>
        <v>#NUM!</v>
      </c>
      <c r="B103" s="291" t="e">
        <f>'A4 Demands'!B89</f>
        <v>#NUM!</v>
      </c>
      <c r="C103" s="279" t="e">
        <f>'A4 Demands'!C89</f>
        <v>#NUM!</v>
      </c>
      <c r="D103" s="280" t="e">
        <f>'A4 Demands'!F89</f>
        <v>#NUM!</v>
      </c>
      <c r="E103" s="281" t="e">
        <f t="shared" si="11"/>
        <v>#NUM!</v>
      </c>
      <c r="F103" s="134" t="e">
        <f t="shared" si="12"/>
        <v>#NUM!</v>
      </c>
      <c r="G103" s="282" t="e">
        <f>VLOOKUP(A103,'A1 Contract'!$A$55:$I$64,7,FALSE)</f>
        <v>#NUM!</v>
      </c>
      <c r="H103" s="248" t="e">
        <f t="shared" si="13"/>
        <v>#NUM!</v>
      </c>
      <c r="I103" s="249" t="e">
        <f t="shared" si="14"/>
        <v>#NUM!</v>
      </c>
      <c r="J103" s="249" t="e">
        <f t="shared" si="15"/>
        <v>#NUM!</v>
      </c>
      <c r="K103" s="249" t="e">
        <f t="shared" si="16"/>
        <v>#NUM!</v>
      </c>
      <c r="L103" s="249" t="e">
        <f t="shared" si="17"/>
        <v>#NUM!</v>
      </c>
      <c r="M103" s="249" t="e">
        <f t="shared" si="18"/>
        <v>#NUM!</v>
      </c>
      <c r="N103" s="249" t="e">
        <f t="shared" si="19"/>
        <v>#NUM!</v>
      </c>
      <c r="O103" s="250" t="e">
        <f t="shared" si="20"/>
        <v>#NUM!</v>
      </c>
      <c r="P103" s="251" t="e">
        <f t="shared" si="21"/>
        <v>#NUM!</v>
      </c>
    </row>
    <row r="104" spans="1:16">
      <c r="A104" s="149" t="e">
        <f>'A4 Demands'!A90</f>
        <v>#NUM!</v>
      </c>
      <c r="B104" s="291" t="e">
        <f>'A4 Demands'!B90</f>
        <v>#NUM!</v>
      </c>
      <c r="C104" s="279" t="e">
        <f>'A4 Demands'!C90</f>
        <v>#NUM!</v>
      </c>
      <c r="D104" s="280" t="e">
        <f>'A4 Demands'!F90</f>
        <v>#NUM!</v>
      </c>
      <c r="E104" s="281" t="e">
        <f t="shared" si="11"/>
        <v>#NUM!</v>
      </c>
      <c r="F104" s="134" t="e">
        <f t="shared" si="12"/>
        <v>#NUM!</v>
      </c>
      <c r="G104" s="282" t="e">
        <f>VLOOKUP(A104,'A1 Contract'!$A$55:$I$64,7,FALSE)</f>
        <v>#NUM!</v>
      </c>
      <c r="H104" s="248" t="e">
        <f t="shared" si="13"/>
        <v>#NUM!</v>
      </c>
      <c r="I104" s="249" t="e">
        <f t="shared" si="14"/>
        <v>#NUM!</v>
      </c>
      <c r="J104" s="249" t="e">
        <f t="shared" si="15"/>
        <v>#NUM!</v>
      </c>
      <c r="K104" s="249" t="e">
        <f t="shared" si="16"/>
        <v>#NUM!</v>
      </c>
      <c r="L104" s="249" t="e">
        <f t="shared" si="17"/>
        <v>#NUM!</v>
      </c>
      <c r="M104" s="249" t="e">
        <f t="shared" si="18"/>
        <v>#NUM!</v>
      </c>
      <c r="N104" s="249" t="e">
        <f t="shared" si="19"/>
        <v>#NUM!</v>
      </c>
      <c r="O104" s="250" t="e">
        <f t="shared" si="20"/>
        <v>#NUM!</v>
      </c>
      <c r="P104" s="251" t="e">
        <f t="shared" si="21"/>
        <v>#NUM!</v>
      </c>
    </row>
    <row r="105" spans="1:16">
      <c r="A105" s="149" t="e">
        <f>'A4 Demands'!A91</f>
        <v>#NUM!</v>
      </c>
      <c r="B105" s="291" t="e">
        <f>'A4 Demands'!B91</f>
        <v>#NUM!</v>
      </c>
      <c r="C105" s="279" t="e">
        <f>'A4 Demands'!C91</f>
        <v>#NUM!</v>
      </c>
      <c r="D105" s="280" t="e">
        <f>'A4 Demands'!F91</f>
        <v>#NUM!</v>
      </c>
      <c r="E105" s="281" t="e">
        <f t="shared" si="11"/>
        <v>#NUM!</v>
      </c>
      <c r="F105" s="134" t="e">
        <f t="shared" si="12"/>
        <v>#NUM!</v>
      </c>
      <c r="G105" s="282" t="e">
        <f>VLOOKUP(A105,'A1 Contract'!$A$55:$I$64,7,FALSE)</f>
        <v>#NUM!</v>
      </c>
      <c r="H105" s="248" t="e">
        <f t="shared" si="13"/>
        <v>#NUM!</v>
      </c>
      <c r="I105" s="249" t="e">
        <f t="shared" si="14"/>
        <v>#NUM!</v>
      </c>
      <c r="J105" s="249" t="e">
        <f t="shared" si="15"/>
        <v>#NUM!</v>
      </c>
      <c r="K105" s="249" t="e">
        <f t="shared" si="16"/>
        <v>#NUM!</v>
      </c>
      <c r="L105" s="249" t="e">
        <f t="shared" si="17"/>
        <v>#NUM!</v>
      </c>
      <c r="M105" s="249" t="e">
        <f t="shared" si="18"/>
        <v>#NUM!</v>
      </c>
      <c r="N105" s="249" t="e">
        <f t="shared" si="19"/>
        <v>#NUM!</v>
      </c>
      <c r="O105" s="250" t="e">
        <f t="shared" si="20"/>
        <v>#NUM!</v>
      </c>
      <c r="P105" s="251" t="e">
        <f t="shared" si="21"/>
        <v>#NUM!</v>
      </c>
    </row>
    <row r="106" spans="1:16">
      <c r="A106" s="149" t="e">
        <f>'A4 Demands'!A92</f>
        <v>#NUM!</v>
      </c>
      <c r="B106" s="291" t="e">
        <f>'A4 Demands'!B92</f>
        <v>#NUM!</v>
      </c>
      <c r="C106" s="279" t="e">
        <f>'A4 Demands'!C92</f>
        <v>#NUM!</v>
      </c>
      <c r="D106" s="280" t="e">
        <f>'A4 Demands'!F92</f>
        <v>#NUM!</v>
      </c>
      <c r="E106" s="281" t="e">
        <f t="shared" si="11"/>
        <v>#NUM!</v>
      </c>
      <c r="F106" s="134" t="e">
        <f t="shared" si="12"/>
        <v>#NUM!</v>
      </c>
      <c r="G106" s="282" t="e">
        <f>VLOOKUP(A106,'A1 Contract'!$A$55:$I$64,7,FALSE)</f>
        <v>#NUM!</v>
      </c>
      <c r="H106" s="248" t="e">
        <f t="shared" si="13"/>
        <v>#NUM!</v>
      </c>
      <c r="I106" s="249" t="e">
        <f t="shared" si="14"/>
        <v>#NUM!</v>
      </c>
      <c r="J106" s="249" t="e">
        <f t="shared" si="15"/>
        <v>#NUM!</v>
      </c>
      <c r="K106" s="249" t="e">
        <f t="shared" si="16"/>
        <v>#NUM!</v>
      </c>
      <c r="L106" s="249" t="e">
        <f t="shared" si="17"/>
        <v>#NUM!</v>
      </c>
      <c r="M106" s="249" t="e">
        <f t="shared" si="18"/>
        <v>#NUM!</v>
      </c>
      <c r="N106" s="249" t="e">
        <f t="shared" si="19"/>
        <v>#NUM!</v>
      </c>
      <c r="O106" s="250" t="e">
        <f t="shared" si="20"/>
        <v>#NUM!</v>
      </c>
      <c r="P106" s="251" t="e">
        <f t="shared" si="21"/>
        <v>#NUM!</v>
      </c>
    </row>
    <row r="107" spans="1:16">
      <c r="A107" s="149" t="e">
        <f>'A4 Demands'!A93</f>
        <v>#NUM!</v>
      </c>
      <c r="B107" s="291" t="e">
        <f>'A4 Demands'!B93</f>
        <v>#NUM!</v>
      </c>
      <c r="C107" s="279" t="e">
        <f>'A4 Demands'!C93</f>
        <v>#NUM!</v>
      </c>
      <c r="D107" s="280" t="e">
        <f>'A4 Demands'!F93</f>
        <v>#NUM!</v>
      </c>
      <c r="E107" s="281" t="e">
        <f t="shared" si="11"/>
        <v>#NUM!</v>
      </c>
      <c r="F107" s="134" t="e">
        <f t="shared" si="12"/>
        <v>#NUM!</v>
      </c>
      <c r="G107" s="282" t="e">
        <f>VLOOKUP(A107,'A1 Contract'!$A$55:$I$64,7,FALSE)</f>
        <v>#NUM!</v>
      </c>
      <c r="H107" s="248" t="e">
        <f t="shared" si="13"/>
        <v>#NUM!</v>
      </c>
      <c r="I107" s="249" t="e">
        <f t="shared" si="14"/>
        <v>#NUM!</v>
      </c>
      <c r="J107" s="249" t="e">
        <f t="shared" si="15"/>
        <v>#NUM!</v>
      </c>
      <c r="K107" s="249" t="e">
        <f t="shared" si="16"/>
        <v>#NUM!</v>
      </c>
      <c r="L107" s="249" t="e">
        <f t="shared" si="17"/>
        <v>#NUM!</v>
      </c>
      <c r="M107" s="249" t="e">
        <f t="shared" si="18"/>
        <v>#NUM!</v>
      </c>
      <c r="N107" s="249" t="e">
        <f t="shared" si="19"/>
        <v>#NUM!</v>
      </c>
      <c r="O107" s="250" t="e">
        <f t="shared" si="20"/>
        <v>#NUM!</v>
      </c>
      <c r="P107" s="251" t="e">
        <f t="shared" si="21"/>
        <v>#NUM!</v>
      </c>
    </row>
    <row r="108" spans="1:16">
      <c r="A108" s="149" t="e">
        <f>'A4 Demands'!A94</f>
        <v>#NUM!</v>
      </c>
      <c r="B108" s="291" t="e">
        <f>'A4 Demands'!B94</f>
        <v>#NUM!</v>
      </c>
      <c r="C108" s="279" t="e">
        <f>'A4 Demands'!C94</f>
        <v>#NUM!</v>
      </c>
      <c r="D108" s="280" t="e">
        <f>'A4 Demands'!F94</f>
        <v>#NUM!</v>
      </c>
      <c r="E108" s="281" t="e">
        <f t="shared" si="11"/>
        <v>#NUM!</v>
      </c>
      <c r="F108" s="134" t="e">
        <f t="shared" si="12"/>
        <v>#NUM!</v>
      </c>
      <c r="G108" s="282" t="e">
        <f>VLOOKUP(A108,'A1 Contract'!$A$55:$I$64,7,FALSE)</f>
        <v>#NUM!</v>
      </c>
      <c r="H108" s="248" t="e">
        <f t="shared" si="13"/>
        <v>#NUM!</v>
      </c>
      <c r="I108" s="249" t="e">
        <f t="shared" si="14"/>
        <v>#NUM!</v>
      </c>
      <c r="J108" s="249" t="e">
        <f t="shared" si="15"/>
        <v>#NUM!</v>
      </c>
      <c r="K108" s="249" t="e">
        <f t="shared" si="16"/>
        <v>#NUM!</v>
      </c>
      <c r="L108" s="249" t="e">
        <f t="shared" si="17"/>
        <v>#NUM!</v>
      </c>
      <c r="M108" s="249" t="e">
        <f t="shared" si="18"/>
        <v>#NUM!</v>
      </c>
      <c r="N108" s="249" t="e">
        <f t="shared" si="19"/>
        <v>#NUM!</v>
      </c>
      <c r="O108" s="250" t="e">
        <f t="shared" si="20"/>
        <v>#NUM!</v>
      </c>
      <c r="P108" s="251" t="e">
        <f t="shared" si="21"/>
        <v>#NUM!</v>
      </c>
    </row>
    <row r="109" spans="1:16">
      <c r="A109" s="149" t="e">
        <f>'A4 Demands'!A95</f>
        <v>#NUM!</v>
      </c>
      <c r="B109" s="291" t="e">
        <f>'A4 Demands'!B95</f>
        <v>#NUM!</v>
      </c>
      <c r="C109" s="279" t="e">
        <f>'A4 Demands'!C95</f>
        <v>#NUM!</v>
      </c>
      <c r="D109" s="280" t="e">
        <f>'A4 Demands'!F95</f>
        <v>#NUM!</v>
      </c>
      <c r="E109" s="281" t="e">
        <f t="shared" si="11"/>
        <v>#NUM!</v>
      </c>
      <c r="F109" s="134" t="e">
        <f t="shared" si="12"/>
        <v>#NUM!</v>
      </c>
      <c r="G109" s="282" t="e">
        <f>VLOOKUP(A109,'A1 Contract'!$A$55:$I$64,7,FALSE)</f>
        <v>#NUM!</v>
      </c>
      <c r="H109" s="248" t="e">
        <f t="shared" si="13"/>
        <v>#NUM!</v>
      </c>
      <c r="I109" s="249" t="e">
        <f t="shared" si="14"/>
        <v>#NUM!</v>
      </c>
      <c r="J109" s="249" t="e">
        <f t="shared" si="15"/>
        <v>#NUM!</v>
      </c>
      <c r="K109" s="249" t="e">
        <f t="shared" si="16"/>
        <v>#NUM!</v>
      </c>
      <c r="L109" s="249" t="e">
        <f t="shared" si="17"/>
        <v>#NUM!</v>
      </c>
      <c r="M109" s="249" t="e">
        <f t="shared" si="18"/>
        <v>#NUM!</v>
      </c>
      <c r="N109" s="249" t="e">
        <f t="shared" si="19"/>
        <v>#NUM!</v>
      </c>
      <c r="O109" s="250" t="e">
        <f t="shared" si="20"/>
        <v>#NUM!</v>
      </c>
      <c r="P109" s="251" t="e">
        <f t="shared" si="21"/>
        <v>#NUM!</v>
      </c>
    </row>
    <row r="110" spans="1:16">
      <c r="A110" s="149" t="e">
        <f>'A4 Demands'!A96</f>
        <v>#NUM!</v>
      </c>
      <c r="B110" s="291" t="e">
        <f>'A4 Demands'!B96</f>
        <v>#NUM!</v>
      </c>
      <c r="C110" s="279" t="e">
        <f>'A4 Demands'!C96</f>
        <v>#NUM!</v>
      </c>
      <c r="D110" s="280" t="e">
        <f>'A4 Demands'!F96</f>
        <v>#NUM!</v>
      </c>
      <c r="E110" s="281" t="e">
        <f t="shared" si="11"/>
        <v>#NUM!</v>
      </c>
      <c r="F110" s="134" t="e">
        <f t="shared" si="12"/>
        <v>#NUM!</v>
      </c>
      <c r="G110" s="282" t="e">
        <f>VLOOKUP(A110,'A1 Contract'!$A$55:$I$64,7,FALSE)</f>
        <v>#NUM!</v>
      </c>
      <c r="H110" s="248" t="e">
        <f t="shared" si="13"/>
        <v>#NUM!</v>
      </c>
      <c r="I110" s="249" t="e">
        <f t="shared" si="14"/>
        <v>#NUM!</v>
      </c>
      <c r="J110" s="249" t="e">
        <f t="shared" si="15"/>
        <v>#NUM!</v>
      </c>
      <c r="K110" s="249" t="e">
        <f t="shared" si="16"/>
        <v>#NUM!</v>
      </c>
      <c r="L110" s="249" t="e">
        <f t="shared" si="17"/>
        <v>#NUM!</v>
      </c>
      <c r="M110" s="249" t="e">
        <f t="shared" si="18"/>
        <v>#NUM!</v>
      </c>
      <c r="N110" s="249" t="e">
        <f t="shared" si="19"/>
        <v>#NUM!</v>
      </c>
      <c r="O110" s="250" t="e">
        <f t="shared" si="20"/>
        <v>#NUM!</v>
      </c>
      <c r="P110" s="251" t="e">
        <f t="shared" si="21"/>
        <v>#NUM!</v>
      </c>
    </row>
    <row r="111" spans="1:16">
      <c r="A111" s="149" t="e">
        <f>'A4 Demands'!A97</f>
        <v>#NUM!</v>
      </c>
      <c r="B111" s="291" t="e">
        <f>'A4 Demands'!B97</f>
        <v>#NUM!</v>
      </c>
      <c r="C111" s="279" t="e">
        <f>'A4 Demands'!C97</f>
        <v>#NUM!</v>
      </c>
      <c r="D111" s="280" t="e">
        <f>'A4 Demands'!F97</f>
        <v>#NUM!</v>
      </c>
      <c r="E111" s="281" t="e">
        <f t="shared" si="11"/>
        <v>#NUM!</v>
      </c>
      <c r="F111" s="134" t="e">
        <f t="shared" si="12"/>
        <v>#NUM!</v>
      </c>
      <c r="G111" s="282" t="e">
        <f>VLOOKUP(A111,'A1 Contract'!$A$55:$I$64,7,FALSE)</f>
        <v>#NUM!</v>
      </c>
      <c r="H111" s="248" t="e">
        <f t="shared" si="13"/>
        <v>#NUM!</v>
      </c>
      <c r="I111" s="249" t="e">
        <f t="shared" si="14"/>
        <v>#NUM!</v>
      </c>
      <c r="J111" s="249" t="e">
        <f t="shared" si="15"/>
        <v>#NUM!</v>
      </c>
      <c r="K111" s="249" t="e">
        <f t="shared" si="16"/>
        <v>#NUM!</v>
      </c>
      <c r="L111" s="249" t="e">
        <f t="shared" si="17"/>
        <v>#NUM!</v>
      </c>
      <c r="M111" s="249" t="e">
        <f t="shared" si="18"/>
        <v>#NUM!</v>
      </c>
      <c r="N111" s="249" t="e">
        <f t="shared" si="19"/>
        <v>#NUM!</v>
      </c>
      <c r="O111" s="250" t="e">
        <f t="shared" si="20"/>
        <v>#NUM!</v>
      </c>
      <c r="P111" s="251" t="e">
        <f t="shared" si="21"/>
        <v>#NUM!</v>
      </c>
    </row>
    <row r="112" spans="1:16">
      <c r="A112" s="149" t="e">
        <f>'A4 Demands'!A98</f>
        <v>#NUM!</v>
      </c>
      <c r="B112" s="291" t="e">
        <f>'A4 Demands'!B98</f>
        <v>#NUM!</v>
      </c>
      <c r="C112" s="279" t="e">
        <f>'A4 Demands'!C98</f>
        <v>#NUM!</v>
      </c>
      <c r="D112" s="280" t="e">
        <f>'A4 Demands'!F98</f>
        <v>#NUM!</v>
      </c>
      <c r="E112" s="281" t="e">
        <f t="shared" si="11"/>
        <v>#NUM!</v>
      </c>
      <c r="F112" s="134" t="e">
        <f t="shared" si="12"/>
        <v>#NUM!</v>
      </c>
      <c r="G112" s="282" t="e">
        <f>VLOOKUP(A112,'A1 Contract'!$A$55:$I$64,7,FALSE)</f>
        <v>#NUM!</v>
      </c>
      <c r="H112" s="248" t="e">
        <f t="shared" si="13"/>
        <v>#NUM!</v>
      </c>
      <c r="I112" s="249" t="e">
        <f t="shared" si="14"/>
        <v>#NUM!</v>
      </c>
      <c r="J112" s="249" t="e">
        <f t="shared" si="15"/>
        <v>#NUM!</v>
      </c>
      <c r="K112" s="249" t="e">
        <f t="shared" si="16"/>
        <v>#NUM!</v>
      </c>
      <c r="L112" s="249" t="e">
        <f t="shared" si="17"/>
        <v>#NUM!</v>
      </c>
      <c r="M112" s="249" t="e">
        <f t="shared" si="18"/>
        <v>#NUM!</v>
      </c>
      <c r="N112" s="249" t="e">
        <f t="shared" si="19"/>
        <v>#NUM!</v>
      </c>
      <c r="O112" s="250" t="e">
        <f t="shared" si="20"/>
        <v>#NUM!</v>
      </c>
      <c r="P112" s="251" t="e">
        <f t="shared" si="21"/>
        <v>#NUM!</v>
      </c>
    </row>
    <row r="113" spans="1:16">
      <c r="A113" s="149" t="e">
        <f>'A4 Demands'!A99</f>
        <v>#NUM!</v>
      </c>
      <c r="B113" s="291" t="e">
        <f>'A4 Demands'!B99</f>
        <v>#NUM!</v>
      </c>
      <c r="C113" s="279" t="e">
        <f>'A4 Demands'!C99</f>
        <v>#NUM!</v>
      </c>
      <c r="D113" s="280" t="e">
        <f>'A4 Demands'!F99</f>
        <v>#NUM!</v>
      </c>
      <c r="E113" s="281" t="e">
        <f t="shared" si="11"/>
        <v>#NUM!</v>
      </c>
      <c r="F113" s="134" t="e">
        <f t="shared" si="12"/>
        <v>#NUM!</v>
      </c>
      <c r="G113" s="282" t="e">
        <f>VLOOKUP(A113,'A1 Contract'!$A$55:$I$64,7,FALSE)</f>
        <v>#NUM!</v>
      </c>
      <c r="H113" s="248" t="e">
        <f t="shared" si="13"/>
        <v>#NUM!</v>
      </c>
      <c r="I113" s="249" t="e">
        <f t="shared" si="14"/>
        <v>#NUM!</v>
      </c>
      <c r="J113" s="249" t="e">
        <f t="shared" si="15"/>
        <v>#NUM!</v>
      </c>
      <c r="K113" s="249" t="e">
        <f t="shared" si="16"/>
        <v>#NUM!</v>
      </c>
      <c r="L113" s="249" t="e">
        <f t="shared" si="17"/>
        <v>#NUM!</v>
      </c>
      <c r="M113" s="249" t="e">
        <f t="shared" si="18"/>
        <v>#NUM!</v>
      </c>
      <c r="N113" s="249" t="e">
        <f t="shared" si="19"/>
        <v>#NUM!</v>
      </c>
      <c r="O113" s="250" t="e">
        <f t="shared" si="20"/>
        <v>#NUM!</v>
      </c>
      <c r="P113" s="251" t="e">
        <f t="shared" si="21"/>
        <v>#NUM!</v>
      </c>
    </row>
    <row r="114" spans="1:16">
      <c r="A114" s="149" t="e">
        <f>'A4 Demands'!A100</f>
        <v>#NUM!</v>
      </c>
      <c r="B114" s="291" t="e">
        <f>'A4 Demands'!B100</f>
        <v>#NUM!</v>
      </c>
      <c r="C114" s="279" t="e">
        <f>'A4 Demands'!C100</f>
        <v>#NUM!</v>
      </c>
      <c r="D114" s="280" t="e">
        <f>'A4 Demands'!F100</f>
        <v>#NUM!</v>
      </c>
      <c r="E114" s="281" t="e">
        <f t="shared" si="11"/>
        <v>#NUM!</v>
      </c>
      <c r="F114" s="134" t="e">
        <f t="shared" si="12"/>
        <v>#NUM!</v>
      </c>
      <c r="G114" s="282" t="e">
        <f>VLOOKUP(A114,'A1 Contract'!$A$55:$I$64,7,FALSE)</f>
        <v>#NUM!</v>
      </c>
      <c r="H114" s="248" t="e">
        <f t="shared" si="13"/>
        <v>#NUM!</v>
      </c>
      <c r="I114" s="249" t="e">
        <f t="shared" si="14"/>
        <v>#NUM!</v>
      </c>
      <c r="J114" s="249" t="e">
        <f t="shared" si="15"/>
        <v>#NUM!</v>
      </c>
      <c r="K114" s="249" t="e">
        <f t="shared" si="16"/>
        <v>#NUM!</v>
      </c>
      <c r="L114" s="249" t="e">
        <f t="shared" si="17"/>
        <v>#NUM!</v>
      </c>
      <c r="M114" s="249" t="e">
        <f t="shared" si="18"/>
        <v>#NUM!</v>
      </c>
      <c r="N114" s="249" t="e">
        <f t="shared" si="19"/>
        <v>#NUM!</v>
      </c>
      <c r="O114" s="250" t="e">
        <f t="shared" si="20"/>
        <v>#NUM!</v>
      </c>
      <c r="P114" s="251" t="e">
        <f t="shared" si="21"/>
        <v>#NUM!</v>
      </c>
    </row>
    <row r="115" spans="1:16">
      <c r="A115" s="149" t="e">
        <f>'A4 Demands'!A101</f>
        <v>#NUM!</v>
      </c>
      <c r="B115" s="291" t="e">
        <f>'A4 Demands'!B101</f>
        <v>#NUM!</v>
      </c>
      <c r="C115" s="279" t="e">
        <f>'A4 Demands'!C101</f>
        <v>#NUM!</v>
      </c>
      <c r="D115" s="280" t="e">
        <f>'A4 Demands'!F101</f>
        <v>#NUM!</v>
      </c>
      <c r="E115" s="281" t="e">
        <f t="shared" si="11"/>
        <v>#NUM!</v>
      </c>
      <c r="F115" s="134" t="e">
        <f t="shared" si="12"/>
        <v>#NUM!</v>
      </c>
      <c r="G115" s="282" t="e">
        <f>VLOOKUP(A115,'A1 Contract'!$A$55:$I$64,7,FALSE)</f>
        <v>#NUM!</v>
      </c>
      <c r="H115" s="248" t="e">
        <f t="shared" si="13"/>
        <v>#NUM!</v>
      </c>
      <c r="I115" s="249" t="e">
        <f t="shared" si="14"/>
        <v>#NUM!</v>
      </c>
      <c r="J115" s="249" t="e">
        <f t="shared" si="15"/>
        <v>#NUM!</v>
      </c>
      <c r="K115" s="249" t="e">
        <f t="shared" si="16"/>
        <v>#NUM!</v>
      </c>
      <c r="L115" s="249" t="e">
        <f t="shared" si="17"/>
        <v>#NUM!</v>
      </c>
      <c r="M115" s="249" t="e">
        <f t="shared" si="18"/>
        <v>#NUM!</v>
      </c>
      <c r="N115" s="249" t="e">
        <f t="shared" si="19"/>
        <v>#NUM!</v>
      </c>
      <c r="O115" s="250" t="e">
        <f t="shared" si="20"/>
        <v>#NUM!</v>
      </c>
      <c r="P115" s="251" t="e">
        <f t="shared" si="21"/>
        <v>#NUM!</v>
      </c>
    </row>
    <row r="116" spans="1:16">
      <c r="A116" s="149" t="e">
        <f>'A4 Demands'!A102</f>
        <v>#NUM!</v>
      </c>
      <c r="B116" s="291" t="e">
        <f>'A4 Demands'!B102</f>
        <v>#NUM!</v>
      </c>
      <c r="C116" s="279" t="e">
        <f>'A4 Demands'!C102</f>
        <v>#NUM!</v>
      </c>
      <c r="D116" s="280" t="e">
        <f>'A4 Demands'!F102</f>
        <v>#NUM!</v>
      </c>
      <c r="E116" s="281" t="e">
        <f t="shared" si="11"/>
        <v>#NUM!</v>
      </c>
      <c r="F116" s="134" t="e">
        <f t="shared" si="12"/>
        <v>#NUM!</v>
      </c>
      <c r="G116" s="282" t="e">
        <f>VLOOKUP(A116,'A1 Contract'!$A$55:$I$64,7,FALSE)</f>
        <v>#NUM!</v>
      </c>
      <c r="H116" s="248" t="e">
        <f t="shared" si="13"/>
        <v>#NUM!</v>
      </c>
      <c r="I116" s="249" t="e">
        <f t="shared" si="14"/>
        <v>#NUM!</v>
      </c>
      <c r="J116" s="249" t="e">
        <f t="shared" si="15"/>
        <v>#NUM!</v>
      </c>
      <c r="K116" s="249" t="e">
        <f t="shared" si="16"/>
        <v>#NUM!</v>
      </c>
      <c r="L116" s="249" t="e">
        <f t="shared" si="17"/>
        <v>#NUM!</v>
      </c>
      <c r="M116" s="249" t="e">
        <f t="shared" si="18"/>
        <v>#NUM!</v>
      </c>
      <c r="N116" s="249" t="e">
        <f t="shared" si="19"/>
        <v>#NUM!</v>
      </c>
      <c r="O116" s="250" t="e">
        <f t="shared" si="20"/>
        <v>#NUM!</v>
      </c>
      <c r="P116" s="251" t="e">
        <f t="shared" si="21"/>
        <v>#NUM!</v>
      </c>
    </row>
    <row r="117" spans="1:16">
      <c r="A117" s="149" t="e">
        <f>'A4 Demands'!A103</f>
        <v>#NUM!</v>
      </c>
      <c r="B117" s="291" t="e">
        <f>'A4 Demands'!B103</f>
        <v>#NUM!</v>
      </c>
      <c r="C117" s="279" t="e">
        <f>'A4 Demands'!C103</f>
        <v>#NUM!</v>
      </c>
      <c r="D117" s="280" t="e">
        <f>'A4 Demands'!F103</f>
        <v>#NUM!</v>
      </c>
      <c r="E117" s="281" t="e">
        <f t="shared" si="11"/>
        <v>#NUM!</v>
      </c>
      <c r="F117" s="134" t="e">
        <f t="shared" si="12"/>
        <v>#NUM!</v>
      </c>
      <c r="G117" s="282" t="e">
        <f>VLOOKUP(A117,'A1 Contract'!$A$55:$I$64,7,FALSE)</f>
        <v>#NUM!</v>
      </c>
      <c r="H117" s="248" t="e">
        <f t="shared" si="13"/>
        <v>#NUM!</v>
      </c>
      <c r="I117" s="249" t="e">
        <f t="shared" si="14"/>
        <v>#NUM!</v>
      </c>
      <c r="J117" s="249" t="e">
        <f t="shared" si="15"/>
        <v>#NUM!</v>
      </c>
      <c r="K117" s="249" t="e">
        <f t="shared" si="16"/>
        <v>#NUM!</v>
      </c>
      <c r="L117" s="249" t="e">
        <f t="shared" si="17"/>
        <v>#NUM!</v>
      </c>
      <c r="M117" s="249" t="e">
        <f t="shared" si="18"/>
        <v>#NUM!</v>
      </c>
      <c r="N117" s="249" t="e">
        <f t="shared" si="19"/>
        <v>#NUM!</v>
      </c>
      <c r="O117" s="250" t="e">
        <f t="shared" si="20"/>
        <v>#NUM!</v>
      </c>
      <c r="P117" s="251" t="e">
        <f t="shared" si="21"/>
        <v>#NUM!</v>
      </c>
    </row>
    <row r="118" spans="1:16">
      <c r="A118" s="149" t="e">
        <f>'A4 Demands'!A104</f>
        <v>#NUM!</v>
      </c>
      <c r="B118" s="291" t="e">
        <f>'A4 Demands'!B104</f>
        <v>#NUM!</v>
      </c>
      <c r="C118" s="279" t="e">
        <f>'A4 Demands'!C104</f>
        <v>#NUM!</v>
      </c>
      <c r="D118" s="280" t="e">
        <f>'A4 Demands'!F104</f>
        <v>#NUM!</v>
      </c>
      <c r="E118" s="281" t="e">
        <f t="shared" si="11"/>
        <v>#NUM!</v>
      </c>
      <c r="F118" s="134" t="e">
        <f t="shared" si="12"/>
        <v>#NUM!</v>
      </c>
      <c r="G118" s="282" t="e">
        <f>VLOOKUP(A118,'A1 Contract'!$A$55:$I$64,7,FALSE)</f>
        <v>#NUM!</v>
      </c>
      <c r="H118" s="248" t="e">
        <f t="shared" si="13"/>
        <v>#NUM!</v>
      </c>
      <c r="I118" s="249" t="e">
        <f t="shared" si="14"/>
        <v>#NUM!</v>
      </c>
      <c r="J118" s="249" t="e">
        <f t="shared" si="15"/>
        <v>#NUM!</v>
      </c>
      <c r="K118" s="249" t="e">
        <f t="shared" si="16"/>
        <v>#NUM!</v>
      </c>
      <c r="L118" s="249" t="e">
        <f t="shared" si="17"/>
        <v>#NUM!</v>
      </c>
      <c r="M118" s="249" t="e">
        <f t="shared" si="18"/>
        <v>#NUM!</v>
      </c>
      <c r="N118" s="249" t="e">
        <f t="shared" si="19"/>
        <v>#NUM!</v>
      </c>
      <c r="O118" s="250" t="e">
        <f t="shared" si="20"/>
        <v>#NUM!</v>
      </c>
      <c r="P118" s="251" t="e">
        <f t="shared" si="21"/>
        <v>#NUM!</v>
      </c>
    </row>
    <row r="119" spans="1:16">
      <c r="A119" s="149" t="e">
        <f>'A4 Demands'!A105</f>
        <v>#NUM!</v>
      </c>
      <c r="B119" s="291" t="e">
        <f>'A4 Demands'!B105</f>
        <v>#NUM!</v>
      </c>
      <c r="C119" s="279" t="e">
        <f>'A4 Demands'!C105</f>
        <v>#NUM!</v>
      </c>
      <c r="D119" s="280" t="e">
        <f>'A4 Demands'!F105</f>
        <v>#NUM!</v>
      </c>
      <c r="E119" s="281" t="e">
        <f t="shared" si="11"/>
        <v>#NUM!</v>
      </c>
      <c r="F119" s="134" t="e">
        <f t="shared" si="12"/>
        <v>#NUM!</v>
      </c>
      <c r="G119" s="282" t="e">
        <f>VLOOKUP(A119,'A1 Contract'!$A$55:$I$64,7,FALSE)</f>
        <v>#NUM!</v>
      </c>
      <c r="H119" s="248" t="e">
        <f t="shared" si="13"/>
        <v>#NUM!</v>
      </c>
      <c r="I119" s="249" t="e">
        <f t="shared" si="14"/>
        <v>#NUM!</v>
      </c>
      <c r="J119" s="249" t="e">
        <f t="shared" si="15"/>
        <v>#NUM!</v>
      </c>
      <c r="K119" s="249" t="e">
        <f t="shared" si="16"/>
        <v>#NUM!</v>
      </c>
      <c r="L119" s="249" t="e">
        <f t="shared" si="17"/>
        <v>#NUM!</v>
      </c>
      <c r="M119" s="249" t="e">
        <f t="shared" si="18"/>
        <v>#NUM!</v>
      </c>
      <c r="N119" s="249" t="e">
        <f t="shared" si="19"/>
        <v>#NUM!</v>
      </c>
      <c r="O119" s="250" t="e">
        <f t="shared" si="20"/>
        <v>#NUM!</v>
      </c>
      <c r="P119" s="251" t="e">
        <f t="shared" si="21"/>
        <v>#NUM!</v>
      </c>
    </row>
    <row r="120" spans="1:16">
      <c r="A120" s="149" t="e">
        <f>'A4 Demands'!A106</f>
        <v>#NUM!</v>
      </c>
      <c r="B120" s="291" t="e">
        <f>'A4 Demands'!B106</f>
        <v>#NUM!</v>
      </c>
      <c r="C120" s="279" t="e">
        <f>'A4 Demands'!C106</f>
        <v>#NUM!</v>
      </c>
      <c r="D120" s="280" t="e">
        <f>'A4 Demands'!F106</f>
        <v>#NUM!</v>
      </c>
      <c r="E120" s="281" t="e">
        <f t="shared" si="11"/>
        <v>#NUM!</v>
      </c>
      <c r="F120" s="134" t="e">
        <f t="shared" si="12"/>
        <v>#NUM!</v>
      </c>
      <c r="G120" s="282" t="e">
        <f>VLOOKUP(A120,'A1 Contract'!$A$55:$I$64,7,FALSE)</f>
        <v>#NUM!</v>
      </c>
      <c r="H120" s="248" t="e">
        <f t="shared" si="13"/>
        <v>#NUM!</v>
      </c>
      <c r="I120" s="249" t="e">
        <f t="shared" si="14"/>
        <v>#NUM!</v>
      </c>
      <c r="J120" s="249" t="e">
        <f t="shared" si="15"/>
        <v>#NUM!</v>
      </c>
      <c r="K120" s="249" t="e">
        <f t="shared" si="16"/>
        <v>#NUM!</v>
      </c>
      <c r="L120" s="249" t="e">
        <f t="shared" si="17"/>
        <v>#NUM!</v>
      </c>
      <c r="M120" s="249" t="e">
        <f t="shared" si="18"/>
        <v>#NUM!</v>
      </c>
      <c r="N120" s="249" t="e">
        <f t="shared" si="19"/>
        <v>#NUM!</v>
      </c>
      <c r="O120" s="250" t="e">
        <f t="shared" si="20"/>
        <v>#NUM!</v>
      </c>
      <c r="P120" s="251" t="e">
        <f t="shared" si="21"/>
        <v>#NUM!</v>
      </c>
    </row>
    <row r="121" spans="1:16">
      <c r="A121" s="150" t="e">
        <f>'A4 Demands'!A107</f>
        <v>#NUM!</v>
      </c>
      <c r="B121" s="292" t="e">
        <f>'A4 Demands'!B107</f>
        <v>#NUM!</v>
      </c>
      <c r="C121" s="283" t="e">
        <f>'A4 Demands'!C107</f>
        <v>#NUM!</v>
      </c>
      <c r="D121" s="284" t="e">
        <f>'A4 Demands'!F107</f>
        <v>#NUM!</v>
      </c>
      <c r="E121" s="285" t="e">
        <f t="shared" si="11"/>
        <v>#NUM!</v>
      </c>
      <c r="F121" s="136" t="e">
        <f t="shared" si="12"/>
        <v>#NUM!</v>
      </c>
      <c r="G121" s="286" t="e">
        <f>VLOOKUP(A121,'A1 Contract'!$A$55:$I$64,7,FALSE)</f>
        <v>#NUM!</v>
      </c>
      <c r="H121" s="287" t="e">
        <f t="shared" si="13"/>
        <v>#NUM!</v>
      </c>
      <c r="I121" s="288" t="e">
        <f t="shared" si="14"/>
        <v>#NUM!</v>
      </c>
      <c r="J121" s="288" t="e">
        <f t="shared" si="15"/>
        <v>#NUM!</v>
      </c>
      <c r="K121" s="288" t="e">
        <f t="shared" si="16"/>
        <v>#NUM!</v>
      </c>
      <c r="L121" s="288" t="e">
        <f t="shared" si="17"/>
        <v>#NUM!</v>
      </c>
      <c r="M121" s="288" t="e">
        <f t="shared" si="18"/>
        <v>#NUM!</v>
      </c>
      <c r="N121" s="288" t="e">
        <f t="shared" si="19"/>
        <v>#NUM!</v>
      </c>
      <c r="O121" s="307" t="e">
        <f t="shared" si="20"/>
        <v>#NUM!</v>
      </c>
      <c r="P121" s="289" t="e">
        <f t="shared" si="21"/>
        <v>#NUM!</v>
      </c>
    </row>
    <row r="123" spans="1:16" ht="13.15">
      <c r="A123" s="293"/>
      <c r="B123" s="4"/>
      <c r="C123" s="138" t="s">
        <v>44</v>
      </c>
      <c r="D123" s="146"/>
      <c r="E123" s="298"/>
      <c r="F123" s="146" t="s">
        <v>44</v>
      </c>
      <c r="G123" s="137"/>
      <c r="H123" s="418" t="s">
        <v>188</v>
      </c>
      <c r="I123" s="419"/>
      <c r="J123" s="419"/>
      <c r="K123" s="419"/>
      <c r="L123" s="419"/>
      <c r="M123" s="419"/>
      <c r="N123" s="419"/>
      <c r="O123" s="419"/>
      <c r="P123" s="420"/>
    </row>
    <row r="124" spans="1:16" ht="13.15">
      <c r="A124" s="294"/>
      <c r="B124" s="295"/>
      <c r="C124" s="157" t="s">
        <v>41</v>
      </c>
      <c r="D124" s="141"/>
      <c r="E124" s="299" t="s">
        <v>5</v>
      </c>
      <c r="F124" s="141" t="s">
        <v>46</v>
      </c>
      <c r="G124" s="139"/>
      <c r="H124" s="301" t="s">
        <v>67</v>
      </c>
      <c r="I124" s="302" t="s">
        <v>69</v>
      </c>
      <c r="J124" s="302" t="s">
        <v>92</v>
      </c>
      <c r="K124" s="302" t="s">
        <v>94</v>
      </c>
      <c r="L124" s="302" t="s">
        <v>155</v>
      </c>
      <c r="M124" s="302" t="s">
        <v>96</v>
      </c>
      <c r="N124" s="302" t="s">
        <v>10</v>
      </c>
      <c r="O124" s="306" t="s">
        <v>107</v>
      </c>
      <c r="P124" s="303" t="s">
        <v>5</v>
      </c>
    </row>
    <row r="125" spans="1:16" ht="13.15">
      <c r="A125" s="140"/>
      <c r="B125" s="296"/>
      <c r="C125" s="157" t="s">
        <v>42</v>
      </c>
      <c r="D125" s="141" t="s">
        <v>61</v>
      </c>
      <c r="E125" s="299" t="s">
        <v>42</v>
      </c>
      <c r="F125" s="141" t="s">
        <v>42</v>
      </c>
      <c r="G125" s="139" t="s">
        <v>106</v>
      </c>
      <c r="H125" s="157" t="s">
        <v>68</v>
      </c>
      <c r="I125" s="141" t="s">
        <v>68</v>
      </c>
      <c r="J125" s="233" t="s">
        <v>93</v>
      </c>
      <c r="K125" s="233" t="s">
        <v>95</v>
      </c>
      <c r="L125" s="141" t="s">
        <v>156</v>
      </c>
      <c r="M125" s="141" t="s">
        <v>97</v>
      </c>
      <c r="N125" s="141" t="s">
        <v>68</v>
      </c>
      <c r="O125" s="234" t="s">
        <v>108</v>
      </c>
      <c r="P125" s="139" t="s">
        <v>99</v>
      </c>
    </row>
    <row r="126" spans="1:16" ht="13.15">
      <c r="A126" s="180"/>
      <c r="B126" s="296"/>
      <c r="C126" s="157" t="s">
        <v>43</v>
      </c>
      <c r="D126" s="141" t="s">
        <v>31</v>
      </c>
      <c r="E126" s="299" t="s">
        <v>45</v>
      </c>
      <c r="F126" s="141" t="s">
        <v>43</v>
      </c>
      <c r="G126" s="139" t="s">
        <v>104</v>
      </c>
      <c r="H126" s="157" t="s">
        <v>84</v>
      </c>
      <c r="I126" s="141" t="s">
        <v>84</v>
      </c>
      <c r="J126" s="233" t="s">
        <v>84</v>
      </c>
      <c r="K126" s="233" t="s">
        <v>84</v>
      </c>
      <c r="L126" s="141" t="s">
        <v>84</v>
      </c>
      <c r="M126" s="141" t="s">
        <v>84</v>
      </c>
      <c r="N126" s="141" t="s">
        <v>98</v>
      </c>
      <c r="O126" s="234" t="s">
        <v>109</v>
      </c>
      <c r="P126" s="139" t="s">
        <v>70</v>
      </c>
    </row>
    <row r="127" spans="1:16" ht="13.15">
      <c r="A127" s="142" t="s">
        <v>6</v>
      </c>
      <c r="B127" s="297" t="s">
        <v>13</v>
      </c>
      <c r="C127" s="214" t="s">
        <v>52</v>
      </c>
      <c r="D127" s="243" t="s">
        <v>52</v>
      </c>
      <c r="E127" s="300" t="s">
        <v>53</v>
      </c>
      <c r="F127" s="243" t="s">
        <v>52</v>
      </c>
      <c r="G127" s="210" t="s">
        <v>105</v>
      </c>
      <c r="H127" s="304" t="s">
        <v>77</v>
      </c>
      <c r="I127" s="212" t="s">
        <v>77</v>
      </c>
      <c r="J127" s="305" t="s">
        <v>77</v>
      </c>
      <c r="K127" s="305" t="s">
        <v>77</v>
      </c>
      <c r="L127" s="243" t="s">
        <v>77</v>
      </c>
      <c r="M127" s="243" t="s">
        <v>77</v>
      </c>
      <c r="N127" s="243" t="s">
        <v>77</v>
      </c>
      <c r="O127" s="235" t="s">
        <v>77</v>
      </c>
      <c r="P127" s="210" t="s">
        <v>77</v>
      </c>
    </row>
    <row r="128" spans="1:16" s="115" customFormat="1" ht="13.15">
      <c r="A128" s="312" t="s">
        <v>110</v>
      </c>
      <c r="B128" s="313">
        <f>PILONDate</f>
        <v>44287</v>
      </c>
      <c r="C128" s="310" t="s">
        <v>111</v>
      </c>
      <c r="D128" s="311"/>
      <c r="E128" s="314"/>
      <c r="F128" s="311"/>
      <c r="G128" s="311"/>
      <c r="H128" s="310"/>
      <c r="I128" s="308"/>
      <c r="J128" s="309"/>
      <c r="K128" s="177"/>
      <c r="L128" s="176"/>
      <c r="M128" s="176"/>
      <c r="N128" s="315" t="s">
        <v>78</v>
      </c>
      <c r="O128" s="471" t="e">
        <f>NPV(DiscountRate/12,P129:P188)</f>
        <v>#NUM!</v>
      </c>
      <c r="P128" s="472"/>
    </row>
    <row r="129" spans="1:16">
      <c r="A129" s="148" t="e">
        <f>A62</f>
        <v>#NUM!</v>
      </c>
      <c r="B129" s="290" t="e">
        <f>B62</f>
        <v>#NUM!</v>
      </c>
      <c r="C129" s="275" t="e">
        <f>'A4 Demands'!C48</f>
        <v>#NUM!</v>
      </c>
      <c r="D129" s="276" t="e">
        <f>'A4 Demands'!K48</f>
        <v>#NUM!</v>
      </c>
      <c r="E129" s="277" t="e">
        <f t="shared" ref="E129:E160" si="22">C129*(DATE(YEAR(B129),MONTH(B129)+1,1)-B129)*24*F$53</f>
        <v>#NUM!</v>
      </c>
      <c r="F129" s="132" t="e">
        <f t="shared" ref="F129:F160" si="23">C129*F$52</f>
        <v>#NUM!</v>
      </c>
      <c r="G129" s="278" t="e">
        <f>IF(B129&lt;EffectiveWithPILON,VLOOKUP(A129,'A1 Contract'!$A$55:$I$64,7,FALSE),VLOOKUP(A129,'A1 Contract'!$A$55:$I$64,4,FALSE))</f>
        <v>#NUM!</v>
      </c>
      <c r="H129" s="244" t="e">
        <f t="shared" ref="H129:H160" si="24">IF(B62&lt;DATE(YEAR(PILONDate),MONTH(PILONDate),1),"",(F129*$E$30)+(E129*$E$31))</f>
        <v>#NUM!</v>
      </c>
      <c r="I129" s="245" t="e">
        <f t="shared" ref="I129:I160" si="25">IF(B62&lt;DATE(YEAR(PILONDate),MONTH(PILONDate),1),"",(D129*$E$33)+(E129*$E$34))</f>
        <v>#NUM!</v>
      </c>
      <c r="J129" s="245" t="e">
        <f t="shared" ref="J129:J160" si="26">IF(B62&lt;DATE(YEAR(PILONDate),MONTH(PILONDate),1),"",IF(D129&gt;0,(G129*$E$36)+(MIN(7.5*G129,D129)*$E$37)+(MAX(MIN(9.5*G129,D129-(7.5*G129)),0)*$E$38)+(MAX(MIN(23*G129,D129-(17*G129)),0)*$E$39)+(MAX(D129-(40*G129),0)*$E$40),IF(OR(ReducedOrTerminated="Reduced",B129&lt;EffectiveWithPILON),G129*$E$36,0)))</f>
        <v>#NUM!</v>
      </c>
      <c r="K129" s="245" t="e">
        <f t="shared" ref="K129:K160" si="27">IF(B62&lt;DATE(YEAR(PILONDate),MONTH(PILONDate),1),"",E129*$F$42*$F$43)</f>
        <v>#NUM!</v>
      </c>
      <c r="L129" s="245" t="e">
        <f t="shared" ref="L129:L160" si="28">IF(B62&lt;DATE(YEAR(PILONDate),MONTH(PILONDate),1),"",E129*$F$45)</f>
        <v>#NUM!</v>
      </c>
      <c r="M129" s="245" t="e">
        <f t="shared" ref="M129:M160" si="29">IF(B62&lt;DATE(YEAR(PILONDate),MONTH(PILONDate),1),"",E129*$F$47)</f>
        <v>#NUM!</v>
      </c>
      <c r="N129" s="245" t="e">
        <f t="shared" ref="N129:N160" si="30">IF(B62&lt;DATE(YEAR(PILONDate),MONTH(PILONDate),1),"",C129*$F$49)</f>
        <v>#NUM!</v>
      </c>
      <c r="O129" s="246" t="e">
        <f t="shared" ref="O129:O160" si="31">IF(B62&lt;DATE(YEAR(PILONDate),MONTH(PILONDate),1),"",IF(ReceivePSC="Yes",IF(D129&gt;0,(G129*$G$36)+(MIN(7.5*G129,D129)*$G$37)+(MAX(MIN(9.5*G129,D129-(7.5*G129)),0)*$G$38)+(MAX(MIN(23*G129,D129-(17*G129)),0)*$G$39)+(MAX(D129-(40*G129),0)*$G$40),0),0))</f>
        <v>#NUM!</v>
      </c>
      <c r="P129" s="247" t="e">
        <f t="shared" ref="P129:P160" si="32">IF(B62&lt;DATE(YEAR(PILONDate),MONTH(PILONDate),1),"",SUM(H129:O129))</f>
        <v>#NUM!</v>
      </c>
    </row>
    <row r="130" spans="1:16">
      <c r="A130" s="149" t="e">
        <f t="shared" ref="A130:B130" si="33">A63</f>
        <v>#NUM!</v>
      </c>
      <c r="B130" s="291" t="e">
        <f t="shared" si="33"/>
        <v>#NUM!</v>
      </c>
      <c r="C130" s="279" t="e">
        <f>'A4 Demands'!C49</f>
        <v>#NUM!</v>
      </c>
      <c r="D130" s="280" t="e">
        <f>'A4 Demands'!K49</f>
        <v>#NUM!</v>
      </c>
      <c r="E130" s="281" t="e">
        <f t="shared" si="22"/>
        <v>#NUM!</v>
      </c>
      <c r="F130" s="134" t="e">
        <f t="shared" si="23"/>
        <v>#NUM!</v>
      </c>
      <c r="G130" s="282" t="e">
        <f>IF(B130&lt;EffectiveWithPILON,VLOOKUP(A130,'A1 Contract'!$A$55:$I$64,7,FALSE),VLOOKUP(A130,'A1 Contract'!$A$55:$I$64,4,FALSE))</f>
        <v>#NUM!</v>
      </c>
      <c r="H130" s="248" t="e">
        <f t="shared" si="24"/>
        <v>#NUM!</v>
      </c>
      <c r="I130" s="249" t="e">
        <f t="shared" si="25"/>
        <v>#NUM!</v>
      </c>
      <c r="J130" s="249" t="e">
        <f t="shared" si="26"/>
        <v>#NUM!</v>
      </c>
      <c r="K130" s="249" t="e">
        <f t="shared" si="27"/>
        <v>#NUM!</v>
      </c>
      <c r="L130" s="249" t="e">
        <f t="shared" si="28"/>
        <v>#NUM!</v>
      </c>
      <c r="M130" s="249" t="e">
        <f t="shared" si="29"/>
        <v>#NUM!</v>
      </c>
      <c r="N130" s="249" t="e">
        <f t="shared" si="30"/>
        <v>#NUM!</v>
      </c>
      <c r="O130" s="250" t="e">
        <f t="shared" si="31"/>
        <v>#NUM!</v>
      </c>
      <c r="P130" s="251" t="e">
        <f t="shared" si="32"/>
        <v>#NUM!</v>
      </c>
    </row>
    <row r="131" spans="1:16">
      <c r="A131" s="149" t="e">
        <f t="shared" ref="A131:B131" si="34">A64</f>
        <v>#NUM!</v>
      </c>
      <c r="B131" s="291" t="e">
        <f t="shared" si="34"/>
        <v>#NUM!</v>
      </c>
      <c r="C131" s="279" t="e">
        <f>'A4 Demands'!C50</f>
        <v>#NUM!</v>
      </c>
      <c r="D131" s="280" t="e">
        <f>'A4 Demands'!K50</f>
        <v>#NUM!</v>
      </c>
      <c r="E131" s="281" t="e">
        <f t="shared" si="22"/>
        <v>#NUM!</v>
      </c>
      <c r="F131" s="134" t="e">
        <f t="shared" si="23"/>
        <v>#NUM!</v>
      </c>
      <c r="G131" s="282" t="e">
        <f>IF(B131&lt;EffectiveWithPILON,VLOOKUP(A131,'A1 Contract'!$A$55:$I$64,7,FALSE),VLOOKUP(A131,'A1 Contract'!$A$55:$I$64,4,FALSE))</f>
        <v>#NUM!</v>
      </c>
      <c r="H131" s="248" t="e">
        <f t="shared" si="24"/>
        <v>#NUM!</v>
      </c>
      <c r="I131" s="249" t="e">
        <f t="shared" si="25"/>
        <v>#NUM!</v>
      </c>
      <c r="J131" s="249" t="e">
        <f t="shared" si="26"/>
        <v>#NUM!</v>
      </c>
      <c r="K131" s="249" t="e">
        <f t="shared" si="27"/>
        <v>#NUM!</v>
      </c>
      <c r="L131" s="249" t="e">
        <f t="shared" si="28"/>
        <v>#NUM!</v>
      </c>
      <c r="M131" s="249" t="e">
        <f t="shared" si="29"/>
        <v>#NUM!</v>
      </c>
      <c r="N131" s="249" t="e">
        <f t="shared" si="30"/>
        <v>#NUM!</v>
      </c>
      <c r="O131" s="250" t="e">
        <f t="shared" si="31"/>
        <v>#NUM!</v>
      </c>
      <c r="P131" s="251" t="e">
        <f t="shared" si="32"/>
        <v>#NUM!</v>
      </c>
    </row>
    <row r="132" spans="1:16">
      <c r="A132" s="149" t="e">
        <f t="shared" ref="A132:B132" si="35">A65</f>
        <v>#NUM!</v>
      </c>
      <c r="B132" s="291" t="e">
        <f t="shared" si="35"/>
        <v>#NUM!</v>
      </c>
      <c r="C132" s="279" t="e">
        <f>'A4 Demands'!C51</f>
        <v>#NUM!</v>
      </c>
      <c r="D132" s="280" t="e">
        <f>'A4 Demands'!K51</f>
        <v>#NUM!</v>
      </c>
      <c r="E132" s="281" t="e">
        <f t="shared" si="22"/>
        <v>#NUM!</v>
      </c>
      <c r="F132" s="134" t="e">
        <f t="shared" si="23"/>
        <v>#NUM!</v>
      </c>
      <c r="G132" s="282" t="e">
        <f>IF(B132&lt;EffectiveWithPILON,VLOOKUP(A132,'A1 Contract'!$A$55:$I$64,7,FALSE),VLOOKUP(A132,'A1 Contract'!$A$55:$I$64,4,FALSE))</f>
        <v>#NUM!</v>
      </c>
      <c r="H132" s="248" t="e">
        <f t="shared" si="24"/>
        <v>#NUM!</v>
      </c>
      <c r="I132" s="249" t="e">
        <f t="shared" si="25"/>
        <v>#NUM!</v>
      </c>
      <c r="J132" s="249" t="e">
        <f t="shared" si="26"/>
        <v>#NUM!</v>
      </c>
      <c r="K132" s="249" t="e">
        <f t="shared" si="27"/>
        <v>#NUM!</v>
      </c>
      <c r="L132" s="249" t="e">
        <f t="shared" si="28"/>
        <v>#NUM!</v>
      </c>
      <c r="M132" s="249" t="e">
        <f t="shared" si="29"/>
        <v>#NUM!</v>
      </c>
      <c r="N132" s="249" t="e">
        <f t="shared" si="30"/>
        <v>#NUM!</v>
      </c>
      <c r="O132" s="250" t="e">
        <f t="shared" si="31"/>
        <v>#NUM!</v>
      </c>
      <c r="P132" s="251" t="e">
        <f t="shared" si="32"/>
        <v>#NUM!</v>
      </c>
    </row>
    <row r="133" spans="1:16">
      <c r="A133" s="149" t="e">
        <f t="shared" ref="A133:B133" si="36">A66</f>
        <v>#NUM!</v>
      </c>
      <c r="B133" s="291" t="e">
        <f t="shared" si="36"/>
        <v>#NUM!</v>
      </c>
      <c r="C133" s="279" t="e">
        <f>'A4 Demands'!C52</f>
        <v>#NUM!</v>
      </c>
      <c r="D133" s="280" t="e">
        <f>'A4 Demands'!K52</f>
        <v>#NUM!</v>
      </c>
      <c r="E133" s="281" t="e">
        <f t="shared" si="22"/>
        <v>#NUM!</v>
      </c>
      <c r="F133" s="134" t="e">
        <f t="shared" si="23"/>
        <v>#NUM!</v>
      </c>
      <c r="G133" s="282" t="e">
        <f>IF(B133&lt;EffectiveWithPILON,VLOOKUP(A133,'A1 Contract'!$A$55:$I$64,7,FALSE),VLOOKUP(A133,'A1 Contract'!$A$55:$I$64,4,FALSE))</f>
        <v>#NUM!</v>
      </c>
      <c r="H133" s="248" t="e">
        <f t="shared" si="24"/>
        <v>#NUM!</v>
      </c>
      <c r="I133" s="249" t="e">
        <f t="shared" si="25"/>
        <v>#NUM!</v>
      </c>
      <c r="J133" s="249" t="e">
        <f t="shared" si="26"/>
        <v>#NUM!</v>
      </c>
      <c r="K133" s="249" t="e">
        <f t="shared" si="27"/>
        <v>#NUM!</v>
      </c>
      <c r="L133" s="249" t="e">
        <f t="shared" si="28"/>
        <v>#NUM!</v>
      </c>
      <c r="M133" s="249" t="e">
        <f t="shared" si="29"/>
        <v>#NUM!</v>
      </c>
      <c r="N133" s="249" t="e">
        <f t="shared" si="30"/>
        <v>#NUM!</v>
      </c>
      <c r="O133" s="250" t="e">
        <f t="shared" si="31"/>
        <v>#NUM!</v>
      </c>
      <c r="P133" s="251" t="e">
        <f t="shared" si="32"/>
        <v>#NUM!</v>
      </c>
    </row>
    <row r="134" spans="1:16">
      <c r="A134" s="149" t="e">
        <f t="shared" ref="A134:B134" si="37">A67</f>
        <v>#NUM!</v>
      </c>
      <c r="B134" s="291" t="e">
        <f t="shared" si="37"/>
        <v>#NUM!</v>
      </c>
      <c r="C134" s="279" t="e">
        <f>'A4 Demands'!C53</f>
        <v>#NUM!</v>
      </c>
      <c r="D134" s="280" t="e">
        <f>'A4 Demands'!K53</f>
        <v>#NUM!</v>
      </c>
      <c r="E134" s="281" t="e">
        <f t="shared" si="22"/>
        <v>#NUM!</v>
      </c>
      <c r="F134" s="134" t="e">
        <f t="shared" si="23"/>
        <v>#NUM!</v>
      </c>
      <c r="G134" s="282" t="e">
        <f>IF(B134&lt;EffectiveWithPILON,VLOOKUP(A134,'A1 Contract'!$A$55:$I$64,7,FALSE),VLOOKUP(A134,'A1 Contract'!$A$55:$I$64,4,FALSE))</f>
        <v>#NUM!</v>
      </c>
      <c r="H134" s="248" t="e">
        <f t="shared" si="24"/>
        <v>#NUM!</v>
      </c>
      <c r="I134" s="249" t="e">
        <f t="shared" si="25"/>
        <v>#NUM!</v>
      </c>
      <c r="J134" s="249" t="e">
        <f t="shared" si="26"/>
        <v>#NUM!</v>
      </c>
      <c r="K134" s="249" t="e">
        <f t="shared" si="27"/>
        <v>#NUM!</v>
      </c>
      <c r="L134" s="249" t="e">
        <f t="shared" si="28"/>
        <v>#NUM!</v>
      </c>
      <c r="M134" s="249" t="e">
        <f t="shared" si="29"/>
        <v>#NUM!</v>
      </c>
      <c r="N134" s="249" t="e">
        <f t="shared" si="30"/>
        <v>#NUM!</v>
      </c>
      <c r="O134" s="250" t="e">
        <f t="shared" si="31"/>
        <v>#NUM!</v>
      </c>
      <c r="P134" s="251" t="e">
        <f t="shared" si="32"/>
        <v>#NUM!</v>
      </c>
    </row>
    <row r="135" spans="1:16">
      <c r="A135" s="149" t="e">
        <f t="shared" ref="A135:B135" si="38">A68</f>
        <v>#NUM!</v>
      </c>
      <c r="B135" s="291" t="e">
        <f t="shared" si="38"/>
        <v>#NUM!</v>
      </c>
      <c r="C135" s="279" t="e">
        <f>'A4 Demands'!C54</f>
        <v>#NUM!</v>
      </c>
      <c r="D135" s="280" t="e">
        <f>'A4 Demands'!K54</f>
        <v>#NUM!</v>
      </c>
      <c r="E135" s="281" t="e">
        <f t="shared" si="22"/>
        <v>#NUM!</v>
      </c>
      <c r="F135" s="134" t="e">
        <f t="shared" si="23"/>
        <v>#NUM!</v>
      </c>
      <c r="G135" s="282" t="e">
        <f>IF(B135&lt;EffectiveWithPILON,VLOOKUP(A135,'A1 Contract'!$A$55:$I$64,7,FALSE),VLOOKUP(A135,'A1 Contract'!$A$55:$I$64,4,FALSE))</f>
        <v>#NUM!</v>
      </c>
      <c r="H135" s="248" t="e">
        <f t="shared" si="24"/>
        <v>#NUM!</v>
      </c>
      <c r="I135" s="249" t="e">
        <f t="shared" si="25"/>
        <v>#NUM!</v>
      </c>
      <c r="J135" s="249" t="e">
        <f t="shared" si="26"/>
        <v>#NUM!</v>
      </c>
      <c r="K135" s="249" t="e">
        <f t="shared" si="27"/>
        <v>#NUM!</v>
      </c>
      <c r="L135" s="249" t="e">
        <f t="shared" si="28"/>
        <v>#NUM!</v>
      </c>
      <c r="M135" s="249" t="e">
        <f t="shared" si="29"/>
        <v>#NUM!</v>
      </c>
      <c r="N135" s="249" t="e">
        <f t="shared" si="30"/>
        <v>#NUM!</v>
      </c>
      <c r="O135" s="250" t="e">
        <f t="shared" si="31"/>
        <v>#NUM!</v>
      </c>
      <c r="P135" s="251" t="e">
        <f t="shared" si="32"/>
        <v>#NUM!</v>
      </c>
    </row>
    <row r="136" spans="1:16">
      <c r="A136" s="149" t="e">
        <f t="shared" ref="A136:B136" si="39">A69</f>
        <v>#NUM!</v>
      </c>
      <c r="B136" s="291" t="e">
        <f t="shared" si="39"/>
        <v>#NUM!</v>
      </c>
      <c r="C136" s="279" t="e">
        <f>'A4 Demands'!C55</f>
        <v>#NUM!</v>
      </c>
      <c r="D136" s="280" t="e">
        <f>'A4 Demands'!K55</f>
        <v>#NUM!</v>
      </c>
      <c r="E136" s="281" t="e">
        <f t="shared" si="22"/>
        <v>#NUM!</v>
      </c>
      <c r="F136" s="134" t="e">
        <f t="shared" si="23"/>
        <v>#NUM!</v>
      </c>
      <c r="G136" s="282" t="e">
        <f>IF(B136&lt;EffectiveWithPILON,VLOOKUP(A136,'A1 Contract'!$A$55:$I$64,7,FALSE),VLOOKUP(A136,'A1 Contract'!$A$55:$I$64,4,FALSE))</f>
        <v>#NUM!</v>
      </c>
      <c r="H136" s="248" t="e">
        <f t="shared" si="24"/>
        <v>#NUM!</v>
      </c>
      <c r="I136" s="249" t="e">
        <f t="shared" si="25"/>
        <v>#NUM!</v>
      </c>
      <c r="J136" s="249" t="e">
        <f t="shared" si="26"/>
        <v>#NUM!</v>
      </c>
      <c r="K136" s="249" t="e">
        <f t="shared" si="27"/>
        <v>#NUM!</v>
      </c>
      <c r="L136" s="249" t="e">
        <f t="shared" si="28"/>
        <v>#NUM!</v>
      </c>
      <c r="M136" s="249" t="e">
        <f t="shared" si="29"/>
        <v>#NUM!</v>
      </c>
      <c r="N136" s="249" t="e">
        <f t="shared" si="30"/>
        <v>#NUM!</v>
      </c>
      <c r="O136" s="250" t="e">
        <f t="shared" si="31"/>
        <v>#NUM!</v>
      </c>
      <c r="P136" s="251" t="e">
        <f t="shared" si="32"/>
        <v>#NUM!</v>
      </c>
    </row>
    <row r="137" spans="1:16">
      <c r="A137" s="149" t="e">
        <f t="shared" ref="A137:B137" si="40">A70</f>
        <v>#NUM!</v>
      </c>
      <c r="B137" s="291" t="e">
        <f t="shared" si="40"/>
        <v>#NUM!</v>
      </c>
      <c r="C137" s="279" t="e">
        <f>'A4 Demands'!C56</f>
        <v>#NUM!</v>
      </c>
      <c r="D137" s="280" t="e">
        <f>'A4 Demands'!K56</f>
        <v>#NUM!</v>
      </c>
      <c r="E137" s="281" t="e">
        <f t="shared" si="22"/>
        <v>#NUM!</v>
      </c>
      <c r="F137" s="134" t="e">
        <f t="shared" si="23"/>
        <v>#NUM!</v>
      </c>
      <c r="G137" s="282" t="e">
        <f>IF(B137&lt;EffectiveWithPILON,VLOOKUP(A137,'A1 Contract'!$A$55:$I$64,7,FALSE),VLOOKUP(A137,'A1 Contract'!$A$55:$I$64,4,FALSE))</f>
        <v>#NUM!</v>
      </c>
      <c r="H137" s="248" t="e">
        <f t="shared" si="24"/>
        <v>#NUM!</v>
      </c>
      <c r="I137" s="249" t="e">
        <f t="shared" si="25"/>
        <v>#NUM!</v>
      </c>
      <c r="J137" s="249" t="e">
        <f t="shared" si="26"/>
        <v>#NUM!</v>
      </c>
      <c r="K137" s="249" t="e">
        <f t="shared" si="27"/>
        <v>#NUM!</v>
      </c>
      <c r="L137" s="249" t="e">
        <f t="shared" si="28"/>
        <v>#NUM!</v>
      </c>
      <c r="M137" s="249" t="e">
        <f t="shared" si="29"/>
        <v>#NUM!</v>
      </c>
      <c r="N137" s="249" t="e">
        <f t="shared" si="30"/>
        <v>#NUM!</v>
      </c>
      <c r="O137" s="250" t="e">
        <f t="shared" si="31"/>
        <v>#NUM!</v>
      </c>
      <c r="P137" s="251" t="e">
        <f t="shared" si="32"/>
        <v>#NUM!</v>
      </c>
    </row>
    <row r="138" spans="1:16">
      <c r="A138" s="149" t="e">
        <f t="shared" ref="A138:B138" si="41">A71</f>
        <v>#NUM!</v>
      </c>
      <c r="B138" s="291" t="e">
        <f t="shared" si="41"/>
        <v>#NUM!</v>
      </c>
      <c r="C138" s="279" t="e">
        <f>'A4 Demands'!C57</f>
        <v>#NUM!</v>
      </c>
      <c r="D138" s="280" t="e">
        <f>'A4 Demands'!K57</f>
        <v>#NUM!</v>
      </c>
      <c r="E138" s="281" t="e">
        <f t="shared" si="22"/>
        <v>#NUM!</v>
      </c>
      <c r="F138" s="134" t="e">
        <f t="shared" si="23"/>
        <v>#NUM!</v>
      </c>
      <c r="G138" s="282" t="e">
        <f>IF(B138&lt;EffectiveWithPILON,VLOOKUP(A138,'A1 Contract'!$A$55:$I$64,7,FALSE),VLOOKUP(A138,'A1 Contract'!$A$55:$I$64,4,FALSE))</f>
        <v>#NUM!</v>
      </c>
      <c r="H138" s="248" t="e">
        <f t="shared" si="24"/>
        <v>#NUM!</v>
      </c>
      <c r="I138" s="249" t="e">
        <f t="shared" si="25"/>
        <v>#NUM!</v>
      </c>
      <c r="J138" s="249" t="e">
        <f t="shared" si="26"/>
        <v>#NUM!</v>
      </c>
      <c r="K138" s="249" t="e">
        <f t="shared" si="27"/>
        <v>#NUM!</v>
      </c>
      <c r="L138" s="249" t="e">
        <f t="shared" si="28"/>
        <v>#NUM!</v>
      </c>
      <c r="M138" s="249" t="e">
        <f t="shared" si="29"/>
        <v>#NUM!</v>
      </c>
      <c r="N138" s="249" t="e">
        <f t="shared" si="30"/>
        <v>#NUM!</v>
      </c>
      <c r="O138" s="250" t="e">
        <f t="shared" si="31"/>
        <v>#NUM!</v>
      </c>
      <c r="P138" s="251" t="e">
        <f t="shared" si="32"/>
        <v>#NUM!</v>
      </c>
    </row>
    <row r="139" spans="1:16">
      <c r="A139" s="149" t="e">
        <f t="shared" ref="A139:B139" si="42">A72</f>
        <v>#NUM!</v>
      </c>
      <c r="B139" s="291" t="e">
        <f t="shared" si="42"/>
        <v>#NUM!</v>
      </c>
      <c r="C139" s="279" t="e">
        <f>'A4 Demands'!C58</f>
        <v>#NUM!</v>
      </c>
      <c r="D139" s="280" t="e">
        <f>'A4 Demands'!K58</f>
        <v>#NUM!</v>
      </c>
      <c r="E139" s="281" t="e">
        <f t="shared" si="22"/>
        <v>#NUM!</v>
      </c>
      <c r="F139" s="134" t="e">
        <f t="shared" si="23"/>
        <v>#NUM!</v>
      </c>
      <c r="G139" s="282" t="e">
        <f>IF(B139&lt;EffectiveWithPILON,VLOOKUP(A139,'A1 Contract'!$A$55:$I$64,7,FALSE),VLOOKUP(A139,'A1 Contract'!$A$55:$I$64,4,FALSE))</f>
        <v>#NUM!</v>
      </c>
      <c r="H139" s="248" t="e">
        <f t="shared" si="24"/>
        <v>#NUM!</v>
      </c>
      <c r="I139" s="249" t="e">
        <f t="shared" si="25"/>
        <v>#NUM!</v>
      </c>
      <c r="J139" s="249" t="e">
        <f t="shared" si="26"/>
        <v>#NUM!</v>
      </c>
      <c r="K139" s="249" t="e">
        <f t="shared" si="27"/>
        <v>#NUM!</v>
      </c>
      <c r="L139" s="249" t="e">
        <f t="shared" si="28"/>
        <v>#NUM!</v>
      </c>
      <c r="M139" s="249" t="e">
        <f t="shared" si="29"/>
        <v>#NUM!</v>
      </c>
      <c r="N139" s="249" t="e">
        <f t="shared" si="30"/>
        <v>#NUM!</v>
      </c>
      <c r="O139" s="250" t="e">
        <f t="shared" si="31"/>
        <v>#NUM!</v>
      </c>
      <c r="P139" s="251" t="e">
        <f t="shared" si="32"/>
        <v>#NUM!</v>
      </c>
    </row>
    <row r="140" spans="1:16">
      <c r="A140" s="149" t="e">
        <f t="shared" ref="A140:B140" si="43">A73</f>
        <v>#NUM!</v>
      </c>
      <c r="B140" s="291" t="e">
        <f t="shared" si="43"/>
        <v>#NUM!</v>
      </c>
      <c r="C140" s="279" t="e">
        <f>'A4 Demands'!C59</f>
        <v>#NUM!</v>
      </c>
      <c r="D140" s="280" t="e">
        <f>'A4 Demands'!K59</f>
        <v>#NUM!</v>
      </c>
      <c r="E140" s="281" t="e">
        <f t="shared" si="22"/>
        <v>#NUM!</v>
      </c>
      <c r="F140" s="134" t="e">
        <f t="shared" si="23"/>
        <v>#NUM!</v>
      </c>
      <c r="G140" s="282" t="e">
        <f>IF(B140&lt;EffectiveWithPILON,VLOOKUP(A140,'A1 Contract'!$A$55:$I$64,7,FALSE),VLOOKUP(A140,'A1 Contract'!$A$55:$I$64,4,FALSE))</f>
        <v>#NUM!</v>
      </c>
      <c r="H140" s="248" t="e">
        <f t="shared" si="24"/>
        <v>#NUM!</v>
      </c>
      <c r="I140" s="249" t="e">
        <f t="shared" si="25"/>
        <v>#NUM!</v>
      </c>
      <c r="J140" s="249" t="e">
        <f t="shared" si="26"/>
        <v>#NUM!</v>
      </c>
      <c r="K140" s="249" t="e">
        <f t="shared" si="27"/>
        <v>#NUM!</v>
      </c>
      <c r="L140" s="249" t="e">
        <f t="shared" si="28"/>
        <v>#NUM!</v>
      </c>
      <c r="M140" s="249" t="e">
        <f t="shared" si="29"/>
        <v>#NUM!</v>
      </c>
      <c r="N140" s="249" t="e">
        <f t="shared" si="30"/>
        <v>#NUM!</v>
      </c>
      <c r="O140" s="250" t="e">
        <f t="shared" si="31"/>
        <v>#NUM!</v>
      </c>
      <c r="P140" s="251" t="e">
        <f t="shared" si="32"/>
        <v>#NUM!</v>
      </c>
    </row>
    <row r="141" spans="1:16">
      <c r="A141" s="149" t="e">
        <f t="shared" ref="A141:B141" si="44">A74</f>
        <v>#NUM!</v>
      </c>
      <c r="B141" s="291" t="e">
        <f t="shared" si="44"/>
        <v>#NUM!</v>
      </c>
      <c r="C141" s="279" t="e">
        <f>'A4 Demands'!C60</f>
        <v>#NUM!</v>
      </c>
      <c r="D141" s="280" t="e">
        <f>'A4 Demands'!K60</f>
        <v>#NUM!</v>
      </c>
      <c r="E141" s="281" t="e">
        <f t="shared" si="22"/>
        <v>#NUM!</v>
      </c>
      <c r="F141" s="134" t="e">
        <f t="shared" si="23"/>
        <v>#NUM!</v>
      </c>
      <c r="G141" s="282" t="e">
        <f>IF(B141&lt;EffectiveWithPILON,VLOOKUP(A141,'A1 Contract'!$A$55:$I$64,7,FALSE),VLOOKUP(A141,'A1 Contract'!$A$55:$I$64,4,FALSE))</f>
        <v>#NUM!</v>
      </c>
      <c r="H141" s="248" t="e">
        <f t="shared" si="24"/>
        <v>#NUM!</v>
      </c>
      <c r="I141" s="249" t="e">
        <f t="shared" si="25"/>
        <v>#NUM!</v>
      </c>
      <c r="J141" s="249" t="e">
        <f t="shared" si="26"/>
        <v>#NUM!</v>
      </c>
      <c r="K141" s="249" t="e">
        <f t="shared" si="27"/>
        <v>#NUM!</v>
      </c>
      <c r="L141" s="249" t="e">
        <f t="shared" si="28"/>
        <v>#NUM!</v>
      </c>
      <c r="M141" s="249" t="e">
        <f t="shared" si="29"/>
        <v>#NUM!</v>
      </c>
      <c r="N141" s="249" t="e">
        <f t="shared" si="30"/>
        <v>#NUM!</v>
      </c>
      <c r="O141" s="250" t="e">
        <f t="shared" si="31"/>
        <v>#NUM!</v>
      </c>
      <c r="P141" s="251" t="e">
        <f t="shared" si="32"/>
        <v>#NUM!</v>
      </c>
    </row>
    <row r="142" spans="1:16">
      <c r="A142" s="149" t="e">
        <f t="shared" ref="A142:B142" si="45">A75</f>
        <v>#NUM!</v>
      </c>
      <c r="B142" s="291" t="e">
        <f t="shared" si="45"/>
        <v>#NUM!</v>
      </c>
      <c r="C142" s="279" t="e">
        <f>'A4 Demands'!C61</f>
        <v>#NUM!</v>
      </c>
      <c r="D142" s="280" t="e">
        <f>'A4 Demands'!K61</f>
        <v>#NUM!</v>
      </c>
      <c r="E142" s="281" t="e">
        <f t="shared" si="22"/>
        <v>#NUM!</v>
      </c>
      <c r="F142" s="134" t="e">
        <f t="shared" si="23"/>
        <v>#NUM!</v>
      </c>
      <c r="G142" s="282" t="e">
        <f>IF(B142&lt;EffectiveWithPILON,VLOOKUP(A142,'A1 Contract'!$A$55:$I$64,7,FALSE),VLOOKUP(A142,'A1 Contract'!$A$55:$I$64,4,FALSE))</f>
        <v>#NUM!</v>
      </c>
      <c r="H142" s="248" t="e">
        <f t="shared" si="24"/>
        <v>#NUM!</v>
      </c>
      <c r="I142" s="249" t="e">
        <f t="shared" si="25"/>
        <v>#NUM!</v>
      </c>
      <c r="J142" s="249" t="e">
        <f t="shared" si="26"/>
        <v>#NUM!</v>
      </c>
      <c r="K142" s="249" t="e">
        <f t="shared" si="27"/>
        <v>#NUM!</v>
      </c>
      <c r="L142" s="249" t="e">
        <f t="shared" si="28"/>
        <v>#NUM!</v>
      </c>
      <c r="M142" s="249" t="e">
        <f t="shared" si="29"/>
        <v>#NUM!</v>
      </c>
      <c r="N142" s="249" t="e">
        <f t="shared" si="30"/>
        <v>#NUM!</v>
      </c>
      <c r="O142" s="250" t="e">
        <f t="shared" si="31"/>
        <v>#NUM!</v>
      </c>
      <c r="P142" s="251" t="e">
        <f t="shared" si="32"/>
        <v>#NUM!</v>
      </c>
    </row>
    <row r="143" spans="1:16">
      <c r="A143" s="149" t="e">
        <f t="shared" ref="A143:B143" si="46">A76</f>
        <v>#NUM!</v>
      </c>
      <c r="B143" s="291" t="e">
        <f t="shared" si="46"/>
        <v>#NUM!</v>
      </c>
      <c r="C143" s="279" t="e">
        <f>'A4 Demands'!C62</f>
        <v>#NUM!</v>
      </c>
      <c r="D143" s="280" t="e">
        <f>'A4 Demands'!K62</f>
        <v>#NUM!</v>
      </c>
      <c r="E143" s="281" t="e">
        <f t="shared" si="22"/>
        <v>#NUM!</v>
      </c>
      <c r="F143" s="134" t="e">
        <f t="shared" si="23"/>
        <v>#NUM!</v>
      </c>
      <c r="G143" s="282" t="e">
        <f>IF(B143&lt;EffectiveWithPILON,VLOOKUP(A143,'A1 Contract'!$A$55:$I$64,7,FALSE),VLOOKUP(A143,'A1 Contract'!$A$55:$I$64,4,FALSE))</f>
        <v>#NUM!</v>
      </c>
      <c r="H143" s="248" t="e">
        <f t="shared" si="24"/>
        <v>#NUM!</v>
      </c>
      <c r="I143" s="249" t="e">
        <f t="shared" si="25"/>
        <v>#NUM!</v>
      </c>
      <c r="J143" s="249" t="e">
        <f t="shared" si="26"/>
        <v>#NUM!</v>
      </c>
      <c r="K143" s="249" t="e">
        <f t="shared" si="27"/>
        <v>#NUM!</v>
      </c>
      <c r="L143" s="249" t="e">
        <f t="shared" si="28"/>
        <v>#NUM!</v>
      </c>
      <c r="M143" s="249" t="e">
        <f t="shared" si="29"/>
        <v>#NUM!</v>
      </c>
      <c r="N143" s="249" t="e">
        <f t="shared" si="30"/>
        <v>#NUM!</v>
      </c>
      <c r="O143" s="250" t="e">
        <f t="shared" si="31"/>
        <v>#NUM!</v>
      </c>
      <c r="P143" s="251" t="e">
        <f t="shared" si="32"/>
        <v>#NUM!</v>
      </c>
    </row>
    <row r="144" spans="1:16">
      <c r="A144" s="149" t="e">
        <f t="shared" ref="A144:B144" si="47">A77</f>
        <v>#NUM!</v>
      </c>
      <c r="B144" s="291" t="e">
        <f t="shared" si="47"/>
        <v>#NUM!</v>
      </c>
      <c r="C144" s="279" t="e">
        <f>'A4 Demands'!C63</f>
        <v>#NUM!</v>
      </c>
      <c r="D144" s="280" t="e">
        <f>'A4 Demands'!K63</f>
        <v>#NUM!</v>
      </c>
      <c r="E144" s="281" t="e">
        <f t="shared" si="22"/>
        <v>#NUM!</v>
      </c>
      <c r="F144" s="134" t="e">
        <f t="shared" si="23"/>
        <v>#NUM!</v>
      </c>
      <c r="G144" s="282" t="e">
        <f>IF(B144&lt;EffectiveWithPILON,VLOOKUP(A144,'A1 Contract'!$A$55:$I$64,7,FALSE),VLOOKUP(A144,'A1 Contract'!$A$55:$I$64,4,FALSE))</f>
        <v>#NUM!</v>
      </c>
      <c r="H144" s="248" t="e">
        <f t="shared" si="24"/>
        <v>#NUM!</v>
      </c>
      <c r="I144" s="249" t="e">
        <f t="shared" si="25"/>
        <v>#NUM!</v>
      </c>
      <c r="J144" s="249" t="e">
        <f t="shared" si="26"/>
        <v>#NUM!</v>
      </c>
      <c r="K144" s="249" t="e">
        <f t="shared" si="27"/>
        <v>#NUM!</v>
      </c>
      <c r="L144" s="249" t="e">
        <f t="shared" si="28"/>
        <v>#NUM!</v>
      </c>
      <c r="M144" s="249" t="e">
        <f t="shared" si="29"/>
        <v>#NUM!</v>
      </c>
      <c r="N144" s="249" t="e">
        <f t="shared" si="30"/>
        <v>#NUM!</v>
      </c>
      <c r="O144" s="250" t="e">
        <f t="shared" si="31"/>
        <v>#NUM!</v>
      </c>
      <c r="P144" s="251" t="e">
        <f t="shared" si="32"/>
        <v>#NUM!</v>
      </c>
    </row>
    <row r="145" spans="1:16">
      <c r="A145" s="149" t="e">
        <f t="shared" ref="A145:B145" si="48">A78</f>
        <v>#NUM!</v>
      </c>
      <c r="B145" s="291" t="e">
        <f t="shared" si="48"/>
        <v>#NUM!</v>
      </c>
      <c r="C145" s="279" t="e">
        <f>'A4 Demands'!C64</f>
        <v>#NUM!</v>
      </c>
      <c r="D145" s="280" t="e">
        <f>'A4 Demands'!K64</f>
        <v>#NUM!</v>
      </c>
      <c r="E145" s="281" t="e">
        <f t="shared" si="22"/>
        <v>#NUM!</v>
      </c>
      <c r="F145" s="134" t="e">
        <f t="shared" si="23"/>
        <v>#NUM!</v>
      </c>
      <c r="G145" s="282" t="e">
        <f>IF(B145&lt;EffectiveWithPILON,VLOOKUP(A145,'A1 Contract'!$A$55:$I$64,7,FALSE),VLOOKUP(A145,'A1 Contract'!$A$55:$I$64,4,FALSE))</f>
        <v>#NUM!</v>
      </c>
      <c r="H145" s="248" t="e">
        <f t="shared" si="24"/>
        <v>#NUM!</v>
      </c>
      <c r="I145" s="249" t="e">
        <f t="shared" si="25"/>
        <v>#NUM!</v>
      </c>
      <c r="J145" s="249" t="e">
        <f t="shared" si="26"/>
        <v>#NUM!</v>
      </c>
      <c r="K145" s="249" t="e">
        <f t="shared" si="27"/>
        <v>#NUM!</v>
      </c>
      <c r="L145" s="249" t="e">
        <f t="shared" si="28"/>
        <v>#NUM!</v>
      </c>
      <c r="M145" s="249" t="e">
        <f t="shared" si="29"/>
        <v>#NUM!</v>
      </c>
      <c r="N145" s="249" t="e">
        <f t="shared" si="30"/>
        <v>#NUM!</v>
      </c>
      <c r="O145" s="250" t="e">
        <f t="shared" si="31"/>
        <v>#NUM!</v>
      </c>
      <c r="P145" s="251" t="e">
        <f t="shared" si="32"/>
        <v>#NUM!</v>
      </c>
    </row>
    <row r="146" spans="1:16">
      <c r="A146" s="149" t="e">
        <f t="shared" ref="A146:B146" si="49">A79</f>
        <v>#NUM!</v>
      </c>
      <c r="B146" s="291" t="e">
        <f t="shared" si="49"/>
        <v>#NUM!</v>
      </c>
      <c r="C146" s="279" t="e">
        <f>'A4 Demands'!C65</f>
        <v>#NUM!</v>
      </c>
      <c r="D146" s="280" t="e">
        <f>'A4 Demands'!K65</f>
        <v>#NUM!</v>
      </c>
      <c r="E146" s="281" t="e">
        <f t="shared" si="22"/>
        <v>#NUM!</v>
      </c>
      <c r="F146" s="134" t="e">
        <f t="shared" si="23"/>
        <v>#NUM!</v>
      </c>
      <c r="G146" s="282" t="e">
        <f>IF(B146&lt;EffectiveWithPILON,VLOOKUP(A146,'A1 Contract'!$A$55:$I$64,7,FALSE),VLOOKUP(A146,'A1 Contract'!$A$55:$I$64,4,FALSE))</f>
        <v>#NUM!</v>
      </c>
      <c r="H146" s="248" t="e">
        <f t="shared" si="24"/>
        <v>#NUM!</v>
      </c>
      <c r="I146" s="249" t="e">
        <f t="shared" si="25"/>
        <v>#NUM!</v>
      </c>
      <c r="J146" s="249" t="e">
        <f t="shared" si="26"/>
        <v>#NUM!</v>
      </c>
      <c r="K146" s="249" t="e">
        <f t="shared" si="27"/>
        <v>#NUM!</v>
      </c>
      <c r="L146" s="249" t="e">
        <f t="shared" si="28"/>
        <v>#NUM!</v>
      </c>
      <c r="M146" s="249" t="e">
        <f t="shared" si="29"/>
        <v>#NUM!</v>
      </c>
      <c r="N146" s="249" t="e">
        <f t="shared" si="30"/>
        <v>#NUM!</v>
      </c>
      <c r="O146" s="250" t="e">
        <f t="shared" si="31"/>
        <v>#NUM!</v>
      </c>
      <c r="P146" s="251" t="e">
        <f t="shared" si="32"/>
        <v>#NUM!</v>
      </c>
    </row>
    <row r="147" spans="1:16">
      <c r="A147" s="149" t="e">
        <f t="shared" ref="A147:B147" si="50">A80</f>
        <v>#NUM!</v>
      </c>
      <c r="B147" s="291" t="e">
        <f t="shared" si="50"/>
        <v>#NUM!</v>
      </c>
      <c r="C147" s="279" t="e">
        <f>'A4 Demands'!C66</f>
        <v>#NUM!</v>
      </c>
      <c r="D147" s="280" t="e">
        <f>'A4 Demands'!K66</f>
        <v>#NUM!</v>
      </c>
      <c r="E147" s="281" t="e">
        <f t="shared" si="22"/>
        <v>#NUM!</v>
      </c>
      <c r="F147" s="134" t="e">
        <f t="shared" si="23"/>
        <v>#NUM!</v>
      </c>
      <c r="G147" s="282" t="e">
        <f>IF(B147&lt;EffectiveWithPILON,VLOOKUP(A147,'A1 Contract'!$A$55:$I$64,7,FALSE),VLOOKUP(A147,'A1 Contract'!$A$55:$I$64,4,FALSE))</f>
        <v>#NUM!</v>
      </c>
      <c r="H147" s="248" t="e">
        <f t="shared" si="24"/>
        <v>#NUM!</v>
      </c>
      <c r="I147" s="249" t="e">
        <f t="shared" si="25"/>
        <v>#NUM!</v>
      </c>
      <c r="J147" s="249" t="e">
        <f t="shared" si="26"/>
        <v>#NUM!</v>
      </c>
      <c r="K147" s="249" t="e">
        <f t="shared" si="27"/>
        <v>#NUM!</v>
      </c>
      <c r="L147" s="249" t="e">
        <f t="shared" si="28"/>
        <v>#NUM!</v>
      </c>
      <c r="M147" s="249" t="e">
        <f t="shared" si="29"/>
        <v>#NUM!</v>
      </c>
      <c r="N147" s="249" t="e">
        <f t="shared" si="30"/>
        <v>#NUM!</v>
      </c>
      <c r="O147" s="250" t="e">
        <f t="shared" si="31"/>
        <v>#NUM!</v>
      </c>
      <c r="P147" s="251" t="e">
        <f t="shared" si="32"/>
        <v>#NUM!</v>
      </c>
    </row>
    <row r="148" spans="1:16">
      <c r="A148" s="149" t="e">
        <f t="shared" ref="A148:B148" si="51">A81</f>
        <v>#NUM!</v>
      </c>
      <c r="B148" s="291" t="e">
        <f t="shared" si="51"/>
        <v>#NUM!</v>
      </c>
      <c r="C148" s="279" t="e">
        <f>'A4 Demands'!C67</f>
        <v>#NUM!</v>
      </c>
      <c r="D148" s="280" t="e">
        <f>'A4 Demands'!K67</f>
        <v>#NUM!</v>
      </c>
      <c r="E148" s="281" t="e">
        <f t="shared" si="22"/>
        <v>#NUM!</v>
      </c>
      <c r="F148" s="134" t="e">
        <f t="shared" si="23"/>
        <v>#NUM!</v>
      </c>
      <c r="G148" s="282" t="e">
        <f>IF(B148&lt;EffectiveWithPILON,VLOOKUP(A148,'A1 Contract'!$A$55:$I$64,7,FALSE),VLOOKUP(A148,'A1 Contract'!$A$55:$I$64,4,FALSE))</f>
        <v>#NUM!</v>
      </c>
      <c r="H148" s="248" t="e">
        <f t="shared" si="24"/>
        <v>#NUM!</v>
      </c>
      <c r="I148" s="249" t="e">
        <f t="shared" si="25"/>
        <v>#NUM!</v>
      </c>
      <c r="J148" s="249" t="e">
        <f t="shared" si="26"/>
        <v>#NUM!</v>
      </c>
      <c r="K148" s="249" t="e">
        <f t="shared" si="27"/>
        <v>#NUM!</v>
      </c>
      <c r="L148" s="249" t="e">
        <f t="shared" si="28"/>
        <v>#NUM!</v>
      </c>
      <c r="M148" s="249" t="e">
        <f t="shared" si="29"/>
        <v>#NUM!</v>
      </c>
      <c r="N148" s="249" t="e">
        <f t="shared" si="30"/>
        <v>#NUM!</v>
      </c>
      <c r="O148" s="250" t="e">
        <f t="shared" si="31"/>
        <v>#NUM!</v>
      </c>
      <c r="P148" s="251" t="e">
        <f t="shared" si="32"/>
        <v>#NUM!</v>
      </c>
    </row>
    <row r="149" spans="1:16">
      <c r="A149" s="149" t="e">
        <f t="shared" ref="A149:B149" si="52">A82</f>
        <v>#NUM!</v>
      </c>
      <c r="B149" s="291" t="e">
        <f t="shared" si="52"/>
        <v>#NUM!</v>
      </c>
      <c r="C149" s="279" t="e">
        <f>'A4 Demands'!C68</f>
        <v>#NUM!</v>
      </c>
      <c r="D149" s="280" t="e">
        <f>'A4 Demands'!K68</f>
        <v>#NUM!</v>
      </c>
      <c r="E149" s="281" t="e">
        <f t="shared" si="22"/>
        <v>#NUM!</v>
      </c>
      <c r="F149" s="134" t="e">
        <f t="shared" si="23"/>
        <v>#NUM!</v>
      </c>
      <c r="G149" s="282" t="e">
        <f>IF(B149&lt;EffectiveWithPILON,VLOOKUP(A149,'A1 Contract'!$A$55:$I$64,7,FALSE),VLOOKUP(A149,'A1 Contract'!$A$55:$I$64,4,FALSE))</f>
        <v>#NUM!</v>
      </c>
      <c r="H149" s="248" t="e">
        <f t="shared" si="24"/>
        <v>#NUM!</v>
      </c>
      <c r="I149" s="249" t="e">
        <f t="shared" si="25"/>
        <v>#NUM!</v>
      </c>
      <c r="J149" s="249" t="e">
        <f t="shared" si="26"/>
        <v>#NUM!</v>
      </c>
      <c r="K149" s="249" t="e">
        <f t="shared" si="27"/>
        <v>#NUM!</v>
      </c>
      <c r="L149" s="249" t="e">
        <f t="shared" si="28"/>
        <v>#NUM!</v>
      </c>
      <c r="M149" s="249" t="e">
        <f t="shared" si="29"/>
        <v>#NUM!</v>
      </c>
      <c r="N149" s="249" t="e">
        <f t="shared" si="30"/>
        <v>#NUM!</v>
      </c>
      <c r="O149" s="250" t="e">
        <f t="shared" si="31"/>
        <v>#NUM!</v>
      </c>
      <c r="P149" s="251" t="e">
        <f t="shared" si="32"/>
        <v>#NUM!</v>
      </c>
    </row>
    <row r="150" spans="1:16">
      <c r="A150" s="149" t="e">
        <f t="shared" ref="A150:B150" si="53">A83</f>
        <v>#NUM!</v>
      </c>
      <c r="B150" s="291" t="e">
        <f t="shared" si="53"/>
        <v>#NUM!</v>
      </c>
      <c r="C150" s="279" t="e">
        <f>'A4 Demands'!C69</f>
        <v>#NUM!</v>
      </c>
      <c r="D150" s="280" t="e">
        <f>'A4 Demands'!K69</f>
        <v>#NUM!</v>
      </c>
      <c r="E150" s="281" t="e">
        <f t="shared" si="22"/>
        <v>#NUM!</v>
      </c>
      <c r="F150" s="134" t="e">
        <f t="shared" si="23"/>
        <v>#NUM!</v>
      </c>
      <c r="G150" s="282" t="e">
        <f>IF(B150&lt;EffectiveWithPILON,VLOOKUP(A150,'A1 Contract'!$A$55:$I$64,7,FALSE),VLOOKUP(A150,'A1 Contract'!$A$55:$I$64,4,FALSE))</f>
        <v>#NUM!</v>
      </c>
      <c r="H150" s="248" t="e">
        <f t="shared" si="24"/>
        <v>#NUM!</v>
      </c>
      <c r="I150" s="249" t="e">
        <f t="shared" si="25"/>
        <v>#NUM!</v>
      </c>
      <c r="J150" s="249" t="e">
        <f t="shared" si="26"/>
        <v>#NUM!</v>
      </c>
      <c r="K150" s="249" t="e">
        <f t="shared" si="27"/>
        <v>#NUM!</v>
      </c>
      <c r="L150" s="249" t="e">
        <f t="shared" si="28"/>
        <v>#NUM!</v>
      </c>
      <c r="M150" s="249" t="e">
        <f t="shared" si="29"/>
        <v>#NUM!</v>
      </c>
      <c r="N150" s="249" t="e">
        <f t="shared" si="30"/>
        <v>#NUM!</v>
      </c>
      <c r="O150" s="250" t="e">
        <f t="shared" si="31"/>
        <v>#NUM!</v>
      </c>
      <c r="P150" s="251" t="e">
        <f t="shared" si="32"/>
        <v>#NUM!</v>
      </c>
    </row>
    <row r="151" spans="1:16">
      <c r="A151" s="149" t="e">
        <f t="shared" ref="A151:B151" si="54">A84</f>
        <v>#NUM!</v>
      </c>
      <c r="B151" s="291" t="e">
        <f t="shared" si="54"/>
        <v>#NUM!</v>
      </c>
      <c r="C151" s="279" t="e">
        <f>'A4 Demands'!C70</f>
        <v>#NUM!</v>
      </c>
      <c r="D151" s="280" t="e">
        <f>'A4 Demands'!K70</f>
        <v>#NUM!</v>
      </c>
      <c r="E151" s="281" t="e">
        <f t="shared" si="22"/>
        <v>#NUM!</v>
      </c>
      <c r="F151" s="134" t="e">
        <f t="shared" si="23"/>
        <v>#NUM!</v>
      </c>
      <c r="G151" s="282" t="e">
        <f>IF(B151&lt;EffectiveWithPILON,VLOOKUP(A151,'A1 Contract'!$A$55:$I$64,7,FALSE),VLOOKUP(A151,'A1 Contract'!$A$55:$I$64,4,FALSE))</f>
        <v>#NUM!</v>
      </c>
      <c r="H151" s="248" t="e">
        <f t="shared" si="24"/>
        <v>#NUM!</v>
      </c>
      <c r="I151" s="249" t="e">
        <f t="shared" si="25"/>
        <v>#NUM!</v>
      </c>
      <c r="J151" s="249" t="e">
        <f t="shared" si="26"/>
        <v>#NUM!</v>
      </c>
      <c r="K151" s="249" t="e">
        <f t="shared" si="27"/>
        <v>#NUM!</v>
      </c>
      <c r="L151" s="249" t="e">
        <f t="shared" si="28"/>
        <v>#NUM!</v>
      </c>
      <c r="M151" s="249" t="e">
        <f t="shared" si="29"/>
        <v>#NUM!</v>
      </c>
      <c r="N151" s="249" t="e">
        <f t="shared" si="30"/>
        <v>#NUM!</v>
      </c>
      <c r="O151" s="250" t="e">
        <f t="shared" si="31"/>
        <v>#NUM!</v>
      </c>
      <c r="P151" s="251" t="e">
        <f t="shared" si="32"/>
        <v>#NUM!</v>
      </c>
    </row>
    <row r="152" spans="1:16">
      <c r="A152" s="149" t="e">
        <f t="shared" ref="A152:B152" si="55">A85</f>
        <v>#NUM!</v>
      </c>
      <c r="B152" s="291" t="e">
        <f t="shared" si="55"/>
        <v>#NUM!</v>
      </c>
      <c r="C152" s="279" t="e">
        <f>'A4 Demands'!C71</f>
        <v>#NUM!</v>
      </c>
      <c r="D152" s="280" t="e">
        <f>'A4 Demands'!K71</f>
        <v>#NUM!</v>
      </c>
      <c r="E152" s="281" t="e">
        <f t="shared" si="22"/>
        <v>#NUM!</v>
      </c>
      <c r="F152" s="134" t="e">
        <f t="shared" si="23"/>
        <v>#NUM!</v>
      </c>
      <c r="G152" s="282" t="e">
        <f>IF(B152&lt;EffectiveWithPILON,VLOOKUP(A152,'A1 Contract'!$A$55:$I$64,7,FALSE),VLOOKUP(A152,'A1 Contract'!$A$55:$I$64,4,FALSE))</f>
        <v>#NUM!</v>
      </c>
      <c r="H152" s="248" t="e">
        <f t="shared" si="24"/>
        <v>#NUM!</v>
      </c>
      <c r="I152" s="249" t="e">
        <f t="shared" si="25"/>
        <v>#NUM!</v>
      </c>
      <c r="J152" s="249" t="e">
        <f t="shared" si="26"/>
        <v>#NUM!</v>
      </c>
      <c r="K152" s="249" t="e">
        <f t="shared" si="27"/>
        <v>#NUM!</v>
      </c>
      <c r="L152" s="249" t="e">
        <f t="shared" si="28"/>
        <v>#NUM!</v>
      </c>
      <c r="M152" s="249" t="e">
        <f t="shared" si="29"/>
        <v>#NUM!</v>
      </c>
      <c r="N152" s="249" t="e">
        <f t="shared" si="30"/>
        <v>#NUM!</v>
      </c>
      <c r="O152" s="250" t="e">
        <f t="shared" si="31"/>
        <v>#NUM!</v>
      </c>
      <c r="P152" s="251" t="e">
        <f t="shared" si="32"/>
        <v>#NUM!</v>
      </c>
    </row>
    <row r="153" spans="1:16">
      <c r="A153" s="149" t="e">
        <f t="shared" ref="A153:B153" si="56">A86</f>
        <v>#NUM!</v>
      </c>
      <c r="B153" s="291" t="e">
        <f t="shared" si="56"/>
        <v>#NUM!</v>
      </c>
      <c r="C153" s="279" t="e">
        <f>'A4 Demands'!C72</f>
        <v>#NUM!</v>
      </c>
      <c r="D153" s="280" t="e">
        <f>'A4 Demands'!K72</f>
        <v>#NUM!</v>
      </c>
      <c r="E153" s="281" t="e">
        <f t="shared" si="22"/>
        <v>#NUM!</v>
      </c>
      <c r="F153" s="134" t="e">
        <f t="shared" si="23"/>
        <v>#NUM!</v>
      </c>
      <c r="G153" s="282" t="e">
        <f>IF(B153&lt;EffectiveWithPILON,VLOOKUP(A153,'A1 Contract'!$A$55:$I$64,7,FALSE),VLOOKUP(A153,'A1 Contract'!$A$55:$I$64,4,FALSE))</f>
        <v>#NUM!</v>
      </c>
      <c r="H153" s="248" t="e">
        <f t="shared" si="24"/>
        <v>#NUM!</v>
      </c>
      <c r="I153" s="249" t="e">
        <f t="shared" si="25"/>
        <v>#NUM!</v>
      </c>
      <c r="J153" s="249" t="e">
        <f t="shared" si="26"/>
        <v>#NUM!</v>
      </c>
      <c r="K153" s="249" t="e">
        <f t="shared" si="27"/>
        <v>#NUM!</v>
      </c>
      <c r="L153" s="249" t="e">
        <f t="shared" si="28"/>
        <v>#NUM!</v>
      </c>
      <c r="M153" s="249" t="e">
        <f t="shared" si="29"/>
        <v>#NUM!</v>
      </c>
      <c r="N153" s="249" t="e">
        <f t="shared" si="30"/>
        <v>#NUM!</v>
      </c>
      <c r="O153" s="250" t="e">
        <f t="shared" si="31"/>
        <v>#NUM!</v>
      </c>
      <c r="P153" s="251" t="e">
        <f t="shared" si="32"/>
        <v>#NUM!</v>
      </c>
    </row>
    <row r="154" spans="1:16">
      <c r="A154" s="149" t="e">
        <f t="shared" ref="A154:B154" si="57">A87</f>
        <v>#NUM!</v>
      </c>
      <c r="B154" s="291" t="e">
        <f t="shared" si="57"/>
        <v>#NUM!</v>
      </c>
      <c r="C154" s="279" t="e">
        <f>'A4 Demands'!C73</f>
        <v>#NUM!</v>
      </c>
      <c r="D154" s="280" t="e">
        <f>'A4 Demands'!K73</f>
        <v>#NUM!</v>
      </c>
      <c r="E154" s="281" t="e">
        <f t="shared" si="22"/>
        <v>#NUM!</v>
      </c>
      <c r="F154" s="134" t="e">
        <f t="shared" si="23"/>
        <v>#NUM!</v>
      </c>
      <c r="G154" s="282" t="e">
        <f>IF(B154&lt;EffectiveWithPILON,VLOOKUP(A154,'A1 Contract'!$A$55:$I$64,7,FALSE),VLOOKUP(A154,'A1 Contract'!$A$55:$I$64,4,FALSE))</f>
        <v>#NUM!</v>
      </c>
      <c r="H154" s="248" t="e">
        <f t="shared" si="24"/>
        <v>#NUM!</v>
      </c>
      <c r="I154" s="249" t="e">
        <f t="shared" si="25"/>
        <v>#NUM!</v>
      </c>
      <c r="J154" s="249" t="e">
        <f t="shared" si="26"/>
        <v>#NUM!</v>
      </c>
      <c r="K154" s="249" t="e">
        <f t="shared" si="27"/>
        <v>#NUM!</v>
      </c>
      <c r="L154" s="249" t="e">
        <f t="shared" si="28"/>
        <v>#NUM!</v>
      </c>
      <c r="M154" s="249" t="e">
        <f t="shared" si="29"/>
        <v>#NUM!</v>
      </c>
      <c r="N154" s="249" t="e">
        <f t="shared" si="30"/>
        <v>#NUM!</v>
      </c>
      <c r="O154" s="250" t="e">
        <f t="shared" si="31"/>
        <v>#NUM!</v>
      </c>
      <c r="P154" s="251" t="e">
        <f t="shared" si="32"/>
        <v>#NUM!</v>
      </c>
    </row>
    <row r="155" spans="1:16">
      <c r="A155" s="149" t="e">
        <f t="shared" ref="A155:B155" si="58">A88</f>
        <v>#NUM!</v>
      </c>
      <c r="B155" s="291" t="e">
        <f t="shared" si="58"/>
        <v>#NUM!</v>
      </c>
      <c r="C155" s="279" t="e">
        <f>'A4 Demands'!C74</f>
        <v>#NUM!</v>
      </c>
      <c r="D155" s="280" t="e">
        <f>'A4 Demands'!K74</f>
        <v>#NUM!</v>
      </c>
      <c r="E155" s="281" t="e">
        <f t="shared" si="22"/>
        <v>#NUM!</v>
      </c>
      <c r="F155" s="134" t="e">
        <f t="shared" si="23"/>
        <v>#NUM!</v>
      </c>
      <c r="G155" s="282" t="e">
        <f>IF(B155&lt;EffectiveWithPILON,VLOOKUP(A155,'A1 Contract'!$A$55:$I$64,7,FALSE),VLOOKUP(A155,'A1 Contract'!$A$55:$I$64,4,FALSE))</f>
        <v>#NUM!</v>
      </c>
      <c r="H155" s="248" t="e">
        <f t="shared" si="24"/>
        <v>#NUM!</v>
      </c>
      <c r="I155" s="249" t="e">
        <f t="shared" si="25"/>
        <v>#NUM!</v>
      </c>
      <c r="J155" s="249" t="e">
        <f t="shared" si="26"/>
        <v>#NUM!</v>
      </c>
      <c r="K155" s="249" t="e">
        <f t="shared" si="27"/>
        <v>#NUM!</v>
      </c>
      <c r="L155" s="249" t="e">
        <f t="shared" si="28"/>
        <v>#NUM!</v>
      </c>
      <c r="M155" s="249" t="e">
        <f t="shared" si="29"/>
        <v>#NUM!</v>
      </c>
      <c r="N155" s="249" t="e">
        <f t="shared" si="30"/>
        <v>#NUM!</v>
      </c>
      <c r="O155" s="250" t="e">
        <f t="shared" si="31"/>
        <v>#NUM!</v>
      </c>
      <c r="P155" s="251" t="e">
        <f t="shared" si="32"/>
        <v>#NUM!</v>
      </c>
    </row>
    <row r="156" spans="1:16">
      <c r="A156" s="149" t="e">
        <f t="shared" ref="A156:B156" si="59">A89</f>
        <v>#NUM!</v>
      </c>
      <c r="B156" s="291" t="e">
        <f t="shared" si="59"/>
        <v>#NUM!</v>
      </c>
      <c r="C156" s="279" t="e">
        <f>'A4 Demands'!C75</f>
        <v>#NUM!</v>
      </c>
      <c r="D156" s="280" t="e">
        <f>'A4 Demands'!K75</f>
        <v>#NUM!</v>
      </c>
      <c r="E156" s="281" t="e">
        <f t="shared" si="22"/>
        <v>#NUM!</v>
      </c>
      <c r="F156" s="134" t="e">
        <f t="shared" si="23"/>
        <v>#NUM!</v>
      </c>
      <c r="G156" s="282" t="e">
        <f>IF(B156&lt;EffectiveWithPILON,VLOOKUP(A156,'A1 Contract'!$A$55:$I$64,7,FALSE),VLOOKUP(A156,'A1 Contract'!$A$55:$I$64,4,FALSE))</f>
        <v>#NUM!</v>
      </c>
      <c r="H156" s="248" t="e">
        <f t="shared" si="24"/>
        <v>#NUM!</v>
      </c>
      <c r="I156" s="249" t="e">
        <f t="shared" si="25"/>
        <v>#NUM!</v>
      </c>
      <c r="J156" s="249" t="e">
        <f t="shared" si="26"/>
        <v>#NUM!</v>
      </c>
      <c r="K156" s="249" t="e">
        <f t="shared" si="27"/>
        <v>#NUM!</v>
      </c>
      <c r="L156" s="249" t="e">
        <f t="shared" si="28"/>
        <v>#NUM!</v>
      </c>
      <c r="M156" s="249" t="e">
        <f t="shared" si="29"/>
        <v>#NUM!</v>
      </c>
      <c r="N156" s="249" t="e">
        <f t="shared" si="30"/>
        <v>#NUM!</v>
      </c>
      <c r="O156" s="250" t="e">
        <f t="shared" si="31"/>
        <v>#NUM!</v>
      </c>
      <c r="P156" s="251" t="e">
        <f t="shared" si="32"/>
        <v>#NUM!</v>
      </c>
    </row>
    <row r="157" spans="1:16">
      <c r="A157" s="149" t="e">
        <f t="shared" ref="A157:B157" si="60">A90</f>
        <v>#NUM!</v>
      </c>
      <c r="B157" s="291" t="e">
        <f t="shared" si="60"/>
        <v>#NUM!</v>
      </c>
      <c r="C157" s="279" t="e">
        <f>'A4 Demands'!C76</f>
        <v>#NUM!</v>
      </c>
      <c r="D157" s="280" t="e">
        <f>'A4 Demands'!K76</f>
        <v>#NUM!</v>
      </c>
      <c r="E157" s="281" t="e">
        <f t="shared" si="22"/>
        <v>#NUM!</v>
      </c>
      <c r="F157" s="134" t="e">
        <f t="shared" si="23"/>
        <v>#NUM!</v>
      </c>
      <c r="G157" s="282" t="e">
        <f>IF(B157&lt;EffectiveWithPILON,VLOOKUP(A157,'A1 Contract'!$A$55:$I$64,7,FALSE),VLOOKUP(A157,'A1 Contract'!$A$55:$I$64,4,FALSE))</f>
        <v>#NUM!</v>
      </c>
      <c r="H157" s="248" t="e">
        <f t="shared" si="24"/>
        <v>#NUM!</v>
      </c>
      <c r="I157" s="249" t="e">
        <f t="shared" si="25"/>
        <v>#NUM!</v>
      </c>
      <c r="J157" s="249" t="e">
        <f t="shared" si="26"/>
        <v>#NUM!</v>
      </c>
      <c r="K157" s="249" t="e">
        <f t="shared" si="27"/>
        <v>#NUM!</v>
      </c>
      <c r="L157" s="249" t="e">
        <f t="shared" si="28"/>
        <v>#NUM!</v>
      </c>
      <c r="M157" s="249" t="e">
        <f t="shared" si="29"/>
        <v>#NUM!</v>
      </c>
      <c r="N157" s="249" t="e">
        <f t="shared" si="30"/>
        <v>#NUM!</v>
      </c>
      <c r="O157" s="250" t="e">
        <f t="shared" si="31"/>
        <v>#NUM!</v>
      </c>
      <c r="P157" s="251" t="e">
        <f t="shared" si="32"/>
        <v>#NUM!</v>
      </c>
    </row>
    <row r="158" spans="1:16">
      <c r="A158" s="149" t="e">
        <f t="shared" ref="A158:B158" si="61">A91</f>
        <v>#NUM!</v>
      </c>
      <c r="B158" s="291" t="e">
        <f t="shared" si="61"/>
        <v>#NUM!</v>
      </c>
      <c r="C158" s="279" t="e">
        <f>'A4 Demands'!C77</f>
        <v>#NUM!</v>
      </c>
      <c r="D158" s="280" t="e">
        <f>'A4 Demands'!K77</f>
        <v>#NUM!</v>
      </c>
      <c r="E158" s="281" t="e">
        <f t="shared" si="22"/>
        <v>#NUM!</v>
      </c>
      <c r="F158" s="134" t="e">
        <f t="shared" si="23"/>
        <v>#NUM!</v>
      </c>
      <c r="G158" s="282" t="e">
        <f>IF(B158&lt;EffectiveWithPILON,VLOOKUP(A158,'A1 Contract'!$A$55:$I$64,7,FALSE),VLOOKUP(A158,'A1 Contract'!$A$55:$I$64,4,FALSE))</f>
        <v>#NUM!</v>
      </c>
      <c r="H158" s="248" t="e">
        <f t="shared" si="24"/>
        <v>#NUM!</v>
      </c>
      <c r="I158" s="249" t="e">
        <f t="shared" si="25"/>
        <v>#NUM!</v>
      </c>
      <c r="J158" s="249" t="e">
        <f t="shared" si="26"/>
        <v>#NUM!</v>
      </c>
      <c r="K158" s="249" t="e">
        <f t="shared" si="27"/>
        <v>#NUM!</v>
      </c>
      <c r="L158" s="249" t="e">
        <f t="shared" si="28"/>
        <v>#NUM!</v>
      </c>
      <c r="M158" s="249" t="e">
        <f t="shared" si="29"/>
        <v>#NUM!</v>
      </c>
      <c r="N158" s="249" t="e">
        <f t="shared" si="30"/>
        <v>#NUM!</v>
      </c>
      <c r="O158" s="250" t="e">
        <f t="shared" si="31"/>
        <v>#NUM!</v>
      </c>
      <c r="P158" s="251" t="e">
        <f t="shared" si="32"/>
        <v>#NUM!</v>
      </c>
    </row>
    <row r="159" spans="1:16">
      <c r="A159" s="149" t="e">
        <f t="shared" ref="A159:B159" si="62">A92</f>
        <v>#NUM!</v>
      </c>
      <c r="B159" s="291" t="e">
        <f t="shared" si="62"/>
        <v>#NUM!</v>
      </c>
      <c r="C159" s="279" t="e">
        <f>'A4 Demands'!C78</f>
        <v>#NUM!</v>
      </c>
      <c r="D159" s="280" t="e">
        <f>'A4 Demands'!K78</f>
        <v>#NUM!</v>
      </c>
      <c r="E159" s="281" t="e">
        <f t="shared" si="22"/>
        <v>#NUM!</v>
      </c>
      <c r="F159" s="134" t="e">
        <f t="shared" si="23"/>
        <v>#NUM!</v>
      </c>
      <c r="G159" s="282" t="e">
        <f>IF(B159&lt;EffectiveWithPILON,VLOOKUP(A159,'A1 Contract'!$A$55:$I$64,7,FALSE),VLOOKUP(A159,'A1 Contract'!$A$55:$I$64,4,FALSE))</f>
        <v>#NUM!</v>
      </c>
      <c r="H159" s="248" t="e">
        <f t="shared" si="24"/>
        <v>#NUM!</v>
      </c>
      <c r="I159" s="249" t="e">
        <f t="shared" si="25"/>
        <v>#NUM!</v>
      </c>
      <c r="J159" s="249" t="e">
        <f t="shared" si="26"/>
        <v>#NUM!</v>
      </c>
      <c r="K159" s="249" t="e">
        <f t="shared" si="27"/>
        <v>#NUM!</v>
      </c>
      <c r="L159" s="249" t="e">
        <f t="shared" si="28"/>
        <v>#NUM!</v>
      </c>
      <c r="M159" s="249" t="e">
        <f t="shared" si="29"/>
        <v>#NUM!</v>
      </c>
      <c r="N159" s="249" t="e">
        <f t="shared" si="30"/>
        <v>#NUM!</v>
      </c>
      <c r="O159" s="250" t="e">
        <f t="shared" si="31"/>
        <v>#NUM!</v>
      </c>
      <c r="P159" s="251" t="e">
        <f t="shared" si="32"/>
        <v>#NUM!</v>
      </c>
    </row>
    <row r="160" spans="1:16">
      <c r="A160" s="149" t="e">
        <f t="shared" ref="A160:B160" si="63">A93</f>
        <v>#NUM!</v>
      </c>
      <c r="B160" s="291" t="e">
        <f t="shared" si="63"/>
        <v>#NUM!</v>
      </c>
      <c r="C160" s="279" t="e">
        <f>'A4 Demands'!C79</f>
        <v>#NUM!</v>
      </c>
      <c r="D160" s="280" t="e">
        <f>'A4 Demands'!K79</f>
        <v>#NUM!</v>
      </c>
      <c r="E160" s="281" t="e">
        <f t="shared" si="22"/>
        <v>#NUM!</v>
      </c>
      <c r="F160" s="134" t="e">
        <f t="shared" si="23"/>
        <v>#NUM!</v>
      </c>
      <c r="G160" s="282" t="e">
        <f>IF(B160&lt;EffectiveWithPILON,VLOOKUP(A160,'A1 Contract'!$A$55:$I$64,7,FALSE),VLOOKUP(A160,'A1 Contract'!$A$55:$I$64,4,FALSE))</f>
        <v>#NUM!</v>
      </c>
      <c r="H160" s="248" t="e">
        <f t="shared" si="24"/>
        <v>#NUM!</v>
      </c>
      <c r="I160" s="249" t="e">
        <f t="shared" si="25"/>
        <v>#NUM!</v>
      </c>
      <c r="J160" s="249" t="e">
        <f t="shared" si="26"/>
        <v>#NUM!</v>
      </c>
      <c r="K160" s="249" t="e">
        <f t="shared" si="27"/>
        <v>#NUM!</v>
      </c>
      <c r="L160" s="249" t="e">
        <f t="shared" si="28"/>
        <v>#NUM!</v>
      </c>
      <c r="M160" s="249" t="e">
        <f t="shared" si="29"/>
        <v>#NUM!</v>
      </c>
      <c r="N160" s="249" t="e">
        <f t="shared" si="30"/>
        <v>#NUM!</v>
      </c>
      <c r="O160" s="250" t="e">
        <f t="shared" si="31"/>
        <v>#NUM!</v>
      </c>
      <c r="P160" s="251" t="e">
        <f t="shared" si="32"/>
        <v>#NUM!</v>
      </c>
    </row>
    <row r="161" spans="1:16">
      <c r="A161" s="149" t="e">
        <f t="shared" ref="A161:B161" si="64">A94</f>
        <v>#NUM!</v>
      </c>
      <c r="B161" s="291" t="e">
        <f t="shared" si="64"/>
        <v>#NUM!</v>
      </c>
      <c r="C161" s="279" t="e">
        <f>'A4 Demands'!C80</f>
        <v>#NUM!</v>
      </c>
      <c r="D161" s="280" t="e">
        <f>'A4 Demands'!K80</f>
        <v>#NUM!</v>
      </c>
      <c r="E161" s="281" t="e">
        <f t="shared" ref="E161:E188" si="65">C161*(DATE(YEAR(B161),MONTH(B161)+1,1)-B161)*24*F$53</f>
        <v>#NUM!</v>
      </c>
      <c r="F161" s="134" t="e">
        <f t="shared" ref="F161:F188" si="66">C161*F$52</f>
        <v>#NUM!</v>
      </c>
      <c r="G161" s="282" t="e">
        <f>IF(B161&lt;EffectiveWithPILON,VLOOKUP(A161,'A1 Contract'!$A$55:$I$64,7,FALSE),VLOOKUP(A161,'A1 Contract'!$A$55:$I$64,4,FALSE))</f>
        <v>#NUM!</v>
      </c>
      <c r="H161" s="248" t="e">
        <f t="shared" ref="H161:H188" si="67">IF(B94&lt;DATE(YEAR(PILONDate),MONTH(PILONDate),1),"",(F161*$E$30)+(E161*$E$31))</f>
        <v>#NUM!</v>
      </c>
      <c r="I161" s="249" t="e">
        <f t="shared" ref="I161:I188" si="68">IF(B94&lt;DATE(YEAR(PILONDate),MONTH(PILONDate),1),"",(D161*$E$33)+(E161*$E$34))</f>
        <v>#NUM!</v>
      </c>
      <c r="J161" s="249" t="e">
        <f t="shared" ref="J161:J188" si="69">IF(B94&lt;DATE(YEAR(PILONDate),MONTH(PILONDate),1),"",IF(D161&gt;0,(G161*$E$36)+(MIN(7.5*G161,D161)*$E$37)+(MAX(MIN(9.5*G161,D161-(7.5*G161)),0)*$E$38)+(MAX(MIN(23*G161,D161-(17*G161)),0)*$E$39)+(MAX(D161-(40*G161),0)*$E$40),IF(OR(ReducedOrTerminated="Reduced",B161&lt;EffectiveWithPILON),G161*$E$36,0)))</f>
        <v>#NUM!</v>
      </c>
      <c r="K161" s="249" t="e">
        <f t="shared" ref="K161:K188" si="70">IF(B94&lt;DATE(YEAR(PILONDate),MONTH(PILONDate),1),"",E161*$F$42*$F$43)</f>
        <v>#NUM!</v>
      </c>
      <c r="L161" s="249" t="e">
        <f t="shared" ref="L161:L188" si="71">IF(B94&lt;DATE(YEAR(PILONDate),MONTH(PILONDate),1),"",E161*$F$45)</f>
        <v>#NUM!</v>
      </c>
      <c r="M161" s="249" t="e">
        <f t="shared" ref="M161:M188" si="72">IF(B94&lt;DATE(YEAR(PILONDate),MONTH(PILONDate),1),"",E161*$F$47)</f>
        <v>#NUM!</v>
      </c>
      <c r="N161" s="249" t="e">
        <f t="shared" ref="N161:N188" si="73">IF(B94&lt;DATE(YEAR(PILONDate),MONTH(PILONDate),1),"",C161*$F$49)</f>
        <v>#NUM!</v>
      </c>
      <c r="O161" s="250" t="e">
        <f t="shared" ref="O161:O188" si="74">IF(B94&lt;DATE(YEAR(PILONDate),MONTH(PILONDate),1),"",IF(ReceivePSC="Yes",IF(D161&gt;0,(G161*$G$36)+(MIN(7.5*G161,D161)*$G$37)+(MAX(MIN(9.5*G161,D161-(7.5*G161)),0)*$G$38)+(MAX(MIN(23*G161,D161-(17*G161)),0)*$G$39)+(MAX(D161-(40*G161),0)*$G$40),0),0))</f>
        <v>#NUM!</v>
      </c>
      <c r="P161" s="251" t="e">
        <f t="shared" ref="P161:P188" si="75">IF(B94&lt;DATE(YEAR(PILONDate),MONTH(PILONDate),1),"",SUM(H161:O161))</f>
        <v>#NUM!</v>
      </c>
    </row>
    <row r="162" spans="1:16">
      <c r="A162" s="149" t="e">
        <f t="shared" ref="A162:B162" si="76">A95</f>
        <v>#NUM!</v>
      </c>
      <c r="B162" s="291" t="e">
        <f t="shared" si="76"/>
        <v>#NUM!</v>
      </c>
      <c r="C162" s="279" t="e">
        <f>'A4 Demands'!C81</f>
        <v>#NUM!</v>
      </c>
      <c r="D162" s="280" t="e">
        <f>'A4 Demands'!K81</f>
        <v>#NUM!</v>
      </c>
      <c r="E162" s="281" t="e">
        <f t="shared" si="65"/>
        <v>#NUM!</v>
      </c>
      <c r="F162" s="134" t="e">
        <f t="shared" si="66"/>
        <v>#NUM!</v>
      </c>
      <c r="G162" s="282" t="e">
        <f>IF(B162&lt;EffectiveWithPILON,VLOOKUP(A162,'A1 Contract'!$A$55:$I$64,7,FALSE),VLOOKUP(A162,'A1 Contract'!$A$55:$I$64,4,FALSE))</f>
        <v>#NUM!</v>
      </c>
      <c r="H162" s="248" t="e">
        <f t="shared" si="67"/>
        <v>#NUM!</v>
      </c>
      <c r="I162" s="249" t="e">
        <f t="shared" si="68"/>
        <v>#NUM!</v>
      </c>
      <c r="J162" s="249" t="e">
        <f t="shared" si="69"/>
        <v>#NUM!</v>
      </c>
      <c r="K162" s="249" t="e">
        <f t="shared" si="70"/>
        <v>#NUM!</v>
      </c>
      <c r="L162" s="249" t="e">
        <f t="shared" si="71"/>
        <v>#NUM!</v>
      </c>
      <c r="M162" s="249" t="e">
        <f t="shared" si="72"/>
        <v>#NUM!</v>
      </c>
      <c r="N162" s="249" t="e">
        <f t="shared" si="73"/>
        <v>#NUM!</v>
      </c>
      <c r="O162" s="250" t="e">
        <f t="shared" si="74"/>
        <v>#NUM!</v>
      </c>
      <c r="P162" s="251" t="e">
        <f t="shared" si="75"/>
        <v>#NUM!</v>
      </c>
    </row>
    <row r="163" spans="1:16">
      <c r="A163" s="149" t="e">
        <f t="shared" ref="A163:B163" si="77">A96</f>
        <v>#NUM!</v>
      </c>
      <c r="B163" s="291" t="e">
        <f t="shared" si="77"/>
        <v>#NUM!</v>
      </c>
      <c r="C163" s="279" t="e">
        <f>'A4 Demands'!C82</f>
        <v>#NUM!</v>
      </c>
      <c r="D163" s="280" t="e">
        <f>'A4 Demands'!K82</f>
        <v>#NUM!</v>
      </c>
      <c r="E163" s="281" t="e">
        <f t="shared" si="65"/>
        <v>#NUM!</v>
      </c>
      <c r="F163" s="134" t="e">
        <f t="shared" si="66"/>
        <v>#NUM!</v>
      </c>
      <c r="G163" s="282" t="e">
        <f>IF(B163&lt;EffectiveWithPILON,VLOOKUP(A163,'A1 Contract'!$A$55:$I$64,7,FALSE),VLOOKUP(A163,'A1 Contract'!$A$55:$I$64,4,FALSE))</f>
        <v>#NUM!</v>
      </c>
      <c r="H163" s="248" t="e">
        <f t="shared" si="67"/>
        <v>#NUM!</v>
      </c>
      <c r="I163" s="249" t="e">
        <f t="shared" si="68"/>
        <v>#NUM!</v>
      </c>
      <c r="J163" s="249" t="e">
        <f t="shared" si="69"/>
        <v>#NUM!</v>
      </c>
      <c r="K163" s="249" t="e">
        <f t="shared" si="70"/>
        <v>#NUM!</v>
      </c>
      <c r="L163" s="249" t="e">
        <f t="shared" si="71"/>
        <v>#NUM!</v>
      </c>
      <c r="M163" s="249" t="e">
        <f t="shared" si="72"/>
        <v>#NUM!</v>
      </c>
      <c r="N163" s="249" t="e">
        <f t="shared" si="73"/>
        <v>#NUM!</v>
      </c>
      <c r="O163" s="250" t="e">
        <f t="shared" si="74"/>
        <v>#NUM!</v>
      </c>
      <c r="P163" s="251" t="e">
        <f t="shared" si="75"/>
        <v>#NUM!</v>
      </c>
    </row>
    <row r="164" spans="1:16">
      <c r="A164" s="149" t="e">
        <f t="shared" ref="A164:B164" si="78">A97</f>
        <v>#NUM!</v>
      </c>
      <c r="B164" s="291" t="e">
        <f t="shared" si="78"/>
        <v>#NUM!</v>
      </c>
      <c r="C164" s="279" t="e">
        <f>'A4 Demands'!C83</f>
        <v>#NUM!</v>
      </c>
      <c r="D164" s="280" t="e">
        <f>'A4 Demands'!K83</f>
        <v>#NUM!</v>
      </c>
      <c r="E164" s="281" t="e">
        <f t="shared" si="65"/>
        <v>#NUM!</v>
      </c>
      <c r="F164" s="134" t="e">
        <f t="shared" si="66"/>
        <v>#NUM!</v>
      </c>
      <c r="G164" s="282" t="e">
        <f>IF(B164&lt;EffectiveWithPILON,VLOOKUP(A164,'A1 Contract'!$A$55:$I$64,7,FALSE),VLOOKUP(A164,'A1 Contract'!$A$55:$I$64,4,FALSE))</f>
        <v>#NUM!</v>
      </c>
      <c r="H164" s="248" t="e">
        <f t="shared" si="67"/>
        <v>#NUM!</v>
      </c>
      <c r="I164" s="249" t="e">
        <f t="shared" si="68"/>
        <v>#NUM!</v>
      </c>
      <c r="J164" s="249" t="e">
        <f t="shared" si="69"/>
        <v>#NUM!</v>
      </c>
      <c r="K164" s="249" t="e">
        <f t="shared" si="70"/>
        <v>#NUM!</v>
      </c>
      <c r="L164" s="249" t="e">
        <f t="shared" si="71"/>
        <v>#NUM!</v>
      </c>
      <c r="M164" s="249" t="e">
        <f t="shared" si="72"/>
        <v>#NUM!</v>
      </c>
      <c r="N164" s="249" t="e">
        <f t="shared" si="73"/>
        <v>#NUM!</v>
      </c>
      <c r="O164" s="250" t="e">
        <f t="shared" si="74"/>
        <v>#NUM!</v>
      </c>
      <c r="P164" s="251" t="e">
        <f t="shared" si="75"/>
        <v>#NUM!</v>
      </c>
    </row>
    <row r="165" spans="1:16">
      <c r="A165" s="149" t="e">
        <f t="shared" ref="A165:B165" si="79">A98</f>
        <v>#NUM!</v>
      </c>
      <c r="B165" s="291" t="e">
        <f t="shared" si="79"/>
        <v>#NUM!</v>
      </c>
      <c r="C165" s="279" t="e">
        <f>'A4 Demands'!C84</f>
        <v>#NUM!</v>
      </c>
      <c r="D165" s="280" t="e">
        <f>'A4 Demands'!K84</f>
        <v>#NUM!</v>
      </c>
      <c r="E165" s="281" t="e">
        <f t="shared" si="65"/>
        <v>#NUM!</v>
      </c>
      <c r="F165" s="134" t="e">
        <f t="shared" si="66"/>
        <v>#NUM!</v>
      </c>
      <c r="G165" s="282" t="e">
        <f>IF(B165&lt;EffectiveWithPILON,VLOOKUP(A165,'A1 Contract'!$A$55:$I$64,7,FALSE),VLOOKUP(A165,'A1 Contract'!$A$55:$I$64,4,FALSE))</f>
        <v>#NUM!</v>
      </c>
      <c r="H165" s="248" t="e">
        <f t="shared" si="67"/>
        <v>#NUM!</v>
      </c>
      <c r="I165" s="249" t="e">
        <f t="shared" si="68"/>
        <v>#NUM!</v>
      </c>
      <c r="J165" s="249" t="e">
        <f t="shared" si="69"/>
        <v>#NUM!</v>
      </c>
      <c r="K165" s="249" t="e">
        <f t="shared" si="70"/>
        <v>#NUM!</v>
      </c>
      <c r="L165" s="249" t="e">
        <f t="shared" si="71"/>
        <v>#NUM!</v>
      </c>
      <c r="M165" s="249" t="e">
        <f t="shared" si="72"/>
        <v>#NUM!</v>
      </c>
      <c r="N165" s="249" t="e">
        <f t="shared" si="73"/>
        <v>#NUM!</v>
      </c>
      <c r="O165" s="250" t="e">
        <f t="shared" si="74"/>
        <v>#NUM!</v>
      </c>
      <c r="P165" s="251" t="e">
        <f t="shared" si="75"/>
        <v>#NUM!</v>
      </c>
    </row>
    <row r="166" spans="1:16">
      <c r="A166" s="149" t="e">
        <f t="shared" ref="A166:B166" si="80">A99</f>
        <v>#NUM!</v>
      </c>
      <c r="B166" s="291" t="e">
        <f t="shared" si="80"/>
        <v>#NUM!</v>
      </c>
      <c r="C166" s="279" t="e">
        <f>'A4 Demands'!C85</f>
        <v>#NUM!</v>
      </c>
      <c r="D166" s="280" t="e">
        <f>'A4 Demands'!K85</f>
        <v>#NUM!</v>
      </c>
      <c r="E166" s="281" t="e">
        <f t="shared" si="65"/>
        <v>#NUM!</v>
      </c>
      <c r="F166" s="134" t="e">
        <f t="shared" si="66"/>
        <v>#NUM!</v>
      </c>
      <c r="G166" s="282" t="e">
        <f>IF(B166&lt;EffectiveWithPILON,VLOOKUP(A166,'A1 Contract'!$A$55:$I$64,7,FALSE),VLOOKUP(A166,'A1 Contract'!$A$55:$I$64,4,FALSE))</f>
        <v>#NUM!</v>
      </c>
      <c r="H166" s="248" t="e">
        <f t="shared" si="67"/>
        <v>#NUM!</v>
      </c>
      <c r="I166" s="249" t="e">
        <f t="shared" si="68"/>
        <v>#NUM!</v>
      </c>
      <c r="J166" s="249" t="e">
        <f t="shared" si="69"/>
        <v>#NUM!</v>
      </c>
      <c r="K166" s="249" t="e">
        <f t="shared" si="70"/>
        <v>#NUM!</v>
      </c>
      <c r="L166" s="249" t="e">
        <f t="shared" si="71"/>
        <v>#NUM!</v>
      </c>
      <c r="M166" s="249" t="e">
        <f t="shared" si="72"/>
        <v>#NUM!</v>
      </c>
      <c r="N166" s="249" t="e">
        <f t="shared" si="73"/>
        <v>#NUM!</v>
      </c>
      <c r="O166" s="250" t="e">
        <f t="shared" si="74"/>
        <v>#NUM!</v>
      </c>
      <c r="P166" s="251" t="e">
        <f t="shared" si="75"/>
        <v>#NUM!</v>
      </c>
    </row>
    <row r="167" spans="1:16">
      <c r="A167" s="149" t="e">
        <f t="shared" ref="A167:B167" si="81">A100</f>
        <v>#NUM!</v>
      </c>
      <c r="B167" s="291" t="e">
        <f t="shared" si="81"/>
        <v>#NUM!</v>
      </c>
      <c r="C167" s="279" t="e">
        <f>'A4 Demands'!C86</f>
        <v>#NUM!</v>
      </c>
      <c r="D167" s="280" t="e">
        <f>'A4 Demands'!K86</f>
        <v>#NUM!</v>
      </c>
      <c r="E167" s="281" t="e">
        <f t="shared" si="65"/>
        <v>#NUM!</v>
      </c>
      <c r="F167" s="134" t="e">
        <f t="shared" si="66"/>
        <v>#NUM!</v>
      </c>
      <c r="G167" s="282" t="e">
        <f>IF(B167&lt;EffectiveWithPILON,VLOOKUP(A167,'A1 Contract'!$A$55:$I$64,7,FALSE),VLOOKUP(A167,'A1 Contract'!$A$55:$I$64,4,FALSE))</f>
        <v>#NUM!</v>
      </c>
      <c r="H167" s="248" t="e">
        <f t="shared" si="67"/>
        <v>#NUM!</v>
      </c>
      <c r="I167" s="249" t="e">
        <f t="shared" si="68"/>
        <v>#NUM!</v>
      </c>
      <c r="J167" s="249" t="e">
        <f t="shared" si="69"/>
        <v>#NUM!</v>
      </c>
      <c r="K167" s="249" t="e">
        <f t="shared" si="70"/>
        <v>#NUM!</v>
      </c>
      <c r="L167" s="249" t="e">
        <f t="shared" si="71"/>
        <v>#NUM!</v>
      </c>
      <c r="M167" s="249" t="e">
        <f t="shared" si="72"/>
        <v>#NUM!</v>
      </c>
      <c r="N167" s="249" t="e">
        <f t="shared" si="73"/>
        <v>#NUM!</v>
      </c>
      <c r="O167" s="250" t="e">
        <f t="shared" si="74"/>
        <v>#NUM!</v>
      </c>
      <c r="P167" s="251" t="e">
        <f t="shared" si="75"/>
        <v>#NUM!</v>
      </c>
    </row>
    <row r="168" spans="1:16">
      <c r="A168" s="149" t="e">
        <f t="shared" ref="A168:B168" si="82">A101</f>
        <v>#NUM!</v>
      </c>
      <c r="B168" s="291" t="e">
        <f t="shared" si="82"/>
        <v>#NUM!</v>
      </c>
      <c r="C168" s="279" t="e">
        <f>'A4 Demands'!C87</f>
        <v>#NUM!</v>
      </c>
      <c r="D168" s="280" t="e">
        <f>'A4 Demands'!K87</f>
        <v>#NUM!</v>
      </c>
      <c r="E168" s="281" t="e">
        <f t="shared" si="65"/>
        <v>#NUM!</v>
      </c>
      <c r="F168" s="134" t="e">
        <f t="shared" si="66"/>
        <v>#NUM!</v>
      </c>
      <c r="G168" s="282" t="e">
        <f>IF(B168&lt;EffectiveWithPILON,VLOOKUP(A168,'A1 Contract'!$A$55:$I$64,7,FALSE),VLOOKUP(A168,'A1 Contract'!$A$55:$I$64,4,FALSE))</f>
        <v>#NUM!</v>
      </c>
      <c r="H168" s="248" t="e">
        <f t="shared" si="67"/>
        <v>#NUM!</v>
      </c>
      <c r="I168" s="249" t="e">
        <f t="shared" si="68"/>
        <v>#NUM!</v>
      </c>
      <c r="J168" s="249" t="e">
        <f t="shared" si="69"/>
        <v>#NUM!</v>
      </c>
      <c r="K168" s="249" t="e">
        <f t="shared" si="70"/>
        <v>#NUM!</v>
      </c>
      <c r="L168" s="249" t="e">
        <f t="shared" si="71"/>
        <v>#NUM!</v>
      </c>
      <c r="M168" s="249" t="e">
        <f t="shared" si="72"/>
        <v>#NUM!</v>
      </c>
      <c r="N168" s="249" t="e">
        <f t="shared" si="73"/>
        <v>#NUM!</v>
      </c>
      <c r="O168" s="250" t="e">
        <f t="shared" si="74"/>
        <v>#NUM!</v>
      </c>
      <c r="P168" s="251" t="e">
        <f t="shared" si="75"/>
        <v>#NUM!</v>
      </c>
    </row>
    <row r="169" spans="1:16">
      <c r="A169" s="149" t="e">
        <f t="shared" ref="A169:B169" si="83">A102</f>
        <v>#NUM!</v>
      </c>
      <c r="B169" s="291" t="e">
        <f t="shared" si="83"/>
        <v>#NUM!</v>
      </c>
      <c r="C169" s="279" t="e">
        <f>'A4 Demands'!C88</f>
        <v>#NUM!</v>
      </c>
      <c r="D169" s="280" t="e">
        <f>'A4 Demands'!K88</f>
        <v>#NUM!</v>
      </c>
      <c r="E169" s="281" t="e">
        <f t="shared" si="65"/>
        <v>#NUM!</v>
      </c>
      <c r="F169" s="134" t="e">
        <f t="shared" si="66"/>
        <v>#NUM!</v>
      </c>
      <c r="G169" s="282" t="e">
        <f>IF(B169&lt;EffectiveWithPILON,VLOOKUP(A169,'A1 Contract'!$A$55:$I$64,7,FALSE),VLOOKUP(A169,'A1 Contract'!$A$55:$I$64,4,FALSE))</f>
        <v>#NUM!</v>
      </c>
      <c r="H169" s="248" t="e">
        <f t="shared" si="67"/>
        <v>#NUM!</v>
      </c>
      <c r="I169" s="249" t="e">
        <f t="shared" si="68"/>
        <v>#NUM!</v>
      </c>
      <c r="J169" s="249" t="e">
        <f t="shared" si="69"/>
        <v>#NUM!</v>
      </c>
      <c r="K169" s="249" t="e">
        <f t="shared" si="70"/>
        <v>#NUM!</v>
      </c>
      <c r="L169" s="249" t="e">
        <f t="shared" si="71"/>
        <v>#NUM!</v>
      </c>
      <c r="M169" s="249" t="e">
        <f t="shared" si="72"/>
        <v>#NUM!</v>
      </c>
      <c r="N169" s="249" t="e">
        <f t="shared" si="73"/>
        <v>#NUM!</v>
      </c>
      <c r="O169" s="250" t="e">
        <f t="shared" si="74"/>
        <v>#NUM!</v>
      </c>
      <c r="P169" s="251" t="e">
        <f t="shared" si="75"/>
        <v>#NUM!</v>
      </c>
    </row>
    <row r="170" spans="1:16">
      <c r="A170" s="149" t="e">
        <f t="shared" ref="A170:B170" si="84">A103</f>
        <v>#NUM!</v>
      </c>
      <c r="B170" s="291" t="e">
        <f t="shared" si="84"/>
        <v>#NUM!</v>
      </c>
      <c r="C170" s="279" t="e">
        <f>'A4 Demands'!C89</f>
        <v>#NUM!</v>
      </c>
      <c r="D170" s="280" t="e">
        <f>'A4 Demands'!K89</f>
        <v>#NUM!</v>
      </c>
      <c r="E170" s="281" t="e">
        <f t="shared" si="65"/>
        <v>#NUM!</v>
      </c>
      <c r="F170" s="134" t="e">
        <f t="shared" si="66"/>
        <v>#NUM!</v>
      </c>
      <c r="G170" s="282" t="e">
        <f>IF(B170&lt;EffectiveWithPILON,VLOOKUP(A170,'A1 Contract'!$A$55:$I$64,7,FALSE),VLOOKUP(A170,'A1 Contract'!$A$55:$I$64,4,FALSE))</f>
        <v>#NUM!</v>
      </c>
      <c r="H170" s="248" t="e">
        <f t="shared" si="67"/>
        <v>#NUM!</v>
      </c>
      <c r="I170" s="249" t="e">
        <f t="shared" si="68"/>
        <v>#NUM!</v>
      </c>
      <c r="J170" s="249" t="e">
        <f t="shared" si="69"/>
        <v>#NUM!</v>
      </c>
      <c r="K170" s="249" t="e">
        <f t="shared" si="70"/>
        <v>#NUM!</v>
      </c>
      <c r="L170" s="249" t="e">
        <f t="shared" si="71"/>
        <v>#NUM!</v>
      </c>
      <c r="M170" s="249" t="e">
        <f t="shared" si="72"/>
        <v>#NUM!</v>
      </c>
      <c r="N170" s="249" t="e">
        <f t="shared" si="73"/>
        <v>#NUM!</v>
      </c>
      <c r="O170" s="250" t="e">
        <f t="shared" si="74"/>
        <v>#NUM!</v>
      </c>
      <c r="P170" s="251" t="e">
        <f t="shared" si="75"/>
        <v>#NUM!</v>
      </c>
    </row>
    <row r="171" spans="1:16">
      <c r="A171" s="149" t="e">
        <f t="shared" ref="A171:B171" si="85">A104</f>
        <v>#NUM!</v>
      </c>
      <c r="B171" s="291" t="e">
        <f t="shared" si="85"/>
        <v>#NUM!</v>
      </c>
      <c r="C171" s="279" t="e">
        <f>'A4 Demands'!C90</f>
        <v>#NUM!</v>
      </c>
      <c r="D171" s="280" t="e">
        <f>'A4 Demands'!K90</f>
        <v>#NUM!</v>
      </c>
      <c r="E171" s="281" t="e">
        <f t="shared" si="65"/>
        <v>#NUM!</v>
      </c>
      <c r="F171" s="134" t="e">
        <f t="shared" si="66"/>
        <v>#NUM!</v>
      </c>
      <c r="G171" s="282" t="e">
        <f>IF(B171&lt;EffectiveWithPILON,VLOOKUP(A171,'A1 Contract'!$A$55:$I$64,7,FALSE),VLOOKUP(A171,'A1 Contract'!$A$55:$I$64,4,FALSE))</f>
        <v>#NUM!</v>
      </c>
      <c r="H171" s="248" t="e">
        <f t="shared" si="67"/>
        <v>#NUM!</v>
      </c>
      <c r="I171" s="249" t="e">
        <f t="shared" si="68"/>
        <v>#NUM!</v>
      </c>
      <c r="J171" s="249" t="e">
        <f t="shared" si="69"/>
        <v>#NUM!</v>
      </c>
      <c r="K171" s="249" t="e">
        <f t="shared" si="70"/>
        <v>#NUM!</v>
      </c>
      <c r="L171" s="249" t="e">
        <f t="shared" si="71"/>
        <v>#NUM!</v>
      </c>
      <c r="M171" s="249" t="e">
        <f t="shared" si="72"/>
        <v>#NUM!</v>
      </c>
      <c r="N171" s="249" t="e">
        <f t="shared" si="73"/>
        <v>#NUM!</v>
      </c>
      <c r="O171" s="250" t="e">
        <f t="shared" si="74"/>
        <v>#NUM!</v>
      </c>
      <c r="P171" s="251" t="e">
        <f t="shared" si="75"/>
        <v>#NUM!</v>
      </c>
    </row>
    <row r="172" spans="1:16">
      <c r="A172" s="149" t="e">
        <f t="shared" ref="A172:B172" si="86">A105</f>
        <v>#NUM!</v>
      </c>
      <c r="B172" s="291" t="e">
        <f t="shared" si="86"/>
        <v>#NUM!</v>
      </c>
      <c r="C172" s="279" t="e">
        <f>'A4 Demands'!C91</f>
        <v>#NUM!</v>
      </c>
      <c r="D172" s="280" t="e">
        <f>'A4 Demands'!K91</f>
        <v>#NUM!</v>
      </c>
      <c r="E172" s="281" t="e">
        <f t="shared" si="65"/>
        <v>#NUM!</v>
      </c>
      <c r="F172" s="134" t="e">
        <f t="shared" si="66"/>
        <v>#NUM!</v>
      </c>
      <c r="G172" s="282" t="e">
        <f>IF(B172&lt;EffectiveWithPILON,VLOOKUP(A172,'A1 Contract'!$A$55:$I$64,7,FALSE),VLOOKUP(A172,'A1 Contract'!$A$55:$I$64,4,FALSE))</f>
        <v>#NUM!</v>
      </c>
      <c r="H172" s="248" t="e">
        <f t="shared" si="67"/>
        <v>#NUM!</v>
      </c>
      <c r="I172" s="249" t="e">
        <f t="shared" si="68"/>
        <v>#NUM!</v>
      </c>
      <c r="J172" s="249" t="e">
        <f t="shared" si="69"/>
        <v>#NUM!</v>
      </c>
      <c r="K172" s="249" t="e">
        <f t="shared" si="70"/>
        <v>#NUM!</v>
      </c>
      <c r="L172" s="249" t="e">
        <f t="shared" si="71"/>
        <v>#NUM!</v>
      </c>
      <c r="M172" s="249" t="e">
        <f t="shared" si="72"/>
        <v>#NUM!</v>
      </c>
      <c r="N172" s="249" t="e">
        <f t="shared" si="73"/>
        <v>#NUM!</v>
      </c>
      <c r="O172" s="250" t="e">
        <f t="shared" si="74"/>
        <v>#NUM!</v>
      </c>
      <c r="P172" s="251" t="e">
        <f t="shared" si="75"/>
        <v>#NUM!</v>
      </c>
    </row>
    <row r="173" spans="1:16">
      <c r="A173" s="149" t="e">
        <f t="shared" ref="A173:B173" si="87">A106</f>
        <v>#NUM!</v>
      </c>
      <c r="B173" s="291" t="e">
        <f t="shared" si="87"/>
        <v>#NUM!</v>
      </c>
      <c r="C173" s="279" t="e">
        <f>'A4 Demands'!C92</f>
        <v>#NUM!</v>
      </c>
      <c r="D173" s="280" t="e">
        <f>'A4 Demands'!K92</f>
        <v>#NUM!</v>
      </c>
      <c r="E173" s="281" t="e">
        <f t="shared" si="65"/>
        <v>#NUM!</v>
      </c>
      <c r="F173" s="134" t="e">
        <f t="shared" si="66"/>
        <v>#NUM!</v>
      </c>
      <c r="G173" s="282" t="e">
        <f>IF(B173&lt;EffectiveWithPILON,VLOOKUP(A173,'A1 Contract'!$A$55:$I$64,7,FALSE),VLOOKUP(A173,'A1 Contract'!$A$55:$I$64,4,FALSE))</f>
        <v>#NUM!</v>
      </c>
      <c r="H173" s="248" t="e">
        <f t="shared" si="67"/>
        <v>#NUM!</v>
      </c>
      <c r="I173" s="249" t="e">
        <f t="shared" si="68"/>
        <v>#NUM!</v>
      </c>
      <c r="J173" s="249" t="e">
        <f t="shared" si="69"/>
        <v>#NUM!</v>
      </c>
      <c r="K173" s="249" t="e">
        <f t="shared" si="70"/>
        <v>#NUM!</v>
      </c>
      <c r="L173" s="249" t="e">
        <f t="shared" si="71"/>
        <v>#NUM!</v>
      </c>
      <c r="M173" s="249" t="e">
        <f t="shared" si="72"/>
        <v>#NUM!</v>
      </c>
      <c r="N173" s="249" t="e">
        <f t="shared" si="73"/>
        <v>#NUM!</v>
      </c>
      <c r="O173" s="250" t="e">
        <f t="shared" si="74"/>
        <v>#NUM!</v>
      </c>
      <c r="P173" s="251" t="e">
        <f t="shared" si="75"/>
        <v>#NUM!</v>
      </c>
    </row>
    <row r="174" spans="1:16">
      <c r="A174" s="149" t="e">
        <f t="shared" ref="A174:B174" si="88">A107</f>
        <v>#NUM!</v>
      </c>
      <c r="B174" s="291" t="e">
        <f t="shared" si="88"/>
        <v>#NUM!</v>
      </c>
      <c r="C174" s="279" t="e">
        <f>'A4 Demands'!C93</f>
        <v>#NUM!</v>
      </c>
      <c r="D174" s="280" t="e">
        <f>'A4 Demands'!K93</f>
        <v>#NUM!</v>
      </c>
      <c r="E174" s="281" t="e">
        <f t="shared" si="65"/>
        <v>#NUM!</v>
      </c>
      <c r="F174" s="134" t="e">
        <f t="shared" si="66"/>
        <v>#NUM!</v>
      </c>
      <c r="G174" s="282" t="e">
        <f>IF(B174&lt;EffectiveWithPILON,VLOOKUP(A174,'A1 Contract'!$A$55:$I$64,7,FALSE),VLOOKUP(A174,'A1 Contract'!$A$55:$I$64,4,FALSE))</f>
        <v>#NUM!</v>
      </c>
      <c r="H174" s="248" t="e">
        <f t="shared" si="67"/>
        <v>#NUM!</v>
      </c>
      <c r="I174" s="249" t="e">
        <f t="shared" si="68"/>
        <v>#NUM!</v>
      </c>
      <c r="J174" s="249" t="e">
        <f t="shared" si="69"/>
        <v>#NUM!</v>
      </c>
      <c r="K174" s="249" t="e">
        <f t="shared" si="70"/>
        <v>#NUM!</v>
      </c>
      <c r="L174" s="249" t="e">
        <f t="shared" si="71"/>
        <v>#NUM!</v>
      </c>
      <c r="M174" s="249" t="e">
        <f t="shared" si="72"/>
        <v>#NUM!</v>
      </c>
      <c r="N174" s="249" t="e">
        <f t="shared" si="73"/>
        <v>#NUM!</v>
      </c>
      <c r="O174" s="250" t="e">
        <f t="shared" si="74"/>
        <v>#NUM!</v>
      </c>
      <c r="P174" s="251" t="e">
        <f t="shared" si="75"/>
        <v>#NUM!</v>
      </c>
    </row>
    <row r="175" spans="1:16">
      <c r="A175" s="149" t="e">
        <f t="shared" ref="A175:B175" si="89">A108</f>
        <v>#NUM!</v>
      </c>
      <c r="B175" s="291" t="e">
        <f t="shared" si="89"/>
        <v>#NUM!</v>
      </c>
      <c r="C175" s="279" t="e">
        <f>'A4 Demands'!C94</f>
        <v>#NUM!</v>
      </c>
      <c r="D175" s="280" t="e">
        <f>'A4 Demands'!K94</f>
        <v>#NUM!</v>
      </c>
      <c r="E175" s="281" t="e">
        <f t="shared" si="65"/>
        <v>#NUM!</v>
      </c>
      <c r="F175" s="134" t="e">
        <f t="shared" si="66"/>
        <v>#NUM!</v>
      </c>
      <c r="G175" s="282" t="e">
        <f>IF(B175&lt;EffectiveWithPILON,VLOOKUP(A175,'A1 Contract'!$A$55:$I$64,7,FALSE),VLOOKUP(A175,'A1 Contract'!$A$55:$I$64,4,FALSE))</f>
        <v>#NUM!</v>
      </c>
      <c r="H175" s="248" t="e">
        <f t="shared" si="67"/>
        <v>#NUM!</v>
      </c>
      <c r="I175" s="249" t="e">
        <f t="shared" si="68"/>
        <v>#NUM!</v>
      </c>
      <c r="J175" s="249" t="e">
        <f t="shared" si="69"/>
        <v>#NUM!</v>
      </c>
      <c r="K175" s="249" t="e">
        <f t="shared" si="70"/>
        <v>#NUM!</v>
      </c>
      <c r="L175" s="249" t="e">
        <f t="shared" si="71"/>
        <v>#NUM!</v>
      </c>
      <c r="M175" s="249" t="e">
        <f t="shared" si="72"/>
        <v>#NUM!</v>
      </c>
      <c r="N175" s="249" t="e">
        <f t="shared" si="73"/>
        <v>#NUM!</v>
      </c>
      <c r="O175" s="250" t="e">
        <f t="shared" si="74"/>
        <v>#NUM!</v>
      </c>
      <c r="P175" s="251" t="e">
        <f t="shared" si="75"/>
        <v>#NUM!</v>
      </c>
    </row>
    <row r="176" spans="1:16">
      <c r="A176" s="149" t="e">
        <f t="shared" ref="A176:B176" si="90">A109</f>
        <v>#NUM!</v>
      </c>
      <c r="B176" s="291" t="e">
        <f t="shared" si="90"/>
        <v>#NUM!</v>
      </c>
      <c r="C176" s="279" t="e">
        <f>'A4 Demands'!C95</f>
        <v>#NUM!</v>
      </c>
      <c r="D176" s="280" t="e">
        <f>'A4 Demands'!K95</f>
        <v>#NUM!</v>
      </c>
      <c r="E176" s="281" t="e">
        <f t="shared" si="65"/>
        <v>#NUM!</v>
      </c>
      <c r="F176" s="134" t="e">
        <f t="shared" si="66"/>
        <v>#NUM!</v>
      </c>
      <c r="G176" s="282" t="e">
        <f>IF(B176&lt;EffectiveWithPILON,VLOOKUP(A176,'A1 Contract'!$A$55:$I$64,7,FALSE),VLOOKUP(A176,'A1 Contract'!$A$55:$I$64,4,FALSE))</f>
        <v>#NUM!</v>
      </c>
      <c r="H176" s="248" t="e">
        <f t="shared" si="67"/>
        <v>#NUM!</v>
      </c>
      <c r="I176" s="249" t="e">
        <f t="shared" si="68"/>
        <v>#NUM!</v>
      </c>
      <c r="J176" s="249" t="e">
        <f t="shared" si="69"/>
        <v>#NUM!</v>
      </c>
      <c r="K176" s="249" t="e">
        <f t="shared" si="70"/>
        <v>#NUM!</v>
      </c>
      <c r="L176" s="249" t="e">
        <f t="shared" si="71"/>
        <v>#NUM!</v>
      </c>
      <c r="M176" s="249" t="e">
        <f t="shared" si="72"/>
        <v>#NUM!</v>
      </c>
      <c r="N176" s="249" t="e">
        <f t="shared" si="73"/>
        <v>#NUM!</v>
      </c>
      <c r="O176" s="250" t="e">
        <f t="shared" si="74"/>
        <v>#NUM!</v>
      </c>
      <c r="P176" s="251" t="e">
        <f t="shared" si="75"/>
        <v>#NUM!</v>
      </c>
    </row>
    <row r="177" spans="1:16">
      <c r="A177" s="149" t="e">
        <f t="shared" ref="A177:B177" si="91">A110</f>
        <v>#NUM!</v>
      </c>
      <c r="B177" s="291" t="e">
        <f t="shared" si="91"/>
        <v>#NUM!</v>
      </c>
      <c r="C177" s="279" t="e">
        <f>'A4 Demands'!C96</f>
        <v>#NUM!</v>
      </c>
      <c r="D177" s="280" t="e">
        <f>'A4 Demands'!K96</f>
        <v>#NUM!</v>
      </c>
      <c r="E177" s="281" t="e">
        <f t="shared" si="65"/>
        <v>#NUM!</v>
      </c>
      <c r="F177" s="134" t="e">
        <f t="shared" si="66"/>
        <v>#NUM!</v>
      </c>
      <c r="G177" s="282" t="e">
        <f>IF(B177&lt;EffectiveWithPILON,VLOOKUP(A177,'A1 Contract'!$A$55:$I$64,7,FALSE),VLOOKUP(A177,'A1 Contract'!$A$55:$I$64,4,FALSE))</f>
        <v>#NUM!</v>
      </c>
      <c r="H177" s="248" t="e">
        <f t="shared" si="67"/>
        <v>#NUM!</v>
      </c>
      <c r="I177" s="249" t="e">
        <f t="shared" si="68"/>
        <v>#NUM!</v>
      </c>
      <c r="J177" s="249" t="e">
        <f t="shared" si="69"/>
        <v>#NUM!</v>
      </c>
      <c r="K177" s="249" t="e">
        <f t="shared" si="70"/>
        <v>#NUM!</v>
      </c>
      <c r="L177" s="249" t="e">
        <f t="shared" si="71"/>
        <v>#NUM!</v>
      </c>
      <c r="M177" s="249" t="e">
        <f t="shared" si="72"/>
        <v>#NUM!</v>
      </c>
      <c r="N177" s="249" t="e">
        <f t="shared" si="73"/>
        <v>#NUM!</v>
      </c>
      <c r="O177" s="250" t="e">
        <f t="shared" si="74"/>
        <v>#NUM!</v>
      </c>
      <c r="P177" s="251" t="e">
        <f t="shared" si="75"/>
        <v>#NUM!</v>
      </c>
    </row>
    <row r="178" spans="1:16">
      <c r="A178" s="149" t="e">
        <f t="shared" ref="A178:B178" si="92">A111</f>
        <v>#NUM!</v>
      </c>
      <c r="B178" s="291" t="e">
        <f t="shared" si="92"/>
        <v>#NUM!</v>
      </c>
      <c r="C178" s="279" t="e">
        <f>'A4 Demands'!C97</f>
        <v>#NUM!</v>
      </c>
      <c r="D178" s="280" t="e">
        <f>'A4 Demands'!K97</f>
        <v>#NUM!</v>
      </c>
      <c r="E178" s="281" t="e">
        <f t="shared" si="65"/>
        <v>#NUM!</v>
      </c>
      <c r="F178" s="134" t="e">
        <f t="shared" si="66"/>
        <v>#NUM!</v>
      </c>
      <c r="G178" s="282" t="e">
        <f>IF(B178&lt;EffectiveWithPILON,VLOOKUP(A178,'A1 Contract'!$A$55:$I$64,7,FALSE),VLOOKUP(A178,'A1 Contract'!$A$55:$I$64,4,FALSE))</f>
        <v>#NUM!</v>
      </c>
      <c r="H178" s="248" t="e">
        <f t="shared" si="67"/>
        <v>#NUM!</v>
      </c>
      <c r="I178" s="249" t="e">
        <f t="shared" si="68"/>
        <v>#NUM!</v>
      </c>
      <c r="J178" s="249" t="e">
        <f t="shared" si="69"/>
        <v>#NUM!</v>
      </c>
      <c r="K178" s="249" t="e">
        <f t="shared" si="70"/>
        <v>#NUM!</v>
      </c>
      <c r="L178" s="249" t="e">
        <f t="shared" si="71"/>
        <v>#NUM!</v>
      </c>
      <c r="M178" s="249" t="e">
        <f t="shared" si="72"/>
        <v>#NUM!</v>
      </c>
      <c r="N178" s="249" t="e">
        <f t="shared" si="73"/>
        <v>#NUM!</v>
      </c>
      <c r="O178" s="250" t="e">
        <f t="shared" si="74"/>
        <v>#NUM!</v>
      </c>
      <c r="P178" s="251" t="e">
        <f t="shared" si="75"/>
        <v>#NUM!</v>
      </c>
    </row>
    <row r="179" spans="1:16">
      <c r="A179" s="149" t="e">
        <f t="shared" ref="A179:B179" si="93">A112</f>
        <v>#NUM!</v>
      </c>
      <c r="B179" s="291" t="e">
        <f t="shared" si="93"/>
        <v>#NUM!</v>
      </c>
      <c r="C179" s="279" t="e">
        <f>'A4 Demands'!C98</f>
        <v>#NUM!</v>
      </c>
      <c r="D179" s="280" t="e">
        <f>'A4 Demands'!K98</f>
        <v>#NUM!</v>
      </c>
      <c r="E179" s="281" t="e">
        <f t="shared" si="65"/>
        <v>#NUM!</v>
      </c>
      <c r="F179" s="134" t="e">
        <f t="shared" si="66"/>
        <v>#NUM!</v>
      </c>
      <c r="G179" s="282" t="e">
        <f>IF(B179&lt;EffectiveWithPILON,VLOOKUP(A179,'A1 Contract'!$A$55:$I$64,7,FALSE),VLOOKUP(A179,'A1 Contract'!$A$55:$I$64,4,FALSE))</f>
        <v>#NUM!</v>
      </c>
      <c r="H179" s="248" t="e">
        <f t="shared" si="67"/>
        <v>#NUM!</v>
      </c>
      <c r="I179" s="249" t="e">
        <f t="shared" si="68"/>
        <v>#NUM!</v>
      </c>
      <c r="J179" s="249" t="e">
        <f t="shared" si="69"/>
        <v>#NUM!</v>
      </c>
      <c r="K179" s="249" t="e">
        <f t="shared" si="70"/>
        <v>#NUM!</v>
      </c>
      <c r="L179" s="249" t="e">
        <f t="shared" si="71"/>
        <v>#NUM!</v>
      </c>
      <c r="M179" s="249" t="e">
        <f t="shared" si="72"/>
        <v>#NUM!</v>
      </c>
      <c r="N179" s="249" t="e">
        <f t="shared" si="73"/>
        <v>#NUM!</v>
      </c>
      <c r="O179" s="250" t="e">
        <f t="shared" si="74"/>
        <v>#NUM!</v>
      </c>
      <c r="P179" s="251" t="e">
        <f t="shared" si="75"/>
        <v>#NUM!</v>
      </c>
    </row>
    <row r="180" spans="1:16">
      <c r="A180" s="149" t="e">
        <f t="shared" ref="A180:B180" si="94">A113</f>
        <v>#NUM!</v>
      </c>
      <c r="B180" s="291" t="e">
        <f t="shared" si="94"/>
        <v>#NUM!</v>
      </c>
      <c r="C180" s="279" t="e">
        <f>'A4 Demands'!C99</f>
        <v>#NUM!</v>
      </c>
      <c r="D180" s="280" t="e">
        <f>'A4 Demands'!K99</f>
        <v>#NUM!</v>
      </c>
      <c r="E180" s="281" t="e">
        <f t="shared" si="65"/>
        <v>#NUM!</v>
      </c>
      <c r="F180" s="134" t="e">
        <f t="shared" si="66"/>
        <v>#NUM!</v>
      </c>
      <c r="G180" s="282" t="e">
        <f>IF(B180&lt;EffectiveWithPILON,VLOOKUP(A180,'A1 Contract'!$A$55:$I$64,7,FALSE),VLOOKUP(A180,'A1 Contract'!$A$55:$I$64,4,FALSE))</f>
        <v>#NUM!</v>
      </c>
      <c r="H180" s="248" t="e">
        <f t="shared" si="67"/>
        <v>#NUM!</v>
      </c>
      <c r="I180" s="249" t="e">
        <f t="shared" si="68"/>
        <v>#NUM!</v>
      </c>
      <c r="J180" s="249" t="e">
        <f t="shared" si="69"/>
        <v>#NUM!</v>
      </c>
      <c r="K180" s="249" t="e">
        <f t="shared" si="70"/>
        <v>#NUM!</v>
      </c>
      <c r="L180" s="249" t="e">
        <f t="shared" si="71"/>
        <v>#NUM!</v>
      </c>
      <c r="M180" s="249" t="e">
        <f t="shared" si="72"/>
        <v>#NUM!</v>
      </c>
      <c r="N180" s="249" t="e">
        <f t="shared" si="73"/>
        <v>#NUM!</v>
      </c>
      <c r="O180" s="250" t="e">
        <f t="shared" si="74"/>
        <v>#NUM!</v>
      </c>
      <c r="P180" s="251" t="e">
        <f t="shared" si="75"/>
        <v>#NUM!</v>
      </c>
    </row>
    <row r="181" spans="1:16">
      <c r="A181" s="149" t="e">
        <f t="shared" ref="A181:B181" si="95">A114</f>
        <v>#NUM!</v>
      </c>
      <c r="B181" s="291" t="e">
        <f t="shared" si="95"/>
        <v>#NUM!</v>
      </c>
      <c r="C181" s="279" t="e">
        <f>'A4 Demands'!C100</f>
        <v>#NUM!</v>
      </c>
      <c r="D181" s="280" t="e">
        <f>'A4 Demands'!K100</f>
        <v>#NUM!</v>
      </c>
      <c r="E181" s="281" t="e">
        <f t="shared" si="65"/>
        <v>#NUM!</v>
      </c>
      <c r="F181" s="134" t="e">
        <f t="shared" si="66"/>
        <v>#NUM!</v>
      </c>
      <c r="G181" s="282" t="e">
        <f>IF(B181&lt;EffectiveWithPILON,VLOOKUP(A181,'A1 Contract'!$A$55:$I$64,7,FALSE),VLOOKUP(A181,'A1 Contract'!$A$55:$I$64,4,FALSE))</f>
        <v>#NUM!</v>
      </c>
      <c r="H181" s="248" t="e">
        <f t="shared" si="67"/>
        <v>#NUM!</v>
      </c>
      <c r="I181" s="249" t="e">
        <f t="shared" si="68"/>
        <v>#NUM!</v>
      </c>
      <c r="J181" s="249" t="e">
        <f t="shared" si="69"/>
        <v>#NUM!</v>
      </c>
      <c r="K181" s="249" t="e">
        <f t="shared" si="70"/>
        <v>#NUM!</v>
      </c>
      <c r="L181" s="249" t="e">
        <f t="shared" si="71"/>
        <v>#NUM!</v>
      </c>
      <c r="M181" s="249" t="e">
        <f t="shared" si="72"/>
        <v>#NUM!</v>
      </c>
      <c r="N181" s="249" t="e">
        <f t="shared" si="73"/>
        <v>#NUM!</v>
      </c>
      <c r="O181" s="250" t="e">
        <f t="shared" si="74"/>
        <v>#NUM!</v>
      </c>
      <c r="P181" s="251" t="e">
        <f t="shared" si="75"/>
        <v>#NUM!</v>
      </c>
    </row>
    <row r="182" spans="1:16">
      <c r="A182" s="149" t="e">
        <f t="shared" ref="A182:B182" si="96">A115</f>
        <v>#NUM!</v>
      </c>
      <c r="B182" s="291" t="e">
        <f t="shared" si="96"/>
        <v>#NUM!</v>
      </c>
      <c r="C182" s="279" t="e">
        <f>'A4 Demands'!C101</f>
        <v>#NUM!</v>
      </c>
      <c r="D182" s="280" t="e">
        <f>'A4 Demands'!K101</f>
        <v>#NUM!</v>
      </c>
      <c r="E182" s="281" t="e">
        <f t="shared" si="65"/>
        <v>#NUM!</v>
      </c>
      <c r="F182" s="134" t="e">
        <f t="shared" si="66"/>
        <v>#NUM!</v>
      </c>
      <c r="G182" s="282" t="e">
        <f>IF(B182&lt;EffectiveWithPILON,VLOOKUP(A182,'A1 Contract'!$A$55:$I$64,7,FALSE),VLOOKUP(A182,'A1 Contract'!$A$55:$I$64,4,FALSE))</f>
        <v>#NUM!</v>
      </c>
      <c r="H182" s="248" t="e">
        <f t="shared" si="67"/>
        <v>#NUM!</v>
      </c>
      <c r="I182" s="249" t="e">
        <f t="shared" si="68"/>
        <v>#NUM!</v>
      </c>
      <c r="J182" s="249" t="e">
        <f t="shared" si="69"/>
        <v>#NUM!</v>
      </c>
      <c r="K182" s="249" t="e">
        <f t="shared" si="70"/>
        <v>#NUM!</v>
      </c>
      <c r="L182" s="249" t="e">
        <f t="shared" si="71"/>
        <v>#NUM!</v>
      </c>
      <c r="M182" s="249" t="e">
        <f t="shared" si="72"/>
        <v>#NUM!</v>
      </c>
      <c r="N182" s="249" t="e">
        <f t="shared" si="73"/>
        <v>#NUM!</v>
      </c>
      <c r="O182" s="250" t="e">
        <f t="shared" si="74"/>
        <v>#NUM!</v>
      </c>
      <c r="P182" s="251" t="e">
        <f t="shared" si="75"/>
        <v>#NUM!</v>
      </c>
    </row>
    <row r="183" spans="1:16">
      <c r="A183" s="149" t="e">
        <f t="shared" ref="A183:B183" si="97">A116</f>
        <v>#NUM!</v>
      </c>
      <c r="B183" s="291" t="e">
        <f t="shared" si="97"/>
        <v>#NUM!</v>
      </c>
      <c r="C183" s="279" t="e">
        <f>'A4 Demands'!C102</f>
        <v>#NUM!</v>
      </c>
      <c r="D183" s="280" t="e">
        <f>'A4 Demands'!K102</f>
        <v>#NUM!</v>
      </c>
      <c r="E183" s="281" t="e">
        <f t="shared" si="65"/>
        <v>#NUM!</v>
      </c>
      <c r="F183" s="134" t="e">
        <f t="shared" si="66"/>
        <v>#NUM!</v>
      </c>
      <c r="G183" s="282" t="e">
        <f>IF(B183&lt;EffectiveWithPILON,VLOOKUP(A183,'A1 Contract'!$A$55:$I$64,7,FALSE),VLOOKUP(A183,'A1 Contract'!$A$55:$I$64,4,FALSE))</f>
        <v>#NUM!</v>
      </c>
      <c r="H183" s="248" t="e">
        <f t="shared" si="67"/>
        <v>#NUM!</v>
      </c>
      <c r="I183" s="249" t="e">
        <f t="shared" si="68"/>
        <v>#NUM!</v>
      </c>
      <c r="J183" s="249" t="e">
        <f t="shared" si="69"/>
        <v>#NUM!</v>
      </c>
      <c r="K183" s="249" t="e">
        <f t="shared" si="70"/>
        <v>#NUM!</v>
      </c>
      <c r="L183" s="249" t="e">
        <f t="shared" si="71"/>
        <v>#NUM!</v>
      </c>
      <c r="M183" s="249" t="e">
        <f t="shared" si="72"/>
        <v>#NUM!</v>
      </c>
      <c r="N183" s="249" t="e">
        <f t="shared" si="73"/>
        <v>#NUM!</v>
      </c>
      <c r="O183" s="250" t="e">
        <f t="shared" si="74"/>
        <v>#NUM!</v>
      </c>
      <c r="P183" s="251" t="e">
        <f t="shared" si="75"/>
        <v>#NUM!</v>
      </c>
    </row>
    <row r="184" spans="1:16">
      <c r="A184" s="149" t="e">
        <f t="shared" ref="A184:B184" si="98">A117</f>
        <v>#NUM!</v>
      </c>
      <c r="B184" s="291" t="e">
        <f t="shared" si="98"/>
        <v>#NUM!</v>
      </c>
      <c r="C184" s="279" t="e">
        <f>'A4 Demands'!C103</f>
        <v>#NUM!</v>
      </c>
      <c r="D184" s="280" t="e">
        <f>'A4 Demands'!K103</f>
        <v>#NUM!</v>
      </c>
      <c r="E184" s="281" t="e">
        <f t="shared" si="65"/>
        <v>#NUM!</v>
      </c>
      <c r="F184" s="134" t="e">
        <f t="shared" si="66"/>
        <v>#NUM!</v>
      </c>
      <c r="G184" s="282" t="e">
        <f>IF(B184&lt;EffectiveWithPILON,VLOOKUP(A184,'A1 Contract'!$A$55:$I$64,7,FALSE),VLOOKUP(A184,'A1 Contract'!$A$55:$I$64,4,FALSE))</f>
        <v>#NUM!</v>
      </c>
      <c r="H184" s="248" t="e">
        <f t="shared" si="67"/>
        <v>#NUM!</v>
      </c>
      <c r="I184" s="249" t="e">
        <f t="shared" si="68"/>
        <v>#NUM!</v>
      </c>
      <c r="J184" s="249" t="e">
        <f t="shared" si="69"/>
        <v>#NUM!</v>
      </c>
      <c r="K184" s="249" t="e">
        <f t="shared" si="70"/>
        <v>#NUM!</v>
      </c>
      <c r="L184" s="249" t="e">
        <f t="shared" si="71"/>
        <v>#NUM!</v>
      </c>
      <c r="M184" s="249" t="e">
        <f t="shared" si="72"/>
        <v>#NUM!</v>
      </c>
      <c r="N184" s="249" t="e">
        <f t="shared" si="73"/>
        <v>#NUM!</v>
      </c>
      <c r="O184" s="250" t="e">
        <f t="shared" si="74"/>
        <v>#NUM!</v>
      </c>
      <c r="P184" s="251" t="e">
        <f t="shared" si="75"/>
        <v>#NUM!</v>
      </c>
    </row>
    <row r="185" spans="1:16">
      <c r="A185" s="149" t="e">
        <f t="shared" ref="A185:B185" si="99">A118</f>
        <v>#NUM!</v>
      </c>
      <c r="B185" s="291" t="e">
        <f t="shared" si="99"/>
        <v>#NUM!</v>
      </c>
      <c r="C185" s="279" t="e">
        <f>'A4 Demands'!C104</f>
        <v>#NUM!</v>
      </c>
      <c r="D185" s="280" t="e">
        <f>'A4 Demands'!K104</f>
        <v>#NUM!</v>
      </c>
      <c r="E185" s="281" t="e">
        <f t="shared" si="65"/>
        <v>#NUM!</v>
      </c>
      <c r="F185" s="134" t="e">
        <f t="shared" si="66"/>
        <v>#NUM!</v>
      </c>
      <c r="G185" s="282" t="e">
        <f>IF(B185&lt;EffectiveWithPILON,VLOOKUP(A185,'A1 Contract'!$A$55:$I$64,7,FALSE),VLOOKUP(A185,'A1 Contract'!$A$55:$I$64,4,FALSE))</f>
        <v>#NUM!</v>
      </c>
      <c r="H185" s="248" t="e">
        <f t="shared" si="67"/>
        <v>#NUM!</v>
      </c>
      <c r="I185" s="249" t="e">
        <f t="shared" si="68"/>
        <v>#NUM!</v>
      </c>
      <c r="J185" s="249" t="e">
        <f t="shared" si="69"/>
        <v>#NUM!</v>
      </c>
      <c r="K185" s="249" t="e">
        <f t="shared" si="70"/>
        <v>#NUM!</v>
      </c>
      <c r="L185" s="249" t="e">
        <f t="shared" si="71"/>
        <v>#NUM!</v>
      </c>
      <c r="M185" s="249" t="e">
        <f t="shared" si="72"/>
        <v>#NUM!</v>
      </c>
      <c r="N185" s="249" t="e">
        <f t="shared" si="73"/>
        <v>#NUM!</v>
      </c>
      <c r="O185" s="250" t="e">
        <f t="shared" si="74"/>
        <v>#NUM!</v>
      </c>
      <c r="P185" s="251" t="e">
        <f t="shared" si="75"/>
        <v>#NUM!</v>
      </c>
    </row>
    <row r="186" spans="1:16">
      <c r="A186" s="149" t="e">
        <f t="shared" ref="A186:B186" si="100">A119</f>
        <v>#NUM!</v>
      </c>
      <c r="B186" s="291" t="e">
        <f t="shared" si="100"/>
        <v>#NUM!</v>
      </c>
      <c r="C186" s="279" t="e">
        <f>'A4 Demands'!C105</f>
        <v>#NUM!</v>
      </c>
      <c r="D186" s="280" t="e">
        <f>'A4 Demands'!K105</f>
        <v>#NUM!</v>
      </c>
      <c r="E186" s="281" t="e">
        <f t="shared" si="65"/>
        <v>#NUM!</v>
      </c>
      <c r="F186" s="134" t="e">
        <f t="shared" si="66"/>
        <v>#NUM!</v>
      </c>
      <c r="G186" s="282" t="e">
        <f>IF(B186&lt;EffectiveWithPILON,VLOOKUP(A186,'A1 Contract'!$A$55:$I$64,7,FALSE),VLOOKUP(A186,'A1 Contract'!$A$55:$I$64,4,FALSE))</f>
        <v>#NUM!</v>
      </c>
      <c r="H186" s="248" t="e">
        <f t="shared" si="67"/>
        <v>#NUM!</v>
      </c>
      <c r="I186" s="249" t="e">
        <f t="shared" si="68"/>
        <v>#NUM!</v>
      </c>
      <c r="J186" s="249" t="e">
        <f t="shared" si="69"/>
        <v>#NUM!</v>
      </c>
      <c r="K186" s="249" t="e">
        <f t="shared" si="70"/>
        <v>#NUM!</v>
      </c>
      <c r="L186" s="249" t="e">
        <f t="shared" si="71"/>
        <v>#NUM!</v>
      </c>
      <c r="M186" s="249" t="e">
        <f t="shared" si="72"/>
        <v>#NUM!</v>
      </c>
      <c r="N186" s="249" t="e">
        <f t="shared" si="73"/>
        <v>#NUM!</v>
      </c>
      <c r="O186" s="250" t="e">
        <f t="shared" si="74"/>
        <v>#NUM!</v>
      </c>
      <c r="P186" s="251" t="e">
        <f t="shared" si="75"/>
        <v>#NUM!</v>
      </c>
    </row>
    <row r="187" spans="1:16">
      <c r="A187" s="149" t="e">
        <f t="shared" ref="A187:B187" si="101">A120</f>
        <v>#NUM!</v>
      </c>
      <c r="B187" s="291" t="e">
        <f t="shared" si="101"/>
        <v>#NUM!</v>
      </c>
      <c r="C187" s="279" t="e">
        <f>'A4 Demands'!C106</f>
        <v>#NUM!</v>
      </c>
      <c r="D187" s="280" t="e">
        <f>'A4 Demands'!K106</f>
        <v>#NUM!</v>
      </c>
      <c r="E187" s="281" t="e">
        <f t="shared" si="65"/>
        <v>#NUM!</v>
      </c>
      <c r="F187" s="134" t="e">
        <f t="shared" si="66"/>
        <v>#NUM!</v>
      </c>
      <c r="G187" s="282" t="e">
        <f>IF(B187&lt;EffectiveWithPILON,VLOOKUP(A187,'A1 Contract'!$A$55:$I$64,7,FALSE),VLOOKUP(A187,'A1 Contract'!$A$55:$I$64,4,FALSE))</f>
        <v>#NUM!</v>
      </c>
      <c r="H187" s="248" t="e">
        <f t="shared" si="67"/>
        <v>#NUM!</v>
      </c>
      <c r="I187" s="249" t="e">
        <f t="shared" si="68"/>
        <v>#NUM!</v>
      </c>
      <c r="J187" s="249" t="e">
        <f t="shared" si="69"/>
        <v>#NUM!</v>
      </c>
      <c r="K187" s="249" t="e">
        <f t="shared" si="70"/>
        <v>#NUM!</v>
      </c>
      <c r="L187" s="249" t="e">
        <f t="shared" si="71"/>
        <v>#NUM!</v>
      </c>
      <c r="M187" s="249" t="e">
        <f t="shared" si="72"/>
        <v>#NUM!</v>
      </c>
      <c r="N187" s="249" t="e">
        <f t="shared" si="73"/>
        <v>#NUM!</v>
      </c>
      <c r="O187" s="250" t="e">
        <f t="shared" si="74"/>
        <v>#NUM!</v>
      </c>
      <c r="P187" s="251" t="e">
        <f t="shared" si="75"/>
        <v>#NUM!</v>
      </c>
    </row>
    <row r="188" spans="1:16">
      <c r="A188" s="150" t="e">
        <f t="shared" ref="A188:B188" si="102">A121</f>
        <v>#NUM!</v>
      </c>
      <c r="B188" s="292" t="e">
        <f t="shared" si="102"/>
        <v>#NUM!</v>
      </c>
      <c r="C188" s="283" t="e">
        <f>'A4 Demands'!C107</f>
        <v>#NUM!</v>
      </c>
      <c r="D188" s="284" t="e">
        <f>'A4 Demands'!K107</f>
        <v>#NUM!</v>
      </c>
      <c r="E188" s="285" t="e">
        <f t="shared" si="65"/>
        <v>#NUM!</v>
      </c>
      <c r="F188" s="136" t="e">
        <f t="shared" si="66"/>
        <v>#NUM!</v>
      </c>
      <c r="G188" s="286" t="e">
        <f>IF(B188&lt;EffectiveWithPILON,VLOOKUP(A188,'A1 Contract'!$A$55:$I$64,7,FALSE),VLOOKUP(A188,'A1 Contract'!$A$55:$I$64,4,FALSE))</f>
        <v>#NUM!</v>
      </c>
      <c r="H188" s="287" t="e">
        <f t="shared" si="67"/>
        <v>#NUM!</v>
      </c>
      <c r="I188" s="288" t="e">
        <f t="shared" si="68"/>
        <v>#NUM!</v>
      </c>
      <c r="J188" s="288" t="e">
        <f t="shared" si="69"/>
        <v>#NUM!</v>
      </c>
      <c r="K188" s="288" t="e">
        <f t="shared" si="70"/>
        <v>#NUM!</v>
      </c>
      <c r="L188" s="288" t="e">
        <f t="shared" si="71"/>
        <v>#NUM!</v>
      </c>
      <c r="M188" s="288" t="e">
        <f t="shared" si="72"/>
        <v>#NUM!</v>
      </c>
      <c r="N188" s="288" t="e">
        <f t="shared" si="73"/>
        <v>#NUM!</v>
      </c>
      <c r="O188" s="307" t="e">
        <f t="shared" si="74"/>
        <v>#NUM!</v>
      </c>
      <c r="P188" s="289" t="e">
        <f t="shared" si="75"/>
        <v>#NUM!</v>
      </c>
    </row>
  </sheetData>
  <mergeCells count="35">
    <mergeCell ref="A51:D51"/>
    <mergeCell ref="G27:H27"/>
    <mergeCell ref="E27:F27"/>
    <mergeCell ref="E51:F51"/>
    <mergeCell ref="G40:H40"/>
    <mergeCell ref="A27:D27"/>
    <mergeCell ref="E33:F33"/>
    <mergeCell ref="E34:F34"/>
    <mergeCell ref="E39:F39"/>
    <mergeCell ref="E40:F40"/>
    <mergeCell ref="E38:F38"/>
    <mergeCell ref="E37:F37"/>
    <mergeCell ref="E36:F36"/>
    <mergeCell ref="O128:P128"/>
    <mergeCell ref="G36:H36"/>
    <mergeCell ref="G37:H37"/>
    <mergeCell ref="G38:H38"/>
    <mergeCell ref="G39:H39"/>
    <mergeCell ref="H56:P56"/>
    <mergeCell ref="H123:P123"/>
    <mergeCell ref="O61:P61"/>
    <mergeCell ref="A12:I12"/>
    <mergeCell ref="C17:D17"/>
    <mergeCell ref="I17:K17"/>
    <mergeCell ref="E30:F30"/>
    <mergeCell ref="E31:F31"/>
    <mergeCell ref="C16:D16"/>
    <mergeCell ref="C14:G14"/>
    <mergeCell ref="I14:K14"/>
    <mergeCell ref="C15:G15"/>
    <mergeCell ref="H21:I21"/>
    <mergeCell ref="H22:I22"/>
    <mergeCell ref="H23:I23"/>
    <mergeCell ref="F17:G17"/>
    <mergeCell ref="F16:G16"/>
  </mergeCells>
  <pageMargins left="0.51181102362204722" right="0.51181102362204722" top="0.23622047244094491" bottom="0.51181102362204722" header="0.31496062992125984" footer="0.31496062992125984"/>
  <pageSetup scale="31" orientation="portrait" r:id="rId1"/>
  <headerFooter alignWithMargins="0">
    <oddFooter>&amp;L&amp;8Attachment to ISO Tariff - PILON Calculator (AESO ID No. 2025-010T)
Filename: &amp;F — Page &amp;P of &amp;N&amp;R&amp;8Proprietary When Completed</oddFooter>
  </headerFooter>
  <rowBreaks count="1" manualBreakCount="1">
    <brk id="55"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M25"/>
  <sheetViews>
    <sheetView workbookViewId="0">
      <selection activeCell="L25" sqref="L25"/>
    </sheetView>
  </sheetViews>
  <sheetFormatPr defaultRowHeight="12.75"/>
  <cols>
    <col min="1" max="1" width="40.6640625" bestFit="1" customWidth="1"/>
    <col min="2" max="2" width="37.33203125" bestFit="1" customWidth="1"/>
    <col min="3" max="3" width="10.53125" bestFit="1" customWidth="1"/>
    <col min="4" max="7" width="10.6640625" bestFit="1" customWidth="1"/>
    <col min="8" max="8" width="11.53125" bestFit="1" customWidth="1"/>
    <col min="9" max="9" width="12" customWidth="1"/>
    <col min="10" max="13" width="11.53125" bestFit="1" customWidth="1"/>
  </cols>
  <sheetData>
    <row r="1" spans="1:13" ht="14.25">
      <c r="A1" s="355"/>
      <c r="B1" s="370" t="s">
        <v>44</v>
      </c>
      <c r="C1" s="370" t="s">
        <v>158</v>
      </c>
      <c r="D1" s="370" t="s">
        <v>159</v>
      </c>
      <c r="E1" s="370" t="s">
        <v>160</v>
      </c>
      <c r="F1" s="370" t="s">
        <v>161</v>
      </c>
      <c r="G1" s="370" t="s">
        <v>157</v>
      </c>
      <c r="H1" s="370" t="s">
        <v>162</v>
      </c>
      <c r="I1" s="370" t="s">
        <v>177</v>
      </c>
      <c r="J1" s="370" t="s">
        <v>202</v>
      </c>
      <c r="K1" s="370" t="s">
        <v>203</v>
      </c>
      <c r="L1" s="370" t="s">
        <v>219</v>
      </c>
      <c r="M1" s="370" t="s">
        <v>220</v>
      </c>
    </row>
    <row r="2" spans="1:13" ht="14.25">
      <c r="A2" s="355"/>
      <c r="B2" s="355" t="s">
        <v>163</v>
      </c>
      <c r="C2" s="356">
        <v>42370</v>
      </c>
      <c r="D2" s="356">
        <v>42461</v>
      </c>
      <c r="E2" s="356">
        <v>42736</v>
      </c>
      <c r="F2" s="356">
        <v>43101</v>
      </c>
      <c r="G2" s="356">
        <v>43466</v>
      </c>
      <c r="H2" s="356">
        <v>43922</v>
      </c>
      <c r="I2" s="371">
        <v>44197</v>
      </c>
      <c r="J2" s="371">
        <v>44562</v>
      </c>
      <c r="K2" s="371">
        <v>44927</v>
      </c>
      <c r="L2" s="371">
        <v>45292</v>
      </c>
      <c r="M2" s="371">
        <v>45658</v>
      </c>
    </row>
    <row r="3" spans="1:13" ht="14.25">
      <c r="A3" s="355"/>
      <c r="B3" s="355" t="s">
        <v>164</v>
      </c>
      <c r="C3" s="356">
        <v>42460</v>
      </c>
      <c r="D3" s="356">
        <v>42735</v>
      </c>
      <c r="E3" s="356">
        <v>43100</v>
      </c>
      <c r="F3" s="356">
        <v>43465</v>
      </c>
      <c r="G3" s="356">
        <v>43921</v>
      </c>
      <c r="H3" s="356">
        <v>44196</v>
      </c>
      <c r="I3" s="375">
        <v>44561</v>
      </c>
      <c r="J3" s="375">
        <v>44926</v>
      </c>
      <c r="K3" s="375">
        <v>45291</v>
      </c>
      <c r="L3" s="405">
        <v>45657</v>
      </c>
      <c r="M3" s="405" t="s">
        <v>30</v>
      </c>
    </row>
    <row r="4" spans="1:13" ht="14.25">
      <c r="A4" s="355" t="s">
        <v>71</v>
      </c>
      <c r="B4" s="355" t="s">
        <v>165</v>
      </c>
      <c r="C4" s="357">
        <v>9305</v>
      </c>
      <c r="D4" s="357">
        <v>10175</v>
      </c>
      <c r="E4" s="357">
        <v>10670</v>
      </c>
      <c r="F4" s="357">
        <v>10177</v>
      </c>
      <c r="G4" s="357">
        <v>10524</v>
      </c>
      <c r="H4" s="357">
        <v>10814</v>
      </c>
      <c r="I4" s="357">
        <v>11085</v>
      </c>
      <c r="J4" s="357">
        <v>10501</v>
      </c>
      <c r="K4" s="376">
        <v>10840</v>
      </c>
      <c r="L4" s="376">
        <v>10899</v>
      </c>
      <c r="M4" s="376">
        <v>11164</v>
      </c>
    </row>
    <row r="5" spans="1:13" ht="14.25">
      <c r="A5" s="355" t="s">
        <v>71</v>
      </c>
      <c r="B5" s="355" t="s">
        <v>166</v>
      </c>
      <c r="C5" s="357">
        <v>1.0900000000000001</v>
      </c>
      <c r="D5" s="357">
        <v>1.17</v>
      </c>
      <c r="E5" s="357">
        <v>1.25</v>
      </c>
      <c r="F5" s="357">
        <v>1.2</v>
      </c>
      <c r="G5" s="357">
        <v>1.26</v>
      </c>
      <c r="H5" s="357">
        <v>1.1299999999999999</v>
      </c>
      <c r="I5" s="357">
        <v>1.22</v>
      </c>
      <c r="J5" s="357">
        <v>1.1499999999999999</v>
      </c>
      <c r="K5" s="376">
        <v>1.18</v>
      </c>
      <c r="L5" s="376">
        <v>1.22</v>
      </c>
      <c r="M5" s="376">
        <v>1.23</v>
      </c>
    </row>
    <row r="6" spans="1:13" ht="14.25">
      <c r="A6" s="355" t="s">
        <v>72</v>
      </c>
      <c r="B6" s="355" t="s">
        <v>167</v>
      </c>
      <c r="C6" s="357">
        <v>2162</v>
      </c>
      <c r="D6" s="357">
        <v>2333</v>
      </c>
      <c r="E6" s="357">
        <v>2356</v>
      </c>
      <c r="F6" s="357">
        <v>2281</v>
      </c>
      <c r="G6" s="357">
        <v>2359</v>
      </c>
      <c r="H6" s="357">
        <v>2799</v>
      </c>
      <c r="I6" s="357">
        <v>2893</v>
      </c>
      <c r="J6" s="357">
        <v>2775</v>
      </c>
      <c r="K6" s="376">
        <v>2844</v>
      </c>
      <c r="L6" s="376">
        <v>2841</v>
      </c>
      <c r="M6" s="376">
        <v>2945</v>
      </c>
    </row>
    <row r="7" spans="1:13" ht="14.25">
      <c r="A7" s="355" t="s">
        <v>72</v>
      </c>
      <c r="B7" s="355" t="s">
        <v>168</v>
      </c>
      <c r="C7" s="357">
        <v>0.76</v>
      </c>
      <c r="D7" s="357">
        <v>0.81</v>
      </c>
      <c r="E7" s="357">
        <v>0.87</v>
      </c>
      <c r="F7" s="357">
        <v>0.84</v>
      </c>
      <c r="G7" s="357">
        <v>0.87</v>
      </c>
      <c r="H7" s="357">
        <v>0.86</v>
      </c>
      <c r="I7" s="357">
        <v>0.93</v>
      </c>
      <c r="J7" s="357">
        <v>0.87</v>
      </c>
      <c r="K7" s="376">
        <v>0.9</v>
      </c>
      <c r="L7" s="376">
        <v>0.92</v>
      </c>
      <c r="M7" s="376">
        <v>0.93</v>
      </c>
    </row>
    <row r="8" spans="1:13" ht="14.25">
      <c r="A8" s="355" t="s">
        <v>103</v>
      </c>
      <c r="B8" s="355" t="s">
        <v>127</v>
      </c>
      <c r="C8" s="357">
        <v>7865</v>
      </c>
      <c r="D8" s="357">
        <v>8604</v>
      </c>
      <c r="E8" s="357">
        <v>8789</v>
      </c>
      <c r="F8" s="357">
        <v>8635</v>
      </c>
      <c r="G8" s="357">
        <v>9062</v>
      </c>
      <c r="H8" s="357">
        <v>14291</v>
      </c>
      <c r="I8" s="357">
        <v>14860</v>
      </c>
      <c r="J8" s="357">
        <v>14332</v>
      </c>
      <c r="K8" s="376">
        <v>14728</v>
      </c>
      <c r="L8" s="376">
        <v>14641</v>
      </c>
      <c r="M8" s="376">
        <v>15304</v>
      </c>
    </row>
    <row r="9" spans="1:13" ht="14.25">
      <c r="A9" s="355" t="s">
        <v>103</v>
      </c>
      <c r="B9" s="355" t="s">
        <v>128</v>
      </c>
      <c r="C9" s="357">
        <v>3184</v>
      </c>
      <c r="D9" s="357">
        <v>3484</v>
      </c>
      <c r="E9" s="357">
        <v>3559</v>
      </c>
      <c r="F9" s="357">
        <v>3496</v>
      </c>
      <c r="G9" s="357">
        <v>3669</v>
      </c>
      <c r="H9" s="357">
        <v>4703</v>
      </c>
      <c r="I9" s="357">
        <v>4891</v>
      </c>
      <c r="J9" s="357">
        <v>4717</v>
      </c>
      <c r="K9" s="376">
        <v>4847</v>
      </c>
      <c r="L9" s="376">
        <v>4819</v>
      </c>
      <c r="M9" s="376">
        <v>5037</v>
      </c>
    </row>
    <row r="10" spans="1:13" ht="14.25">
      <c r="A10" s="355" t="s">
        <v>103</v>
      </c>
      <c r="B10" s="355" t="s">
        <v>129</v>
      </c>
      <c r="C10" s="357">
        <v>1994</v>
      </c>
      <c r="D10" s="357">
        <v>2182</v>
      </c>
      <c r="E10" s="357">
        <v>2229</v>
      </c>
      <c r="F10" s="357">
        <v>2190</v>
      </c>
      <c r="G10" s="357">
        <v>2298</v>
      </c>
      <c r="H10" s="357">
        <v>2789</v>
      </c>
      <c r="I10" s="357">
        <v>2900</v>
      </c>
      <c r="J10" s="357">
        <v>2797</v>
      </c>
      <c r="K10" s="376">
        <v>2875</v>
      </c>
      <c r="L10" s="376">
        <v>2858</v>
      </c>
      <c r="M10" s="376">
        <v>2987</v>
      </c>
    </row>
    <row r="11" spans="1:13" ht="14.25">
      <c r="A11" s="355" t="s">
        <v>103</v>
      </c>
      <c r="B11" s="355" t="s">
        <v>130</v>
      </c>
      <c r="C11" s="357">
        <v>1391</v>
      </c>
      <c r="D11" s="357">
        <v>1522</v>
      </c>
      <c r="E11" s="357">
        <v>1555</v>
      </c>
      <c r="F11" s="357">
        <v>1527</v>
      </c>
      <c r="G11" s="357">
        <v>1603</v>
      </c>
      <c r="H11" s="357">
        <v>1867</v>
      </c>
      <c r="I11" s="357">
        <v>1942</v>
      </c>
      <c r="J11" s="357">
        <v>1873</v>
      </c>
      <c r="K11" s="376">
        <v>1924</v>
      </c>
      <c r="L11" s="376">
        <v>1913</v>
      </c>
      <c r="M11" s="376">
        <v>2000</v>
      </c>
    </row>
    <row r="12" spans="1:13" ht="14.25">
      <c r="A12" s="355" t="s">
        <v>103</v>
      </c>
      <c r="B12" s="355" t="s">
        <v>131</v>
      </c>
      <c r="C12" s="357">
        <v>901</v>
      </c>
      <c r="D12" s="357">
        <v>986</v>
      </c>
      <c r="E12" s="357">
        <v>1007</v>
      </c>
      <c r="F12" s="357">
        <v>989</v>
      </c>
      <c r="G12" s="357">
        <v>1038</v>
      </c>
      <c r="H12" s="357">
        <v>1150</v>
      </c>
      <c r="I12" s="357">
        <v>1195</v>
      </c>
      <c r="J12" s="357">
        <v>1153</v>
      </c>
      <c r="K12" s="376">
        <v>1185</v>
      </c>
      <c r="L12" s="376">
        <v>1178</v>
      </c>
      <c r="M12" s="376">
        <v>1231</v>
      </c>
    </row>
    <row r="13" spans="1:13" ht="14.25">
      <c r="A13" s="355" t="s">
        <v>114</v>
      </c>
      <c r="B13" s="355" t="s">
        <v>127</v>
      </c>
      <c r="C13" s="357">
        <v>-6213</v>
      </c>
      <c r="D13" s="357">
        <v>-6797</v>
      </c>
      <c r="E13" s="357">
        <v>-6943</v>
      </c>
      <c r="F13" s="357">
        <v>-6822</v>
      </c>
      <c r="G13" s="357">
        <v>-7159</v>
      </c>
      <c r="H13" s="357">
        <v>-11290</v>
      </c>
      <c r="I13" s="357">
        <v>-11739</v>
      </c>
      <c r="J13" s="357">
        <v>-11322</v>
      </c>
      <c r="K13" s="376">
        <v>-11635</v>
      </c>
      <c r="L13" s="376">
        <v>-11566</v>
      </c>
      <c r="M13" s="376">
        <v>-12090</v>
      </c>
    </row>
    <row r="14" spans="1:13" ht="14.25">
      <c r="A14" s="355" t="s">
        <v>114</v>
      </c>
      <c r="B14" s="355" t="s">
        <v>128</v>
      </c>
      <c r="C14" s="357">
        <v>-2515</v>
      </c>
      <c r="D14" s="357">
        <v>-2752</v>
      </c>
      <c r="E14" s="357">
        <v>-2812</v>
      </c>
      <c r="F14" s="357">
        <v>-2762</v>
      </c>
      <c r="G14" s="357">
        <v>-2899</v>
      </c>
      <c r="H14" s="357">
        <v>-3715</v>
      </c>
      <c r="I14" s="357">
        <v>-3864</v>
      </c>
      <c r="J14" s="357">
        <v>-3726</v>
      </c>
      <c r="K14" s="376">
        <v>-3829</v>
      </c>
      <c r="L14" s="376">
        <v>-3807</v>
      </c>
      <c r="M14" s="376">
        <v>-3979</v>
      </c>
    </row>
    <row r="15" spans="1:13" ht="14.25">
      <c r="A15" s="355" t="s">
        <v>114</v>
      </c>
      <c r="B15" s="355" t="s">
        <v>129</v>
      </c>
      <c r="C15" s="357">
        <v>-1575</v>
      </c>
      <c r="D15" s="357">
        <v>-1724</v>
      </c>
      <c r="E15" s="357">
        <v>-1761</v>
      </c>
      <c r="F15" s="357">
        <v>-1730</v>
      </c>
      <c r="G15" s="357">
        <v>-1815</v>
      </c>
      <c r="H15" s="357">
        <v>-2203</v>
      </c>
      <c r="I15" s="357">
        <v>-2291</v>
      </c>
      <c r="J15" s="357">
        <v>-2210</v>
      </c>
      <c r="K15" s="376">
        <v>-2271</v>
      </c>
      <c r="L15" s="376">
        <v>-2258</v>
      </c>
      <c r="M15" s="376">
        <v>-2360</v>
      </c>
    </row>
    <row r="16" spans="1:13" ht="14.25">
      <c r="A16" s="355" t="s">
        <v>114</v>
      </c>
      <c r="B16" s="355" t="s">
        <v>130</v>
      </c>
      <c r="C16" s="357">
        <v>-1099</v>
      </c>
      <c r="D16" s="357">
        <v>-1202</v>
      </c>
      <c r="E16" s="357">
        <v>-1228</v>
      </c>
      <c r="F16" s="357">
        <v>-1206</v>
      </c>
      <c r="G16" s="357">
        <v>-1266</v>
      </c>
      <c r="H16" s="357">
        <v>-1475</v>
      </c>
      <c r="I16" s="357">
        <v>-1534</v>
      </c>
      <c r="J16" s="357">
        <v>-1480</v>
      </c>
      <c r="K16" s="376">
        <v>-1520</v>
      </c>
      <c r="L16" s="376">
        <v>-1511</v>
      </c>
      <c r="M16" s="376">
        <v>-1580</v>
      </c>
    </row>
    <row r="17" spans="1:13" ht="14.25">
      <c r="A17" s="355" t="s">
        <v>114</v>
      </c>
      <c r="B17" s="355" t="s">
        <v>131</v>
      </c>
      <c r="C17" s="357">
        <v>-901</v>
      </c>
      <c r="D17" s="357">
        <v>-986</v>
      </c>
      <c r="E17" s="357">
        <v>-1007</v>
      </c>
      <c r="F17" s="357">
        <v>-989</v>
      </c>
      <c r="G17" s="357">
        <v>-1038</v>
      </c>
      <c r="H17" s="357">
        <v>-1150</v>
      </c>
      <c r="I17" s="357">
        <v>-1195</v>
      </c>
      <c r="J17" s="357">
        <v>-1153</v>
      </c>
      <c r="K17" s="376">
        <v>-1185</v>
      </c>
      <c r="L17" s="376">
        <v>-1178</v>
      </c>
      <c r="M17" s="376">
        <v>-1231</v>
      </c>
    </row>
    <row r="18" spans="1:13" ht="14.25">
      <c r="A18" s="355" t="s">
        <v>169</v>
      </c>
      <c r="B18" s="355" t="s">
        <v>170</v>
      </c>
      <c r="C18" s="357">
        <v>41.49</v>
      </c>
      <c r="D18" s="357">
        <v>40.99</v>
      </c>
      <c r="E18" s="357">
        <v>31.82</v>
      </c>
      <c r="F18" s="357">
        <v>42.58</v>
      </c>
      <c r="G18" s="357">
        <v>57.52</v>
      </c>
      <c r="H18" s="357">
        <v>57.81</v>
      </c>
      <c r="I18" s="357">
        <v>53.93</v>
      </c>
      <c r="J18" s="357">
        <v>74.010000000000005</v>
      </c>
      <c r="K18" s="376">
        <v>94.34</v>
      </c>
      <c r="L18" s="376">
        <v>83.42</v>
      </c>
      <c r="M18" s="376">
        <v>54.3</v>
      </c>
    </row>
    <row r="19" spans="1:13" ht="14.25">
      <c r="A19" s="355" t="s">
        <v>169</v>
      </c>
      <c r="B19" s="355" t="s">
        <v>171</v>
      </c>
      <c r="C19" s="358">
        <v>6.4100000000000004E-2</v>
      </c>
      <c r="D19" s="359">
        <v>6.6600000000000006E-2</v>
      </c>
      <c r="E19" s="359">
        <v>6.9900000000000004E-2</v>
      </c>
      <c r="F19" s="359">
        <v>6.4399999999999999E-2</v>
      </c>
      <c r="G19" s="359">
        <v>8.5000000000000006E-2</v>
      </c>
      <c r="H19" s="359">
        <v>7.1300000000000002E-2</v>
      </c>
      <c r="I19" s="359">
        <v>6.1899999999999997E-2</v>
      </c>
      <c r="J19" s="359">
        <v>4.53E-2</v>
      </c>
      <c r="K19" s="377">
        <v>5.1799999999999999E-2</v>
      </c>
      <c r="L19" s="377">
        <v>7.1800000000000003E-2</v>
      </c>
      <c r="M19" s="377">
        <v>6.8699999999999997E-2</v>
      </c>
    </row>
    <row r="20" spans="1:13" ht="14.25">
      <c r="A20" s="355" t="s">
        <v>172</v>
      </c>
      <c r="B20" s="355" t="s">
        <v>173</v>
      </c>
      <c r="C20" s="357">
        <v>0</v>
      </c>
      <c r="D20" s="357">
        <v>0.06</v>
      </c>
      <c r="E20" s="357">
        <v>7.0000000000000007E-2</v>
      </c>
      <c r="F20" s="360">
        <v>2E-3</v>
      </c>
      <c r="G20" s="360">
        <v>2E-3</v>
      </c>
      <c r="H20" s="361">
        <v>2E-3</v>
      </c>
      <c r="I20" s="360">
        <v>2E-3</v>
      </c>
      <c r="J20" s="360">
        <v>1.7000000000000001E-2</v>
      </c>
      <c r="K20" s="378">
        <v>1.7000000000000001E-2</v>
      </c>
      <c r="L20" s="378">
        <v>6.9000000000000006E-2</v>
      </c>
      <c r="M20" s="378">
        <v>0.26500000000000001</v>
      </c>
    </row>
    <row r="21" spans="1:13" ht="14.25">
      <c r="A21" s="355" t="s">
        <v>174</v>
      </c>
      <c r="B21" s="355" t="s">
        <v>173</v>
      </c>
      <c r="C21" s="357">
        <v>0.05</v>
      </c>
      <c r="D21" s="357">
        <v>0.06</v>
      </c>
      <c r="E21" s="357">
        <v>7.0000000000000007E-2</v>
      </c>
      <c r="F21" s="357">
        <v>0.09</v>
      </c>
      <c r="G21" s="357">
        <v>0.05</v>
      </c>
      <c r="H21" s="357">
        <v>0.05</v>
      </c>
      <c r="I21" s="357">
        <v>0.01</v>
      </c>
      <c r="J21" s="357">
        <v>0.08</v>
      </c>
      <c r="K21" s="376">
        <v>0.09</v>
      </c>
      <c r="L21" s="376">
        <v>0.06</v>
      </c>
      <c r="M21" s="376">
        <v>7.0000000000000007E-2</v>
      </c>
    </row>
    <row r="22" spans="1:13" ht="14.25">
      <c r="A22" s="355" t="s">
        <v>175</v>
      </c>
      <c r="B22" s="355" t="s">
        <v>176</v>
      </c>
      <c r="C22" s="357">
        <v>41</v>
      </c>
      <c r="D22" s="357">
        <v>46</v>
      </c>
      <c r="E22" s="357">
        <v>46</v>
      </c>
      <c r="F22" s="357">
        <v>46</v>
      </c>
      <c r="G22" s="357">
        <v>36</v>
      </c>
      <c r="H22" s="357">
        <v>24</v>
      </c>
      <c r="I22" s="357">
        <v>25</v>
      </c>
      <c r="J22" s="357">
        <v>24</v>
      </c>
      <c r="K22" s="376">
        <v>24</v>
      </c>
      <c r="L22" s="376">
        <v>52</v>
      </c>
      <c r="M22" s="376">
        <v>52</v>
      </c>
    </row>
    <row r="23" spans="1:13" ht="14.25">
      <c r="I23" s="357"/>
      <c r="J23" s="357"/>
      <c r="K23" s="376"/>
      <c r="L23" s="376"/>
      <c r="M23" s="376"/>
    </row>
    <row r="24" spans="1:13" ht="14.25">
      <c r="I24" s="357"/>
      <c r="J24" s="357"/>
      <c r="K24" s="376"/>
      <c r="L24" s="376"/>
      <c r="M24" s="376"/>
    </row>
    <row r="25" spans="1:13" ht="14.25">
      <c r="I25" s="357"/>
      <c r="J25" s="357"/>
      <c r="K25" s="376"/>
      <c r="L25" s="376"/>
      <c r="M25" s="376"/>
    </row>
  </sheetData>
  <phoneticPr fontId="25" type="noConversion"/>
  <pageMargins left="0.51181102362204722" right="0.51181102362204722" top="0.23622047244094491" bottom="0.51181102362204722" header="0.31496062992125984" footer="0.31496062992125984"/>
  <pageSetup scale="48" orientation="portrait" r:id="rId1"/>
  <headerFooter alignWithMargins="0">
    <oddFooter>&amp;L&amp;8Attachment to ISO Tariff - PILON Calculator (AESO ID No. 2025-010T)
Filename: &amp;F — Page &amp;P of &amp;N&amp;R&amp;8Proprietary When Completed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LARA Information Document" ma:contentTypeID="0x010100F0E8FBDC6DD87E4D98B4C26689EB5DAB0101001783BCA138D8D64A844CDA846A67EFD3" ma:contentTypeVersion="91" ma:contentTypeDescription="" ma:contentTypeScope="" ma:versionID="68259529cb7afd8479b76104d79b354d">
  <xsd:schema xmlns:xsd="http://www.w3.org/2001/XMLSchema" xmlns:xs="http://www.w3.org/2001/XMLSchema" xmlns:p="http://schemas.microsoft.com/office/2006/metadata/properties" xmlns:ns2="f6fe1e25-11e1-4e26-9b89-bdb29b4c4011" xmlns:ns3="ed35161e-7197-4258-b80a-1ef08a8ec4ff" targetNamespace="http://schemas.microsoft.com/office/2006/metadata/properties" ma:root="true" ma:fieldsID="e81a46157ddf81a519a4b964389c128e" ns2:_="" ns3:_="">
    <xsd:import namespace="f6fe1e25-11e1-4e26-9b89-bdb29b4c4011"/>
    <xsd:import namespace="ed35161e-7197-4258-b80a-1ef08a8ec4ff"/>
    <xsd:element name="properties">
      <xsd:complexType>
        <xsd:sequence>
          <xsd:element name="documentManagement">
            <xsd:complexType>
              <xsd:all>
                <xsd:element ref="ns2:Activity_x0020_Complete_x0020_Date" minOccurs="0"/>
                <xsd:element ref="ns2:CWRMItemUniqueId" minOccurs="0"/>
                <xsd:element ref="ns2:CWRMItemRecordState" minOccurs="0"/>
                <xsd:element ref="ns2:CWRMItemRecordCategory" minOccurs="0"/>
                <xsd:element ref="ns2:TaxCatchAll" minOccurs="0"/>
                <xsd:element ref="ns2:CWRMItemRecordStatus" minOccurs="0"/>
                <xsd:element ref="ns2:CWRMItemRecordDeclaredDate" minOccurs="0"/>
                <xsd:element ref="ns2:CWRMItemRecordVital" minOccurs="0"/>
                <xsd:element ref="ns2:CWRMItemRecordData" minOccurs="0"/>
                <xsd:element ref="ns2:LARA_x0020_Status" minOccurs="0"/>
                <xsd:element ref="ns3:Notes0" minOccurs="0"/>
                <xsd:element ref="ns2:e94be97ffb024deb9c3d6d978a059d35" minOccurs="0"/>
                <xsd:element ref="ns2:TaxCatchAllLabel" minOccurs="0"/>
                <xsd:element ref="ns2:fdc7710463144dc19a8992998d0907da" minOccurs="0"/>
                <xsd:element ref="ns2:nc9abd60d2924b6a80e31aa92886dd82" minOccurs="0"/>
                <xsd:element ref="ns2:k64467115e4948f8a6ae90544ba894f6" minOccurs="0"/>
                <xsd:element ref="ns2:b946e2da1d29488e816d294143d8cab5" minOccurs="0"/>
                <xsd:element ref="ns3:MediaServiceMetadata" minOccurs="0"/>
                <xsd:element ref="ns3:MediaServiceFastMetadata" minOccurs="0"/>
                <xsd:element ref="ns2:_dlc_DocId" minOccurs="0"/>
                <xsd:element ref="ns2:_dlc_DocIdUrl" minOccurs="0"/>
                <xsd:element ref="ns2:_dlc_DocIdPersistId" minOccurs="0"/>
                <xsd:element ref="ns2:_ip_UnifiedCompliancePolicyProperties" minOccurs="0"/>
                <xsd:element ref="ns2:_ip_UnifiedCompliancePolicyUIAction" minOccurs="0"/>
                <xsd:element ref="ns3:MediaServiceObjectDetectorVersions" minOccurs="0"/>
                <xsd:element ref="ns2:SharedWithUsers" minOccurs="0"/>
                <xsd:element ref="ns2:SharedWithDetails" minOccurs="0"/>
                <xsd:element ref="ns3:lcf76f155ced4ddcb4097134ff3c332f" minOccurs="0"/>
                <xsd:element ref="ns3:MediaServiceGenerationTime" minOccurs="0"/>
                <xsd:element ref="ns3:MediaServiceEventHashCode" minOccurs="0"/>
                <xsd:element ref="ns3:MediaServiceSearchPropertie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fe1e25-11e1-4e26-9b89-bdb29b4c4011" elementFormDefault="qualified">
    <xsd:import namespace="http://schemas.microsoft.com/office/2006/documentManagement/types"/>
    <xsd:import namespace="http://schemas.microsoft.com/office/infopath/2007/PartnerControls"/>
    <xsd:element name="Activity_x0020_Complete_x0020_Date" ma:index="2" nillable="true" ma:displayName="Activity Complete Date" ma:description="Example: 02/23/2020" ma:format="DateOnly" ma:internalName="Activity_x0020_Complete_x0020_Date" ma:readOnly="false">
      <xsd:simpleType>
        <xsd:restriction base="dms:DateTime"/>
      </xsd:simpleType>
    </xsd:element>
    <xsd:element name="CWRMItemUniqueId" ma:index="8" nillable="true" ma:displayName="Content ID" ma:description="A universally unique identifier assigned to the item." ma:internalName="CWRMItemUniqueId" ma:readOnly="true">
      <xsd:simpleType>
        <xsd:restriction base="dms:Text"/>
      </xsd:simpleType>
    </xsd:element>
    <xsd:element name="CWRMItemRecordState" ma:index="9" nillable="true" ma:displayName="Record State" ma:description="The current state of this item as it pertains to records management." ma:internalName="CWRMItemRecordState" ma:readOnly="true">
      <xsd:simpleType>
        <xsd:restriction base="dms:Text"/>
      </xsd:simpleType>
    </xsd:element>
    <xsd:element name="CWRMItemRecordCategory" ma:index="10" nillable="true" ma:displayName="Record Category" ma:description="Identifies the current record category for the item." ma:internalName="CWRMItemRecordCategory" ma:readOnly="true">
      <xsd:simpleType>
        <xsd:restriction base="dms:Text"/>
      </xsd:simpleType>
    </xsd:element>
    <xsd:element name="TaxCatchAll" ma:index="11" nillable="true" ma:displayName="Taxonomy Catch All Column" ma:hidden="true" ma:list="{0d6a8663-176b-4e4a-bd5f-b49ea1c63f03}" ma:internalName="TaxCatchAll" ma:readOnly="false" ma:showField="CatchAllData"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CWRMItemRecordStatus" ma:index="13" nillable="true" ma:displayName="Record Status" ma:description="The current status of this item as it pertains to records management." ma:internalName="CWRMItemRecordStatus" ma:readOnly="true">
      <xsd:simpleType>
        <xsd:restriction base="dms:Text"/>
      </xsd:simpleType>
    </xsd:element>
    <xsd:element name="CWRMItemRecordDeclaredDate" ma:index="14" nillable="true" ma:displayName="Record Declared Date" ma:description="The date and time that the item was declared a record." ma:format="DateTime" ma:internalName="CWRMItemRecordDeclaredDate" ma:readOnly="true">
      <xsd:simpleType>
        <xsd:restriction base="dms:DateTime"/>
      </xsd:simpleType>
    </xsd:element>
    <xsd:element name="CWRMItemRecordVital" ma:index="15" nillable="true" ma:displayName="Record Vital" ma:description="Indicates if this item is considered vital to the organization." ma:internalName="CWRMItemRecordVital" ma:readOnly="true">
      <xsd:simpleType>
        <xsd:restriction base="dms:Boolean"/>
      </xsd:simpleType>
    </xsd:element>
    <xsd:element name="CWRMItemRecordData" ma:index="16" nillable="true" ma:displayName="Record Data" ma:description="Contains system specific record data for the item." ma:hidden="true" ma:internalName="CWRMItemRecordData" ma:readOnly="false">
      <xsd:simpleType>
        <xsd:restriction base="dms:Note"/>
      </xsd:simpleType>
    </xsd:element>
    <xsd:element name="LARA_x0020_Status" ma:index="21" nillable="true" ma:displayName="LARA Status" ma:default="Active" ma:format="Dropdown" ma:internalName="LARA_x0020_Status" ma:readOnly="false">
      <xsd:simpleType>
        <xsd:restriction base="dms:Choice">
          <xsd:enumeration value="Active"/>
          <xsd:enumeration value="Inactive"/>
        </xsd:restriction>
      </xsd:simpleType>
    </xsd:element>
    <xsd:element name="e94be97ffb024deb9c3d6d978a059d35" ma:index="24" nillable="true" ma:taxonomy="true" ma:internalName="CWRMItemRecordClassificationTaxHTField0" ma:taxonomyFieldName="CWRMItemRecordClassification" ma:displayName="Record Classification" ma:readOnly="false" ma:fieldId="{e94be97f-fb02-4deb-9c3d-6d978a059d35}" ma:sspId="3faea631-0b04-4e0a-a5a6-8cc3f73a1699" ma:termSetId="cdfcbdf3-8cad-4f84-bedc-a05c42b6c044" ma:anchorId="00000000-0000-0000-0000-000000000000" ma:open="false" ma:isKeyword="false">
      <xsd:complexType>
        <xsd:sequence>
          <xsd:element ref="pc:Terms" minOccurs="0" maxOccurs="1"/>
        </xsd:sequence>
      </xsd:complexType>
    </xsd:element>
    <xsd:element name="TaxCatchAllLabel" ma:index="25" nillable="true" ma:displayName="Taxonomy Catch All Column1" ma:hidden="true" ma:list="{0d6a8663-176b-4e4a-bd5f-b49ea1c63f03}" ma:internalName="TaxCatchAllLabel" ma:readOnly="false" ma:showField="CatchAllDataLabel" ma:web="f6fe1e25-11e1-4e26-9b89-bdb29b4c4011">
      <xsd:complexType>
        <xsd:complexContent>
          <xsd:extension base="dms:MultiChoiceLookup">
            <xsd:sequence>
              <xsd:element name="Value" type="dms:Lookup" maxOccurs="unbounded" minOccurs="0" nillable="true"/>
            </xsd:sequence>
          </xsd:extension>
        </xsd:complexContent>
      </xsd:complexType>
    </xsd:element>
    <xsd:element name="fdc7710463144dc19a8992998d0907da" ma:index="26" nillable="true" ma:taxonomy="true" ma:internalName="fdc7710463144dc19a8992998d0907da" ma:taxonomyFieldName="Confidentiality_x0020_Classification" ma:displayName="Confidentiality Classification" ma:readOnly="false" ma:default="2;#AESO Internal|fe2129cc-e616-4c1e-9a39-b6921e014562" ma:fieldId="{fdc77104-6314-4dc1-9a89-92998d0907da}" ma:sspId="3faea631-0b04-4e0a-a5a6-8cc3f73a1699" ma:termSetId="86da2f9e-e637-434c-a22c-d8de590d1e93" ma:anchorId="00000000-0000-0000-0000-000000000000" ma:open="false" ma:isKeyword="false">
      <xsd:complexType>
        <xsd:sequence>
          <xsd:element ref="pc:Terms" minOccurs="0" maxOccurs="1"/>
        </xsd:sequence>
      </xsd:complexType>
    </xsd:element>
    <xsd:element name="nc9abd60d2924b6a80e31aa92886dd82" ma:index="27" nillable="true" ma:taxonomy="true" ma:internalName="nc9abd60d2924b6a80e31aa92886dd82" ma:taxonomyFieldName="Business_x0020_Unit_x0028_s_x0029_" ma:displayName="Business Unit(s)" ma:readOnly="false" ma:fieldId="{7c9abd60-d292-4b6a-80e3-1aa92886dd82}" ma:taxonomyMulti="true" ma:sspId="3faea631-0b04-4e0a-a5a6-8cc3f73a1699" ma:termSetId="3d412721-2c26-4086-a4aa-f3bd35cef3bd" ma:anchorId="00000000-0000-0000-0000-000000000000" ma:open="false" ma:isKeyword="false">
      <xsd:complexType>
        <xsd:sequence>
          <xsd:element ref="pc:Terms" minOccurs="0" maxOccurs="1"/>
        </xsd:sequence>
      </xsd:complexType>
    </xsd:element>
    <xsd:element name="k64467115e4948f8a6ae90544ba894f6" ma:index="28" nillable="true" ma:taxonomy="true" ma:internalName="k64467115e4948f8a6ae90544ba894f6" ma:taxonomyFieldName="Related_x0020_ADs" ma:displayName="Related ADs" ma:readOnly="false" ma:fieldId="{46446711-5e49-48f8-a6ae-90544ba894f6}" ma:taxonomyMulti="true" ma:sspId="3faea631-0b04-4e0a-a5a6-8cc3f73a1699" ma:termSetId="a53a396f-088e-46cc-82dd-f28275a65df7" ma:anchorId="00000000-0000-0000-0000-000000000000" ma:open="true" ma:isKeyword="false">
      <xsd:complexType>
        <xsd:sequence>
          <xsd:element ref="pc:Terms" minOccurs="0" maxOccurs="1"/>
        </xsd:sequence>
      </xsd:complexType>
    </xsd:element>
    <xsd:element name="b946e2da1d29488e816d294143d8cab5" ma:index="29" nillable="true" ma:taxonomy="true" ma:internalName="b946e2da1d29488e816d294143d8cab5" ma:taxonomyFieldName="ID_x0020_Category" ma:displayName="ID Category" ma:readOnly="false" ma:fieldId="{b946e2da-1d29-488e-816d-294143d8cab5}" ma:taxonomyMulti="true" ma:sspId="3faea631-0b04-4e0a-a5a6-8cc3f73a1699" ma:termSetId="88aaa5d0-0571-48f9-a57b-cb84c5c6e363" ma:anchorId="00000000-0000-0000-0000-000000000000" ma:open="false" ma:isKeyword="false">
      <xsd:complexType>
        <xsd:sequence>
          <xsd:element ref="pc:Terms" minOccurs="0" maxOccurs="1"/>
        </xsd:sequence>
      </xsd:complexType>
    </xsd:element>
    <xsd:element name="_dlc_DocId" ma:index="32" nillable="true" ma:displayName="Document ID Value" ma:description="The value of the document ID assigned to this item."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false">
      <xsd:simpleType>
        <xsd:restriction base="dms:Boolean"/>
      </xsd:simpleType>
    </xsd:element>
    <xsd:element name="_ip_UnifiedCompliancePolicyProperties" ma:index="35" nillable="true" ma:displayName="Unified Compliance Policy Properties" ma:internalName="_ip_UnifiedCompliancePolicyProperties" ma:readOnly="false">
      <xsd:simpleType>
        <xsd:restriction base="dms:Note"/>
      </xsd:simpleType>
    </xsd:element>
    <xsd:element name="_ip_UnifiedCompliancePolicyUIAction" ma:index="36" nillable="true" ma:displayName="Unified Compliance Policy UI Action" ma:hidden="true" ma:internalName="_ip_UnifiedCompliancePolicyUIAction" ma:readOnly="false">
      <xsd:simpleType>
        <xsd:restriction base="dms:Text"/>
      </xsd:simpleType>
    </xsd:element>
    <xsd:element name="SharedWithUsers" ma:index="3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35161e-7197-4258-b80a-1ef08a8ec4ff" elementFormDefault="qualified">
    <xsd:import namespace="http://schemas.microsoft.com/office/2006/documentManagement/types"/>
    <xsd:import namespace="http://schemas.microsoft.com/office/infopath/2007/PartnerControls"/>
    <xsd:element name="Notes0" ma:index="23" nillable="true" ma:displayName="Notes" ma:internalName="Notes0" ma:readOnly="false">
      <xsd:simpleType>
        <xsd:restriction base="dms:Note">
          <xsd:maxLength value="255"/>
        </xsd:restriction>
      </xsd:simple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lcf76f155ced4ddcb4097134ff3c332f" ma:index="41" nillable="true" ma:taxonomy="true" ma:internalName="lcf76f155ced4ddcb4097134ff3c332f" ma:taxonomyFieldName="MediaServiceImageTags" ma:displayName="Image Tags" ma:readOnly="false" ma:fieldId="{5cf76f15-5ced-4ddc-b409-7134ff3c332f}" ma:taxonomyMulti="true" ma:sspId="3faea631-0b04-4e0a-a5a6-8cc3f73a1699" ma:termSetId="09814cd3-568e-fe90-9814-8d621ff8fb84" ma:anchorId="fba54fb3-c3e1-fe81-a776-ca4b69148c4d" ma:open="true" ma:isKeyword="false">
      <xsd:complexType>
        <xsd:sequence>
          <xsd:element ref="pc:Terms" minOccurs="0" maxOccurs="1"/>
        </xsd:sequence>
      </xsd:complex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ServiceDateTaken" ma:index="45" nillable="true" ma:displayName="MediaServiceDateTaken" ma:hidden="true" ma:indexed="true" ma:internalName="MediaServiceDateTaken" ma:readOnly="true">
      <xsd:simpleType>
        <xsd:restriction base="dms:Text"/>
      </xsd:simpleType>
    </xsd:element>
    <xsd:element name="MediaServiceOCR" ma:index="4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WRMItemRecordCategory xmlns="f6fe1e25-11e1-4e26-9b89-bdb29b4c4011" xsi:nil="true"/>
    <CWRMItemRecordState xmlns="f6fe1e25-11e1-4e26-9b89-bdb29b4c4011" xsi:nil="true"/>
    <_dlc_DocId xmlns="f6fe1e25-11e1-4e26-9b89-bdb29b4c4011">WPVA353K5JT4-1643996263-2494</_dlc_DocId>
    <CWRMItemRecordStatus xmlns="f6fe1e25-11e1-4e26-9b89-bdb29b4c4011" xsi:nil="true"/>
    <Notes0 xmlns="ed35161e-7197-4258-b80a-1ef08a8ec4ff" xsi:nil="true"/>
    <CWRMItemRecordData xmlns="f6fe1e25-11e1-4e26-9b89-bdb29b4c4011">&lt;?xml version="1.0" encoding="utf-16"?&gt;&lt;RecordData xmlns:xsd="http://www.w3.org/2001/XMLSchema" xmlns:xsi="http://www.w3.org/2001/XMLSchema-instance" CurrentCategoryId="00000000-0000-0000-0000-000000000000" CurrentPolicyId="00000000-0000-0000-0000-000000000000" CurrentStageId="00000000-0000-0000-0000-000000000000" ExecuteStageImmediately="false" IsMovingPhysical="false" IsProcessing="false" OriginalCreatedDate="0001-01-01T00:00:00" OriginalModifiedDate="0001-01-01T00:00:00" ObsoleteDate="0001-01-01T00:00:00" ForceCrawl="false" DocumentSetSyncCount="0" IsPoliciesProcessed="true"&gt;&lt;LastProcessedStageId&gt;00000000-0000-0000-0000-000000000000&lt;/LastProcessedStageId&gt;&lt;LastProcessedDateValue xsi:type="xsd:dateTime"&gt;0001-01-01T00:00:00&lt;/LastProcessedDateValue&gt;&lt;SupersededInPlaceItems /&gt;&lt;AssociatedAggregates /&gt;&lt;/RecordData&gt;</CWRMItemRecordData>
    <_dlc_DocIdPersistId xmlns="f6fe1e25-11e1-4e26-9b89-bdb29b4c4011" xsi:nil="true"/>
    <k64467115e4948f8a6ae90544ba894f6 xmlns="f6fe1e25-11e1-4e26-9b89-bdb29b4c4011">
      <Terms xmlns="http://schemas.microsoft.com/office/infopath/2007/PartnerControls">
        <TermInfo xmlns="http://schemas.microsoft.com/office/infopath/2007/PartnerControls">
          <TermName xmlns="http://schemas.microsoft.com/office/infopath/2007/PartnerControls">ISO Tariff</TermName>
          <TermId xmlns="http://schemas.microsoft.com/office/infopath/2007/PartnerControls">d382ca91-b226-4555-b6b0-bf5721fda386</TermId>
        </TermInfo>
      </Terms>
    </k64467115e4948f8a6ae90544ba894f6>
    <nc9abd60d2924b6a80e31aa92886dd82 xmlns="f6fe1e25-11e1-4e26-9b89-bdb29b4c4011">
      <Terms xmlns="http://schemas.microsoft.com/office/infopath/2007/PartnerControls"/>
    </nc9abd60d2924b6a80e31aa92886dd82>
    <_ip_UnifiedCompliancePolicyUIAction xmlns="f6fe1e25-11e1-4e26-9b89-bdb29b4c4011" xsi:nil="true"/>
    <Activity_x0020_Complete_x0020_Date xmlns="f6fe1e25-11e1-4e26-9b89-bdb29b4c4011" xsi:nil="true"/>
    <_dlc_DocIdUrl xmlns="f6fe1e25-11e1-4e26-9b89-bdb29b4c4011">
      <Url>https://aeso.sharepoint.com/sites/CS-DEPT-LAW-LARA/_layouts/15/DocIdRedir.aspx?ID=WPVA353K5JT4-1643996263-2494</Url>
      <Description>WPVA353K5JT4-1643996263-2494</Description>
    </_dlc_DocIdUrl>
    <fdc7710463144dc19a8992998d0907da xmlns="f6fe1e25-11e1-4e26-9b89-bdb29b4c4011">
      <Terms xmlns="http://schemas.microsoft.com/office/infopath/2007/PartnerControls">
        <TermInfo xmlns="http://schemas.microsoft.com/office/infopath/2007/PartnerControls">
          <TermName xmlns="http://schemas.microsoft.com/office/infopath/2007/PartnerControls">AESO Internal</TermName>
          <TermId xmlns="http://schemas.microsoft.com/office/infopath/2007/PartnerControls">fe2129cc-e616-4c1e-9a39-b6921e014562</TermId>
        </TermInfo>
      </Terms>
    </fdc7710463144dc19a8992998d0907da>
    <TaxCatchAllLabel xmlns="f6fe1e25-11e1-4e26-9b89-bdb29b4c4011" xsi:nil="true"/>
    <_ip_UnifiedCompliancePolicyProperties xmlns="f6fe1e25-11e1-4e26-9b89-bdb29b4c4011" xsi:nil="true"/>
    <LARA_x0020_Status xmlns="f6fe1e25-11e1-4e26-9b89-bdb29b4c4011">Active</LARA_x0020_Status>
    <CWRMItemUniqueId xmlns="f6fe1e25-11e1-4e26-9b89-bdb29b4c4011">000000M7VM</CWRMItemUniqueId>
    <CWRMItemRecordDeclaredDate xmlns="f6fe1e25-11e1-4e26-9b89-bdb29b4c4011" xsi:nil="true"/>
    <e94be97ffb024deb9c3d6d978a059d35 xmlns="f6fe1e25-11e1-4e26-9b89-bdb29b4c4011">
      <Terms xmlns="http://schemas.microsoft.com/office/infopath/2007/PartnerControls"/>
    </e94be97ffb024deb9c3d6d978a059d35>
    <TaxCatchAll xmlns="f6fe1e25-11e1-4e26-9b89-bdb29b4c4011">
      <Value>75</Value>
      <Value>2</Value>
      <Value>77</Value>
    </TaxCatchAll>
    <CWRMItemRecordVital xmlns="f6fe1e25-11e1-4e26-9b89-bdb29b4c4011">false</CWRMItemRecordVital>
    <b946e2da1d29488e816d294143d8cab5 xmlns="f6fe1e25-11e1-4e26-9b89-bdb29b4c4011">
      <Terms xmlns="http://schemas.microsoft.com/office/infopath/2007/PartnerControls">
        <TermInfo xmlns="http://schemas.microsoft.com/office/infopath/2007/PartnerControls">
          <TermName xmlns="http://schemas.microsoft.com/office/infopath/2007/PartnerControls">Tariff</TermName>
          <TermId xmlns="http://schemas.microsoft.com/office/infopath/2007/PartnerControls">9d7a0996-ad5f-409c-802b-558da982e99b</TermId>
        </TermInfo>
      </Terms>
    </b946e2da1d29488e816d294143d8cab5>
    <lcf76f155ced4ddcb4097134ff3c332f xmlns="ed35161e-7197-4258-b80a-1ef08a8ec4ff">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54B7F5-4AA9-4661-B38F-F48E98957932}">
  <ds:schemaRefs>
    <ds:schemaRef ds:uri="http://schemas.microsoft.com/sharepoint/events"/>
  </ds:schemaRefs>
</ds:datastoreItem>
</file>

<file path=customXml/itemProps2.xml><?xml version="1.0" encoding="utf-8"?>
<ds:datastoreItem xmlns:ds="http://schemas.openxmlformats.org/officeDocument/2006/customXml" ds:itemID="{333ADC36-5820-4B5B-8E35-1387013C6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fe1e25-11e1-4e26-9b89-bdb29b4c4011"/>
    <ds:schemaRef ds:uri="ed35161e-7197-4258-b80a-1ef08a8ec4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31625-10BD-4B97-B2CA-41E0B750AB53}">
  <ds:schemaRefs>
    <ds:schemaRef ds:uri="http://schemas.microsoft.com/office/2006/metadata/properties"/>
    <ds:schemaRef ds:uri="http://purl.org/dc/dcmitype/"/>
    <ds:schemaRef ds:uri="http://schemas.microsoft.com/office/infopath/2007/PartnerControls"/>
    <ds:schemaRef ds:uri="f6fe1e25-11e1-4e26-9b89-bdb29b4c4011"/>
    <ds:schemaRef ds:uri="http://purl.org/dc/elements/1.1/"/>
    <ds:schemaRef ds:uri="http://purl.org/dc/terms/"/>
    <ds:schemaRef ds:uri="http://schemas.microsoft.com/office/2006/documentManagement/types"/>
    <ds:schemaRef ds:uri="http://schemas.openxmlformats.org/package/2006/metadata/core-properties"/>
    <ds:schemaRef ds:uri="ed35161e-7197-4258-b80a-1ef08a8ec4ff"/>
    <ds:schemaRef ds:uri="http://www.w3.org/XML/1998/namespace"/>
  </ds:schemaRefs>
</ds:datastoreItem>
</file>

<file path=customXml/itemProps4.xml><?xml version="1.0" encoding="utf-8"?>
<ds:datastoreItem xmlns:ds="http://schemas.openxmlformats.org/officeDocument/2006/customXml" ds:itemID="{7A85BAAB-4C9C-403F-AD8A-6F564BCE983A}">
  <ds:schemaRefs>
    <ds:schemaRef ds:uri="http://schemas.microsoft.com/sharepoint/v3/contenttype/forms"/>
  </ds:schemaRefs>
</ds:datastoreItem>
</file>

<file path=docMetadata/LabelInfo.xml><?xml version="1.0" encoding="utf-8"?>
<clbl:labelList xmlns:clbl="http://schemas.microsoft.com/office/2020/mipLabelMetadata">
  <clbl:label id="{51a5a3c7-ba38-4976-a2eb-9e02a5c891be}" enabled="1" method="Privileged" siteId="{9869aa0d-ebba-4f8c-9399-7dff7665b1d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37</vt:i4>
      </vt:variant>
    </vt:vector>
  </HeadingPairs>
  <TitlesOfParts>
    <vt:vector size="44" baseType="lpstr">
      <vt:lpstr>A1 Contract</vt:lpstr>
      <vt:lpstr>A2 History</vt:lpstr>
      <vt:lpstr>A3 PILON</vt:lpstr>
      <vt:lpstr>A4 Demands</vt:lpstr>
      <vt:lpstr>A5 DelayCalc</vt:lpstr>
      <vt:lpstr>Rate DTS Charges</vt:lpstr>
      <vt:lpstr>Lookup</vt:lpstr>
      <vt:lpstr>AverageCF</vt:lpstr>
      <vt:lpstr>AverageCoincident</vt:lpstr>
      <vt:lpstr>AverageContract</vt:lpstr>
      <vt:lpstr>AverageDemand</vt:lpstr>
      <vt:lpstr>AverageEnergy</vt:lpstr>
      <vt:lpstr>AverageLF</vt:lpstr>
      <vt:lpstr>ContractLookup</vt:lpstr>
      <vt:lpstr>DiscountRate</vt:lpstr>
      <vt:lpstr>EffectiveSASDate</vt:lpstr>
      <vt:lpstr>EffectiveWithoutPILON</vt:lpstr>
      <vt:lpstr>EffectiveWithPILON</vt:lpstr>
      <vt:lpstr>HistoryLookup</vt:lpstr>
      <vt:lpstr>MaxInvestTerm</vt:lpstr>
      <vt:lpstr>Name_of_Market_Participant</vt:lpstr>
      <vt:lpstr>NoticeStartDate</vt:lpstr>
      <vt:lpstr>OtherParticipant</vt:lpstr>
      <vt:lpstr>OverrideCF</vt:lpstr>
      <vt:lpstr>OverrideLF</vt:lpstr>
      <vt:lpstr>ParticipantName</vt:lpstr>
      <vt:lpstr>PILONDate</vt:lpstr>
      <vt:lpstr>PreparationDate</vt:lpstr>
      <vt:lpstr>PreparerName</vt:lpstr>
      <vt:lpstr>'A1 Contract'!Print_Area</vt:lpstr>
      <vt:lpstr>'A2 History'!Print_Area</vt:lpstr>
      <vt:lpstr>'A3 PILON'!Print_Area</vt:lpstr>
      <vt:lpstr>'A4 Demands'!Print_Area</vt:lpstr>
      <vt:lpstr>'A5 DelayCalc'!Print_Area</vt:lpstr>
      <vt:lpstr>'Rate DTS Charges'!Print_Area</vt:lpstr>
      <vt:lpstr>'A3 PILON'!Print_Titles</vt:lpstr>
      <vt:lpstr>'A4 Demands'!Print_Titles</vt:lpstr>
      <vt:lpstr>'Rate DTS Charges'!Print_Titles</vt:lpstr>
      <vt:lpstr>ProjectName</vt:lpstr>
      <vt:lpstr>ProjectNumber</vt:lpstr>
      <vt:lpstr>ProjectType</vt:lpstr>
      <vt:lpstr>ReceivePSC</vt:lpstr>
      <vt:lpstr>ReducedOrTerminated</vt:lpstr>
      <vt:lpstr>RequestDate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2023-01-10T18:24:49Z</dcterms:created>
  <dcterms:modified xsi:type="dcterms:W3CDTF">2025-01-10T18:38:26Z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ed ADs">
    <vt:lpwstr>75;#ISO Tariff|d382ca91-b226-4555-b6b0-bf5721fda386</vt:lpwstr>
  </property>
  <property fmtid="{D5CDD505-2E9C-101B-9397-08002B2CF9AE}" pid="3" name="DocumentSetDescription">
    <vt:lpwstr/>
  </property>
  <property fmtid="{D5CDD505-2E9C-101B-9397-08002B2CF9AE}" pid="4" name="ContentTypeId">
    <vt:lpwstr>0x010100F0E8FBDC6DD87E4D98B4C26689EB5DAB0101001783BCA138D8D64A844CDA846A67EFD3</vt:lpwstr>
  </property>
  <property fmtid="{D5CDD505-2E9C-101B-9397-08002B2CF9AE}" pid="5" name="Confidentiality Classification">
    <vt:lpwstr>2;#AESO Internal|fe2129cc-e616-4c1e-9a39-b6921e014562</vt:lpwstr>
  </property>
  <property fmtid="{D5CDD505-2E9C-101B-9397-08002B2CF9AE}" pid="6" name="ID Category">
    <vt:lpwstr>77;#Tariff|9d7a0996-ad5f-409c-802b-558da982e99b</vt:lpwstr>
  </property>
  <property fmtid="{D5CDD505-2E9C-101B-9397-08002B2CF9AE}" pid="7" name="_dlc_DocIdItemGuid">
    <vt:lpwstr>773215c1-acf4-495f-b8fa-e12a6497372a</vt:lpwstr>
  </property>
  <property fmtid="{D5CDD505-2E9C-101B-9397-08002B2CF9AE}" pid="8" name="_ExtendedDescription">
    <vt:lpwstr/>
  </property>
  <property fmtid="{D5CDD505-2E9C-101B-9397-08002B2CF9AE}" pid="9" name="Business Unit(s)">
    <vt:lpwstr/>
  </property>
  <property fmtid="{D5CDD505-2E9C-101B-9397-08002B2CF9AE}" pid="10" name="Requirement Count">
    <vt:lpwstr/>
  </property>
  <property fmtid="{D5CDD505-2E9C-101B-9397-08002B2CF9AE}" pid="11" name="_docset_NoMedatataSyncRequired">
    <vt:lpwstr>False</vt:lpwstr>
  </property>
  <property fmtid="{D5CDD505-2E9C-101B-9397-08002B2CF9AE}" pid="12" name="MediaServiceImageTags">
    <vt:lpwstr/>
  </property>
  <property fmtid="{D5CDD505-2E9C-101B-9397-08002B2CF9AE}" pid="13" name="ID_x0020_Category">
    <vt:lpwstr>77;#Tariff|9d7a0996-ad5f-409c-802b-558da982e99b</vt:lpwstr>
  </property>
  <property fmtid="{D5CDD505-2E9C-101B-9397-08002B2CF9AE}" pid="14" name="Business_x0020_Unit_x0028_s_x0029_">
    <vt:lpwstr/>
  </property>
  <property fmtid="{D5CDD505-2E9C-101B-9397-08002B2CF9AE}" pid="15" name="Related_x0020_ADs">
    <vt:lpwstr>75;#ISO Tariff|d382ca91-b226-4555-b6b0-bf5721fda386</vt:lpwstr>
  </property>
  <property fmtid="{D5CDD505-2E9C-101B-9397-08002B2CF9AE}" pid="16" name="Confidentiality_x0020_Classification">
    <vt:lpwstr>2;#AESO Internal|fe2129cc-e616-4c1e-9a39-b6921e014562</vt:lpwstr>
  </property>
</Properties>
</file>