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updateLinks="always" codeName="ThisWorkbook" defaultThemeVersion="124226"/>
  <xr:revisionPtr revIDLastSave="0" documentId="13_ncr:1_{22D68F4C-E02D-411D-BAF2-D423474FAD03}" xr6:coauthVersionLast="44" xr6:coauthVersionMax="44" xr10:uidLastSave="{00000000-0000-0000-0000-000000000000}"/>
  <bookViews>
    <workbookView xWindow="-15030" yWindow="-16410" windowWidth="29040" windowHeight="15840" tabRatio="772" xr2:uid="{00000000-000D-0000-FFFF-FFFF00000000}"/>
  </bookViews>
  <sheets>
    <sheet name="Contents" sheetId="64" r:id="rId1"/>
    <sheet name="B-1 Rev Req" sheetId="57" r:id="rId2"/>
    <sheet name="B-2 TFO Rev Req" sheetId="65" r:id="rId3"/>
    <sheet name="B-3 Allocation" sheetId="23" r:id="rId4"/>
    <sheet name="B-4 Offsets" sheetId="24" r:id="rId5"/>
    <sheet name="B-5 DTS Classification" sheetId="25" r:id="rId6"/>
    <sheet name="B-6 POD Classification" sheetId="26" r:id="rId7"/>
    <sheet name="B-7 DTS Costs" sheetId="27" r:id="rId8"/>
    <sheet name="B-8 DTS Rate" sheetId="28" r:id="rId9"/>
    <sheet name="B-9 STS Classification" sheetId="29" r:id="rId10"/>
    <sheet name="B-10 STS Rate" sheetId="30" r:id="rId11"/>
    <sheet name="B-11 Other Rates" sheetId="31" r:id="rId12"/>
    <sheet name="B-12 Determinants" sheetId="32" r:id="rId13"/>
    <sheet name="B-13 Impact" sheetId="33" r:id="rId14"/>
    <sheet name="B-14 FTS Rate" sheetId="34" r:id="rId15"/>
    <sheet name="B-15 FTS Determinants" sheetId="35" r:id="rId16"/>
    <sheet name="B-16 Bill Estimator" sheetId="60" r:id="rId17"/>
  </sheets>
  <definedNames>
    <definedName name="Applicant">"Alberta Electric System Operator"</definedName>
    <definedName name="Application">"2021 ISO Tariff Update Application"</definedName>
    <definedName name="ApplicationSection">"Appendix B — 2021 Rate Calculations"</definedName>
    <definedName name="_xlnm.Print_Area" localSheetId="1">'B-1 Rev Req'!$A$1:$K$91</definedName>
    <definedName name="_xlnm.Print_Area" localSheetId="10">'B-10 STS Rate'!$A$1:$U$19</definedName>
    <definedName name="_xlnm.Print_Area" localSheetId="11">'B-11 Other Rates'!$A$1:$T$34</definedName>
    <definedName name="_xlnm.Print_Area" localSheetId="12">'B-12 Determinants'!$A$1:$K$27</definedName>
    <definedName name="_xlnm.Print_Area" localSheetId="13">'B-13 Impact'!$A$1:$R$37</definedName>
    <definedName name="_xlnm.Print_Area" localSheetId="14">'B-14 FTS Rate'!$A$1:$Q$38</definedName>
    <definedName name="_xlnm.Print_Area" localSheetId="15">'B-15 FTS Determinants'!$A$1:$G$17</definedName>
    <definedName name="_xlnm.Print_Area" localSheetId="16">'B-16 Bill Estimator'!$A$1:$H$95</definedName>
    <definedName name="_xlnm.Print_Area" localSheetId="2">'B-2 TFO Rev Req'!$A$1:$M$22</definedName>
    <definedName name="_xlnm.Print_Area" localSheetId="3">'B-3 Allocation'!$A$1:$P$37</definedName>
    <definedName name="_xlnm.Print_Area" localSheetId="4">'B-4 Offsets'!$A$1:$O$41</definedName>
    <definedName name="_xlnm.Print_Area" localSheetId="5">'B-5 DTS Classification'!$A$1:$Z$34</definedName>
    <definedName name="_xlnm.Print_Area" localSheetId="6">'B-6 POD Classification'!$A$1:$U$24</definedName>
    <definedName name="_xlnm.Print_Area" localSheetId="7">'B-7 DTS Costs'!$A$1:$X$35</definedName>
    <definedName name="_xlnm.Print_Area" localSheetId="8">'B-8 DTS Rate'!$A$1:$U$36</definedName>
    <definedName name="_xlnm.Print_Area" localSheetId="9">'B-9 STS Classification'!$A$1:$Z$33</definedName>
    <definedName name="_xlnm.Print_Area" localSheetId="0">Contents!$A$1:$B$27</definedName>
    <definedName name="_xlnm.Print_Titles" localSheetId="1">'B-1 Rev Req'!$9:$13</definedName>
    <definedName name="_xlnm.Print_Titles" localSheetId="16">'B-16 Bill Estimator'!$1:$8</definedName>
    <definedName name="TableDate">"November 6, 2020"</definedName>
    <definedName name="TableGroup1">"Appendix B — 2021 Rate Calculations"</definedName>
    <definedName name="TablePrefix">"Table "</definedName>
    <definedName name="TableSuffix">""</definedName>
    <definedName name="TotalPages">"1"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3" l="1"/>
  <c r="A4" i="24"/>
  <c r="A4" i="25"/>
  <c r="A4" i="26"/>
  <c r="A4" i="27"/>
  <c r="A4" i="28"/>
  <c r="A4" i="29"/>
  <c r="A4" i="30"/>
  <c r="A4" i="31"/>
  <c r="A4" i="33"/>
  <c r="A4" i="34"/>
  <c r="A4" i="35"/>
  <c r="D4" i="60"/>
  <c r="A4" i="32"/>
  <c r="O18" i="32" l="1"/>
  <c r="I85" i="57" l="1"/>
  <c r="I79" i="57"/>
  <c r="I70" i="57"/>
  <c r="I64" i="57"/>
  <c r="I59" i="57"/>
  <c r="I46" i="57"/>
  <c r="I41" i="57"/>
  <c r="I32" i="57"/>
  <c r="I19" i="57"/>
  <c r="I27" i="57" s="1"/>
  <c r="I33" i="57" l="1"/>
  <c r="I86" i="57"/>
  <c r="I88" i="57" s="1"/>
  <c r="I48" i="57"/>
  <c r="I60" i="57" s="1"/>
  <c r="K85" i="57"/>
  <c r="K79" i="57"/>
  <c r="K70" i="57"/>
  <c r="K64" i="57"/>
  <c r="K59" i="57"/>
  <c r="K46" i="57"/>
  <c r="K41" i="57"/>
  <c r="K32" i="57"/>
  <c r="K19" i="57"/>
  <c r="K27" i="57" s="1"/>
  <c r="K33" i="57" l="1"/>
  <c r="K86" i="57"/>
  <c r="K88" i="57" s="1"/>
  <c r="K48" i="57"/>
  <c r="K60" i="57" s="1"/>
  <c r="I90" i="57"/>
  <c r="O19" i="32"/>
  <c r="O17" i="32"/>
  <c r="O16" i="32"/>
  <c r="O15" i="32"/>
  <c r="O14" i="32"/>
  <c r="O13" i="32"/>
  <c r="O12" i="32"/>
  <c r="O11" i="32"/>
  <c r="K90" i="57" l="1"/>
  <c r="C17" i="35"/>
  <c r="D36" i="33" l="1"/>
  <c r="M24" i="34"/>
  <c r="D38" i="34"/>
  <c r="H79" i="57" l="1"/>
  <c r="I12" i="26" l="1"/>
  <c r="A2" i="60" l="1"/>
  <c r="F15" i="23" l="1"/>
  <c r="N13" i="28" l="1"/>
  <c r="Q39" i="24" l="1"/>
  <c r="H26" i="57" l="1"/>
  <c r="H22" i="57" l="1"/>
  <c r="H20" i="57"/>
  <c r="H25" i="57"/>
  <c r="H24" i="57"/>
  <c r="H23" i="57"/>
  <c r="H21" i="57"/>
  <c r="H17" i="57"/>
  <c r="H19" i="57" l="1"/>
  <c r="Q12" i="24"/>
  <c r="J85" i="57" l="1"/>
  <c r="J79" i="57"/>
  <c r="J70" i="57"/>
  <c r="J64" i="57"/>
  <c r="J59" i="57"/>
  <c r="J46" i="57"/>
  <c r="J41" i="57"/>
  <c r="J32" i="57"/>
  <c r="J19" i="57"/>
  <c r="J27" i="57" s="1"/>
  <c r="J48" i="57" l="1"/>
  <c r="J60" i="57" s="1"/>
  <c r="J33" i="57"/>
  <c r="J86" i="57"/>
  <c r="J88" i="57" s="1"/>
  <c r="J90" i="57" l="1"/>
  <c r="F15" i="35" l="1"/>
  <c r="H16" i="57"/>
  <c r="H27" i="57" l="1"/>
  <c r="H32" i="57"/>
  <c r="H41" i="57"/>
  <c r="H46" i="57"/>
  <c r="H48" i="57" l="1"/>
  <c r="H33" i="57"/>
  <c r="X17" i="27"/>
  <c r="C33" i="27" l="1"/>
  <c r="Q26" i="25" l="1"/>
  <c r="I26" i="25"/>
  <c r="Q28" i="24" l="1"/>
  <c r="F29" i="24" l="1"/>
  <c r="H70" i="57" l="1"/>
  <c r="H85" i="57"/>
  <c r="H86" i="57" s="1"/>
  <c r="H88" i="57" l="1"/>
  <c r="R28" i="24"/>
  <c r="R19" i="24"/>
  <c r="Q18" i="24"/>
  <c r="R18" i="24" s="1"/>
  <c r="Q15" i="24"/>
  <c r="R15" i="24" s="1"/>
  <c r="R12" i="24"/>
  <c r="H30" i="23" l="1"/>
  <c r="L12" i="26"/>
  <c r="I16" i="26" s="1"/>
  <c r="D88" i="60"/>
  <c r="J18" i="32" l="1"/>
  <c r="N12" i="30" s="1"/>
  <c r="F40" i="24" l="1"/>
  <c r="I12" i="24" l="1"/>
  <c r="H64" i="57" l="1"/>
  <c r="F30" i="60" l="1"/>
  <c r="K14" i="31"/>
  <c r="F41" i="24"/>
  <c r="L40" i="24"/>
  <c r="H28" i="23"/>
  <c r="N20" i="34"/>
  <c r="M20" i="34"/>
  <c r="A16" i="26"/>
  <c r="A17" i="26" s="1"/>
  <c r="A18" i="26" s="1"/>
  <c r="A19" i="26" s="1"/>
  <c r="M24" i="33"/>
  <c r="H24" i="33"/>
  <c r="I24" i="33" s="1"/>
  <c r="O27" i="28"/>
  <c r="N27" i="28"/>
  <c r="S27" i="28" s="1"/>
  <c r="H26" i="23"/>
  <c r="L26" i="23" s="1"/>
  <c r="F27" i="25" s="1"/>
  <c r="V27" i="25" s="1"/>
  <c r="H23" i="23"/>
  <c r="H22" i="23"/>
  <c r="H21" i="23"/>
  <c r="I13" i="24"/>
  <c r="I14" i="24"/>
  <c r="I15" i="24"/>
  <c r="I16" i="24"/>
  <c r="I17" i="24"/>
  <c r="I18" i="24"/>
  <c r="I19" i="24"/>
  <c r="I20" i="24"/>
  <c r="I21" i="24"/>
  <c r="I22" i="24"/>
  <c r="I23" i="24"/>
  <c r="I24" i="24"/>
  <c r="I25" i="24"/>
  <c r="I26" i="24"/>
  <c r="I27" i="24"/>
  <c r="I28" i="24"/>
  <c r="M1" i="65"/>
  <c r="K1" i="57"/>
  <c r="O25" i="23"/>
  <c r="H25" i="23"/>
  <c r="L25" i="23" s="1"/>
  <c r="F26" i="25" s="1"/>
  <c r="J26"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5" i="27"/>
  <c r="K35" i="27"/>
  <c r="M35" i="27"/>
  <c r="N35" i="27"/>
  <c r="P35" i="27"/>
  <c r="Q35" i="27"/>
  <c r="S35" i="27"/>
  <c r="T35" i="27"/>
  <c r="V35" i="27"/>
  <c r="W35" i="27"/>
  <c r="O17" i="23"/>
  <c r="H20" i="23"/>
  <c r="H19" i="23"/>
  <c r="O24" i="23"/>
  <c r="H24" i="23"/>
  <c r="L24" i="23" s="1"/>
  <c r="F25" i="25" s="1"/>
  <c r="M30" i="33"/>
  <c r="P1" i="23"/>
  <c r="U1" i="28"/>
  <c r="X1" i="27"/>
  <c r="M29" i="33"/>
  <c r="H29" i="33"/>
  <c r="K2" i="57"/>
  <c r="A2" i="57"/>
  <c r="A1" i="57"/>
  <c r="Z1" i="25"/>
  <c r="U1" i="26"/>
  <c r="Z1" i="29"/>
  <c r="U1" i="30"/>
  <c r="T1" i="31"/>
  <c r="P33" i="23"/>
  <c r="F32" i="29" s="1"/>
  <c r="J32" i="29" s="1"/>
  <c r="B13" i="64"/>
  <c r="L17" i="26"/>
  <c r="I17" i="26"/>
  <c r="I18" i="26" s="1"/>
  <c r="N17" i="26"/>
  <c r="P17" i="26"/>
  <c r="R17" i="26"/>
  <c r="R16" i="27"/>
  <c r="N23" i="28"/>
  <c r="N21" i="28"/>
  <c r="N20" i="28"/>
  <c r="N19" i="28"/>
  <c r="N22" i="28"/>
  <c r="M13" i="33"/>
  <c r="N14" i="28"/>
  <c r="M14" i="33"/>
  <c r="N16" i="28"/>
  <c r="M15" i="33"/>
  <c r="N17" i="28"/>
  <c r="M16" i="33"/>
  <c r="M17" i="33"/>
  <c r="M18" i="33"/>
  <c r="M19" i="33"/>
  <c r="M20" i="33"/>
  <c r="M21" i="33"/>
  <c r="H13" i="33"/>
  <c r="I13" i="33" s="1"/>
  <c r="H14" i="33"/>
  <c r="I14" i="33" s="1"/>
  <c r="H15" i="33"/>
  <c r="I15" i="33" s="1"/>
  <c r="H16" i="33"/>
  <c r="I16" i="33" s="1"/>
  <c r="H17" i="33"/>
  <c r="I17" i="33" s="1"/>
  <c r="H18" i="33"/>
  <c r="I18" i="33" s="1"/>
  <c r="H19" i="33"/>
  <c r="I19" i="33" s="1"/>
  <c r="H20" i="33"/>
  <c r="I20" i="33" s="1"/>
  <c r="H21" i="33"/>
  <c r="I21" i="33" s="1"/>
  <c r="M23" i="33"/>
  <c r="H23" i="33"/>
  <c r="I23" i="33" s="1"/>
  <c r="N29" i="28"/>
  <c r="S29" i="28" s="1"/>
  <c r="M25" i="33"/>
  <c r="H25" i="33"/>
  <c r="I25" i="33" s="1"/>
  <c r="N31" i="28"/>
  <c r="S31" i="28" s="1"/>
  <c r="M26" i="33"/>
  <c r="H26" i="33"/>
  <c r="I26" i="33" s="1"/>
  <c r="G2" i="35"/>
  <c r="G1" i="35"/>
  <c r="Q2" i="34"/>
  <c r="Q1" i="34"/>
  <c r="R2" i="33"/>
  <c r="R1" i="33"/>
  <c r="K2" i="32"/>
  <c r="K1" i="32"/>
  <c r="T2" i="31"/>
  <c r="U2" i="30"/>
  <c r="Z2" i="29"/>
  <c r="U2" i="28"/>
  <c r="X2" i="27"/>
  <c r="U2" i="26"/>
  <c r="Z2" i="25"/>
  <c r="O2" i="24"/>
  <c r="P2" i="23"/>
  <c r="M2" i="65"/>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2" i="65"/>
  <c r="A1" i="65"/>
  <c r="A4" i="57"/>
  <c r="A2" i="35"/>
  <c r="A2" i="34"/>
  <c r="A2" i="33"/>
  <c r="A2" i="32"/>
  <c r="A2" i="31"/>
  <c r="A2" i="30"/>
  <c r="A2" i="29"/>
  <c r="A2" i="28"/>
  <c r="A2" i="27"/>
  <c r="A2" i="26"/>
  <c r="A2" i="25"/>
  <c r="A2" i="24"/>
  <c r="A2" i="23"/>
  <c r="A6" i="64"/>
  <c r="A4" i="64"/>
  <c r="A3" i="64"/>
  <c r="M24" i="25"/>
  <c r="H30" i="33"/>
  <c r="I30" i="33" s="1"/>
  <c r="A17" i="57"/>
  <c r="A18" i="57" s="1"/>
  <c r="A19" i="57" s="1"/>
  <c r="A20" i="57" s="1"/>
  <c r="A21" i="57" s="1"/>
  <c r="A22" i="57" s="1"/>
  <c r="A23" i="57" s="1"/>
  <c r="O14" i="23"/>
  <c r="O29" i="23"/>
  <c r="O30" i="23"/>
  <c r="O19" i="23"/>
  <c r="O20" i="23"/>
  <c r="O21" i="23"/>
  <c r="O22" i="23"/>
  <c r="O23" i="23"/>
  <c r="U24" i="29"/>
  <c r="O28" i="23"/>
  <c r="K31" i="24"/>
  <c r="L31" i="24" s="1"/>
  <c r="J20" i="32"/>
  <c r="D74" i="60"/>
  <c r="F23" i="60"/>
  <c r="F46" i="60" s="1"/>
  <c r="D75" i="60"/>
  <c r="F28" i="60"/>
  <c r="F88" i="60" s="1"/>
  <c r="H88" i="60" s="1"/>
  <c r="D77" i="60"/>
  <c r="F25" i="60"/>
  <c r="F49" i="60" s="1"/>
  <c r="D78" i="60"/>
  <c r="D81" i="60"/>
  <c r="D82" i="60"/>
  <c r="D83" i="60"/>
  <c r="D84" i="60"/>
  <c r="D80" i="60"/>
  <c r="F80" i="60"/>
  <c r="D86" i="60"/>
  <c r="D90" i="60"/>
  <c r="D92" i="60"/>
  <c r="F92" i="60"/>
  <c r="F52" i="60"/>
  <c r="F64" i="60"/>
  <c r="G17" i="31"/>
  <c r="K17" i="31" s="1"/>
  <c r="K24" i="31"/>
  <c r="K25" i="31"/>
  <c r="K22" i="31"/>
  <c r="J30" i="31"/>
  <c r="K30" i="31"/>
  <c r="J15" i="31"/>
  <c r="J31" i="31"/>
  <c r="K32" i="31"/>
  <c r="J16" i="31"/>
  <c r="J32" i="31"/>
  <c r="J33" i="31"/>
  <c r="K33" i="31"/>
  <c r="J20" i="31"/>
  <c r="J21" i="31"/>
  <c r="J22" i="31"/>
  <c r="J23" i="31"/>
  <c r="J24" i="31"/>
  <c r="J25" i="31"/>
  <c r="R22" i="31"/>
  <c r="S22" i="31"/>
  <c r="R23" i="31"/>
  <c r="R24" i="31"/>
  <c r="S24" i="31"/>
  <c r="R25" i="31"/>
  <c r="S25" i="31"/>
  <c r="N22" i="31"/>
  <c r="O22" i="31"/>
  <c r="N23" i="31"/>
  <c r="N24" i="31"/>
  <c r="O24" i="31"/>
  <c r="N25" i="31"/>
  <c r="O25" i="31"/>
  <c r="M12" i="34"/>
  <c r="M13" i="34"/>
  <c r="M29" i="34"/>
  <c r="M30" i="34"/>
  <c r="M15" i="34"/>
  <c r="M16" i="34"/>
  <c r="M18" i="34"/>
  <c r="M22" i="34"/>
  <c r="N14" i="30"/>
  <c r="R14" i="30" s="1"/>
  <c r="A2" i="64"/>
  <c r="A1" i="23"/>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O12" i="23"/>
  <c r="A1" i="24"/>
  <c r="A12" i="24"/>
  <c r="A13" i="24" s="1"/>
  <c r="A16" i="24" s="1"/>
  <c r="A19" i="24" s="1"/>
  <c r="A20" i="24" s="1"/>
  <c r="A26" i="24" s="1"/>
  <c r="A27" i="24" s="1"/>
  <c r="A28" i="24" s="1"/>
  <c r="A29" i="24" s="1"/>
  <c r="A30" i="24" s="1"/>
  <c r="A31" i="24" s="1"/>
  <c r="A32" i="24" s="1"/>
  <c r="A35" i="24" s="1"/>
  <c r="A40" i="24" s="1"/>
  <c r="A41" i="24" s="1"/>
  <c r="A1" i="25"/>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1" i="26"/>
  <c r="A1" i="27"/>
  <c r="A13" i="27"/>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1" i="28"/>
  <c r="O13" i="28"/>
  <c r="O14" i="28"/>
  <c r="O16" i="28"/>
  <c r="O17" i="28"/>
  <c r="O20" i="28"/>
  <c r="O21" i="28"/>
  <c r="O22" i="28"/>
  <c r="O23" i="28"/>
  <c r="O19" i="28"/>
  <c r="N25" i="28"/>
  <c r="O25" i="28"/>
  <c r="S25" i="28"/>
  <c r="O29" i="28"/>
  <c r="O31" i="28"/>
  <c r="A1" i="29"/>
  <c r="A13" i="29"/>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Q24" i="29"/>
  <c r="I31" i="29"/>
  <c r="M31" i="29"/>
  <c r="Q31" i="29"/>
  <c r="A1" i="30"/>
  <c r="A12" i="30"/>
  <c r="A13" i="30" s="1"/>
  <c r="A14" i="30" s="1"/>
  <c r="A15" i="30" s="1"/>
  <c r="O14" i="30"/>
  <c r="A1" i="31"/>
  <c r="A12" i="3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1" i="32"/>
  <c r="A12" i="32"/>
  <c r="A13" i="32" s="1"/>
  <c r="A14" i="32" s="1"/>
  <c r="A15" i="32" s="1"/>
  <c r="A16" i="32" s="1"/>
  <c r="A17" i="32" s="1"/>
  <c r="A18" i="32" s="1"/>
  <c r="A19" i="32" s="1"/>
  <c r="A20" i="32" s="1"/>
  <c r="A21" i="32" s="1"/>
  <c r="A1" i="33"/>
  <c r="A1" i="34"/>
  <c r="A12" i="34"/>
  <c r="A13" i="34" s="1"/>
  <c r="A14" i="34" s="1"/>
  <c r="A15" i="34" s="1"/>
  <c r="A16" i="34" s="1"/>
  <c r="A17" i="34" s="1"/>
  <c r="A18" i="34" s="1"/>
  <c r="A19" i="34" s="1"/>
  <c r="A20" i="34" s="1"/>
  <c r="A21" i="34" s="1"/>
  <c r="A22" i="34" s="1"/>
  <c r="A23" i="34" s="1"/>
  <c r="A24" i="34" s="1"/>
  <c r="A25" i="34" s="1"/>
  <c r="N12" i="34"/>
  <c r="N13" i="34"/>
  <c r="N15" i="34"/>
  <c r="N16" i="34"/>
  <c r="N18" i="34"/>
  <c r="N22" i="34"/>
  <c r="N24" i="34"/>
  <c r="N29" i="34"/>
  <c r="N30" i="34"/>
  <c r="A1" i="35"/>
  <c r="A12" i="35"/>
  <c r="A13" i="35" s="1"/>
  <c r="A14" i="35" s="1"/>
  <c r="A15" i="35" s="1"/>
  <c r="L25" i="31" l="1"/>
  <c r="P24" i="31"/>
  <c r="T25" i="31"/>
  <c r="T22" i="31"/>
  <c r="L33" i="31"/>
  <c r="L30" i="31"/>
  <c r="F50" i="60"/>
  <c r="F55" i="60"/>
  <c r="T24" i="31"/>
  <c r="L24" i="31"/>
  <c r="F60" i="60"/>
  <c r="F90" i="60"/>
  <c r="H90" i="60" s="1"/>
  <c r="F47" i="60"/>
  <c r="F75" i="60"/>
  <c r="H75" i="60" s="1"/>
  <c r="P22" i="31"/>
  <c r="F53" i="60"/>
  <c r="L32" i="31"/>
  <c r="R16" i="26"/>
  <c r="R18" i="26" s="1"/>
  <c r="P21" i="23"/>
  <c r="F22" i="29" s="1"/>
  <c r="Y22" i="29" s="1"/>
  <c r="Z22" i="29" s="1"/>
  <c r="P25" i="31"/>
  <c r="C17" i="30"/>
  <c r="D27" i="32"/>
  <c r="L22" i="31"/>
  <c r="J26" i="31"/>
  <c r="H92" i="60"/>
  <c r="P20" i="23"/>
  <c r="F21" i="29" s="1"/>
  <c r="R21" i="29" s="1"/>
  <c r="F62" i="60"/>
  <c r="P16" i="26"/>
  <c r="P18" i="26" s="1"/>
  <c r="P23" i="23"/>
  <c r="F24" i="29" s="1"/>
  <c r="R24" i="29" s="1"/>
  <c r="F58" i="60"/>
  <c r="F86" i="60"/>
  <c r="H86" i="60" s="1"/>
  <c r="H80" i="60"/>
  <c r="F77" i="60"/>
  <c r="H77" i="60" s="1"/>
  <c r="F84" i="60"/>
  <c r="H84" i="60" s="1"/>
  <c r="F81" i="60"/>
  <c r="H81" i="60" s="1"/>
  <c r="F56" i="60"/>
  <c r="F83" i="60"/>
  <c r="H83" i="60" s="1"/>
  <c r="F54" i="60"/>
  <c r="F82" i="60"/>
  <c r="H82" i="60" s="1"/>
  <c r="G13" i="60"/>
  <c r="F78" i="60"/>
  <c r="H78" i="60" s="1"/>
  <c r="G12" i="60"/>
  <c r="F74" i="60"/>
  <c r="H74" i="60" s="1"/>
  <c r="D36" i="28"/>
  <c r="N16" i="26"/>
  <c r="N18" i="26" s="1"/>
  <c r="L18" i="26"/>
  <c r="Q31" i="24"/>
  <c r="A24" i="57"/>
  <c r="A26" i="57" s="1"/>
  <c r="A27" i="57" s="1"/>
  <c r="A30" i="57" s="1"/>
  <c r="A31" i="57" s="1"/>
  <c r="A32" i="57" s="1"/>
  <c r="A33" i="57" s="1"/>
  <c r="A38" i="57" s="1"/>
  <c r="A39" i="57" s="1"/>
  <c r="A40" i="57" s="1"/>
  <c r="A41" i="57" s="1"/>
  <c r="A43" i="57" s="1"/>
  <c r="A44" i="57" s="1"/>
  <c r="A45" i="57" s="1"/>
  <c r="A46" i="57" s="1"/>
  <c r="A47" i="57" s="1"/>
  <c r="A48" i="57" s="1"/>
  <c r="A51" i="57" s="1"/>
  <c r="A52" i="57" s="1"/>
  <c r="A53" i="57" s="1"/>
  <c r="A54" i="57" s="1"/>
  <c r="A55" i="57" s="1"/>
  <c r="A56" i="57" s="1"/>
  <c r="A57" i="57" s="1"/>
  <c r="A58" i="57" s="1"/>
  <c r="A59" i="57" s="1"/>
  <c r="A60" i="57" s="1"/>
  <c r="A63" i="57" s="1"/>
  <c r="A64" i="57" s="1"/>
  <c r="A67" i="57" s="1"/>
  <c r="A68" i="57" s="1"/>
  <c r="A69" i="57" s="1"/>
  <c r="A70" i="57" s="1"/>
  <c r="A74" i="57" s="1"/>
  <c r="A75" i="57" s="1"/>
  <c r="A76" i="57" s="1"/>
  <c r="A77" i="57" s="1"/>
  <c r="A78" i="57" s="1"/>
  <c r="A79" i="57" s="1"/>
  <c r="A82" i="57" s="1"/>
  <c r="A83" i="57" s="1"/>
  <c r="A84" i="57" s="1"/>
  <c r="A85" i="57" s="1"/>
  <c r="A86" i="57" s="1"/>
  <c r="A88" i="57" s="1"/>
  <c r="A90" i="57" s="1"/>
  <c r="A25" i="57"/>
  <c r="R39" i="24"/>
  <c r="Q34" i="24"/>
  <c r="R34" i="24" s="1"/>
  <c r="Q38" i="24"/>
  <c r="R38" i="24" s="1"/>
  <c r="Q33" i="24"/>
  <c r="R33" i="24" s="1"/>
  <c r="Q37" i="24"/>
  <c r="R37" i="24" s="1"/>
  <c r="Q36" i="24"/>
  <c r="R36" i="24" s="1"/>
  <c r="V25" i="25"/>
  <c r="N25" i="25"/>
  <c r="L32" i="27" s="1"/>
  <c r="I33" i="27"/>
  <c r="I18" i="27"/>
  <c r="I22" i="33"/>
  <c r="I27" i="33" s="1"/>
  <c r="I29" i="33"/>
  <c r="I31" i="33" s="1"/>
  <c r="L41" i="24"/>
  <c r="P32" i="23" s="1"/>
  <c r="F31" i="29" s="1"/>
  <c r="Y31" i="29" s="1"/>
  <c r="Z31" i="29" s="1"/>
  <c r="H59" i="57"/>
  <c r="H60" i="57" s="1"/>
  <c r="H29" i="23"/>
  <c r="P29" i="23" s="1"/>
  <c r="F28" i="29" s="1"/>
  <c r="Y28" i="29" s="1"/>
  <c r="Z28" i="29" s="1"/>
  <c r="N32" i="29"/>
  <c r="J14" i="30" s="1"/>
  <c r="L21" i="23"/>
  <c r="F22" i="25" s="1"/>
  <c r="N22" i="25" s="1"/>
  <c r="L31" i="27" s="1"/>
  <c r="L23" i="23"/>
  <c r="F24" i="25" s="1"/>
  <c r="Y24" i="25" s="1"/>
  <c r="Z24" i="25" s="1"/>
  <c r="L20" i="23"/>
  <c r="F21" i="25" s="1"/>
  <c r="N21" i="25" s="1"/>
  <c r="L29" i="27" s="1"/>
  <c r="I29" i="24"/>
  <c r="I41" i="24" s="1"/>
  <c r="H41" i="24" s="1"/>
  <c r="P30" i="23"/>
  <c r="F29" i="29" s="1"/>
  <c r="P28" i="23"/>
  <c r="F27" i="29" s="1"/>
  <c r="L28" i="23"/>
  <c r="F29" i="25" s="1"/>
  <c r="L19" i="23"/>
  <c r="F20" i="25" s="1"/>
  <c r="P19" i="23"/>
  <c r="F20" i="29" s="1"/>
  <c r="V26" i="25"/>
  <c r="Z26" i="25"/>
  <c r="N26" i="25"/>
  <c r="L18" i="27" s="1"/>
  <c r="R26" i="25"/>
  <c r="P22" i="23"/>
  <c r="F23" i="29" s="1"/>
  <c r="L22" i="23"/>
  <c r="F23" i="25" s="1"/>
  <c r="H17" i="23"/>
  <c r="G14" i="60" l="1"/>
  <c r="G15" i="60" s="1"/>
  <c r="V24" i="29"/>
  <c r="R22" i="29"/>
  <c r="N22" i="29"/>
  <c r="Y21" i="29"/>
  <c r="Z21" i="29" s="1"/>
  <c r="J22" i="29"/>
  <c r="J21" i="29"/>
  <c r="N21" i="29"/>
  <c r="V21" i="29"/>
  <c r="V22" i="29"/>
  <c r="J24" i="29"/>
  <c r="N24" i="29"/>
  <c r="Y24" i="29"/>
  <c r="Z24" i="29" s="1"/>
  <c r="H94" i="60"/>
  <c r="H95" i="60" s="1"/>
  <c r="U18" i="26"/>
  <c r="P19" i="26" s="1"/>
  <c r="R31" i="24"/>
  <c r="Q40" i="24"/>
  <c r="N24" i="25"/>
  <c r="O33" i="27"/>
  <c r="O18" i="27"/>
  <c r="U33" i="27"/>
  <c r="U18" i="27"/>
  <c r="R33" i="27"/>
  <c r="R18" i="27"/>
  <c r="J24" i="25"/>
  <c r="N31" i="29"/>
  <c r="K41" i="24"/>
  <c r="J31" i="29"/>
  <c r="R31" i="29"/>
  <c r="V31" i="29"/>
  <c r="J12" i="30" s="1"/>
  <c r="J15" i="30" s="1"/>
  <c r="I32" i="33"/>
  <c r="L29" i="23"/>
  <c r="F30" i="25" s="1"/>
  <c r="J22" i="25"/>
  <c r="R22" i="25"/>
  <c r="O31" i="27" s="1"/>
  <c r="T14" i="30"/>
  <c r="K14" i="30"/>
  <c r="Y22" i="25"/>
  <c r="Z22" i="25" s="1"/>
  <c r="U31" i="27" s="1"/>
  <c r="V22" i="25"/>
  <c r="R26" i="27" s="1"/>
  <c r="X26" i="27" s="1"/>
  <c r="L30" i="23"/>
  <c r="F31" i="25" s="1"/>
  <c r="R21" i="25"/>
  <c r="O29" i="27" s="1"/>
  <c r="I29" i="28" s="1"/>
  <c r="Y21" i="25"/>
  <c r="Z21" i="25" s="1"/>
  <c r="U29" i="27" s="1"/>
  <c r="J21" i="25"/>
  <c r="I29" i="27" s="1"/>
  <c r="V21" i="25"/>
  <c r="R29" i="27" s="1"/>
  <c r="V24" i="25"/>
  <c r="R28" i="27" s="1"/>
  <c r="R24" i="25"/>
  <c r="L32" i="23"/>
  <c r="F33" i="25" s="1"/>
  <c r="Y29" i="29"/>
  <c r="Z29" i="29" s="1"/>
  <c r="J29" i="25"/>
  <c r="R29" i="25"/>
  <c r="Y29" i="25"/>
  <c r="Z29" i="25" s="1"/>
  <c r="N29" i="25"/>
  <c r="V29" i="25"/>
  <c r="N27" i="29"/>
  <c r="J27" i="29"/>
  <c r="V27" i="29"/>
  <c r="Y27" i="29"/>
  <c r="Z27" i="29" s="1"/>
  <c r="R27" i="29"/>
  <c r="J23" i="25"/>
  <c r="I32" i="27" s="1"/>
  <c r="I34" i="27" s="1"/>
  <c r="Y23" i="25"/>
  <c r="Z23" i="25" s="1"/>
  <c r="U32" i="27" s="1"/>
  <c r="N23" i="25"/>
  <c r="L33" i="27" s="1"/>
  <c r="R23" i="25"/>
  <c r="O32" i="27" s="1"/>
  <c r="V23" i="25"/>
  <c r="R32" i="27" s="1"/>
  <c r="Y23" i="29"/>
  <c r="Z23" i="29" s="1"/>
  <c r="R23" i="29"/>
  <c r="J23" i="29"/>
  <c r="N23" i="29"/>
  <c r="V23" i="29"/>
  <c r="Y20" i="25"/>
  <c r="Z20" i="25" s="1"/>
  <c r="U25" i="27" s="1"/>
  <c r="V20" i="25"/>
  <c r="R25" i="27" s="1"/>
  <c r="R20" i="25"/>
  <c r="O25" i="27" s="1"/>
  <c r="N20" i="25"/>
  <c r="L25" i="27" s="1"/>
  <c r="J20" i="25"/>
  <c r="I25" i="27" s="1"/>
  <c r="J20" i="29"/>
  <c r="V20" i="29"/>
  <c r="R20" i="29"/>
  <c r="N20" i="29"/>
  <c r="Y20" i="29"/>
  <c r="Z20" i="29" s="1"/>
  <c r="H27" i="23"/>
  <c r="L17" i="23"/>
  <c r="P17" i="23"/>
  <c r="F12" i="60" l="1"/>
  <c r="H12" i="60" s="1"/>
  <c r="I19" i="26"/>
  <c r="R19" i="26"/>
  <c r="N19" i="26"/>
  <c r="L19" i="26"/>
  <c r="X31" i="27"/>
  <c r="H90" i="57"/>
  <c r="X29" i="27"/>
  <c r="X18" i="27"/>
  <c r="X33" i="27"/>
  <c r="X32" i="27"/>
  <c r="X28" i="27"/>
  <c r="I27" i="28"/>
  <c r="X25" i="27"/>
  <c r="R34" i="27"/>
  <c r="S12" i="30"/>
  <c r="O34" i="27"/>
  <c r="R26" i="24"/>
  <c r="L30" i="33"/>
  <c r="N30" i="33" s="1"/>
  <c r="Q30" i="33" s="1"/>
  <c r="R30" i="33" s="1"/>
  <c r="H15" i="23"/>
  <c r="U34" i="27"/>
  <c r="R29" i="28"/>
  <c r="K29" i="28"/>
  <c r="L34" i="27"/>
  <c r="I31" i="28" s="1"/>
  <c r="F18" i="29"/>
  <c r="P27" i="23"/>
  <c r="O27" i="23" s="1"/>
  <c r="L27" i="23"/>
  <c r="K27" i="23" s="1"/>
  <c r="F18" i="25"/>
  <c r="U19" i="26" l="1"/>
  <c r="M15" i="25"/>
  <c r="Y15" i="25"/>
  <c r="H14" i="23"/>
  <c r="H13" i="23"/>
  <c r="H12" i="23"/>
  <c r="H31" i="23"/>
  <c r="X34" i="27"/>
  <c r="R27" i="28"/>
  <c r="K27" i="28"/>
  <c r="T27" i="28" s="1"/>
  <c r="T29" i="28"/>
  <c r="G16" i="31"/>
  <c r="R31" i="28"/>
  <c r="K31" i="28"/>
  <c r="P17" i="32" s="1"/>
  <c r="J18" i="29"/>
  <c r="J26" i="29" s="1"/>
  <c r="R18" i="29"/>
  <c r="R26" i="29" s="1"/>
  <c r="Y18" i="29"/>
  <c r="Z18" i="29" s="1"/>
  <c r="Z26" i="29" s="1"/>
  <c r="N18" i="29"/>
  <c r="N26" i="29" s="1"/>
  <c r="V18" i="29"/>
  <c r="V26" i="29" s="1"/>
  <c r="F26" i="29"/>
  <c r="J18" i="25"/>
  <c r="R18" i="25"/>
  <c r="F28" i="25"/>
  <c r="Y18" i="25"/>
  <c r="Z18" i="25" s="1"/>
  <c r="V18" i="25"/>
  <c r="N18" i="25"/>
  <c r="L24" i="33" l="1"/>
  <c r="I20" i="34"/>
  <c r="Q20" i="34" s="1"/>
  <c r="L12" i="23"/>
  <c r="P12" i="23"/>
  <c r="P14" i="23"/>
  <c r="L14" i="23"/>
  <c r="F15" i="25" s="1"/>
  <c r="P13" i="23"/>
  <c r="F13" i="29" s="1"/>
  <c r="L13" i="23"/>
  <c r="F14" i="25" s="1"/>
  <c r="K16" i="31"/>
  <c r="L16" i="31" s="1"/>
  <c r="H16" i="31"/>
  <c r="I22" i="34"/>
  <c r="Q22" i="34" s="1"/>
  <c r="L25" i="33"/>
  <c r="F17" i="31"/>
  <c r="T31" i="28"/>
  <c r="V28" i="25"/>
  <c r="U28" i="25" s="1"/>
  <c r="R24" i="27"/>
  <c r="R27" i="27" s="1"/>
  <c r="I25" i="28" s="1"/>
  <c r="R28" i="25"/>
  <c r="Q28" i="25" s="1"/>
  <c r="O24" i="27"/>
  <c r="O27" i="27" s="1"/>
  <c r="Z28" i="25"/>
  <c r="Y28" i="25" s="1"/>
  <c r="U24" i="27"/>
  <c r="U27" i="27" s="1"/>
  <c r="J28" i="25"/>
  <c r="I28" i="25" s="1"/>
  <c r="I24" i="27"/>
  <c r="I26" i="29"/>
  <c r="U26" i="29"/>
  <c r="Y26" i="29"/>
  <c r="M26" i="29"/>
  <c r="Q26" i="29"/>
  <c r="N28" i="25"/>
  <c r="M28" i="25" s="1"/>
  <c r="L24" i="27"/>
  <c r="I27" i="27" l="1"/>
  <c r="X24" i="27"/>
  <c r="X27" i="27" s="1"/>
  <c r="N24" i="33"/>
  <c r="Q24" i="33" s="1"/>
  <c r="R24" i="33" s="1"/>
  <c r="D60" i="60"/>
  <c r="F14" i="29"/>
  <c r="F15" i="29"/>
  <c r="N14" i="25"/>
  <c r="L15" i="27" s="1"/>
  <c r="I16" i="28" s="1"/>
  <c r="R16" i="28" s="1"/>
  <c r="I29" i="34" s="1"/>
  <c r="Q29" i="34" s="1"/>
  <c r="J14" i="25"/>
  <c r="I15" i="27" s="1"/>
  <c r="Y14" i="25"/>
  <c r="Z14" i="25" s="1"/>
  <c r="U15" i="27" s="1"/>
  <c r="R14" i="25"/>
  <c r="O15" i="27" s="1"/>
  <c r="I17" i="28" s="1"/>
  <c r="R17" i="28" s="1"/>
  <c r="I30" i="34" s="1"/>
  <c r="Q30" i="34" s="1"/>
  <c r="V14" i="25"/>
  <c r="R15" i="27" s="1"/>
  <c r="P15" i="23"/>
  <c r="Z15" i="25"/>
  <c r="U16" i="27" s="1"/>
  <c r="J15" i="25"/>
  <c r="I16" i="27" s="1"/>
  <c r="R15" i="25"/>
  <c r="O16" i="27" s="1"/>
  <c r="N15" i="25"/>
  <c r="L16" i="27" s="1"/>
  <c r="V13" i="29"/>
  <c r="Y13" i="29"/>
  <c r="Z13" i="29" s="1"/>
  <c r="R13" i="29"/>
  <c r="N13" i="29"/>
  <c r="J13" i="29"/>
  <c r="L15" i="23"/>
  <c r="F13" i="25"/>
  <c r="N25" i="33"/>
  <c r="Q25" i="33" s="1"/>
  <c r="R25" i="33" s="1"/>
  <c r="D62" i="60"/>
  <c r="I24" i="34"/>
  <c r="Q24" i="34" s="1"/>
  <c r="L26" i="33"/>
  <c r="H17" i="31"/>
  <c r="J17" i="31"/>
  <c r="L17" i="31" s="1"/>
  <c r="L27" i="27"/>
  <c r="R25" i="28"/>
  <c r="K25" i="28"/>
  <c r="H60" i="60" l="1"/>
  <c r="H62" i="60"/>
  <c r="X16" i="27"/>
  <c r="X15" i="27"/>
  <c r="V15" i="29"/>
  <c r="Y15" i="29"/>
  <c r="Z15" i="29" s="1"/>
  <c r="J15" i="29"/>
  <c r="R15" i="29"/>
  <c r="N15" i="29"/>
  <c r="P31" i="23"/>
  <c r="O15" i="23"/>
  <c r="J13" i="25"/>
  <c r="R13" i="25"/>
  <c r="F16" i="25"/>
  <c r="F32" i="25" s="1"/>
  <c r="F34" i="25" s="1"/>
  <c r="N13" i="25"/>
  <c r="L31" i="23"/>
  <c r="K15" i="23"/>
  <c r="F16" i="29"/>
  <c r="J14" i="29"/>
  <c r="Y14" i="29"/>
  <c r="Z14" i="29" s="1"/>
  <c r="R14" i="29"/>
  <c r="V14" i="29"/>
  <c r="N14" i="29"/>
  <c r="D64" i="60"/>
  <c r="N26" i="33"/>
  <c r="Q26" i="33" s="1"/>
  <c r="R26" i="33" s="1"/>
  <c r="G15" i="31"/>
  <c r="T25" i="28"/>
  <c r="Q31" i="34"/>
  <c r="H64" i="60" l="1"/>
  <c r="N16" i="29"/>
  <c r="Z16" i="29"/>
  <c r="Z30" i="29" s="1"/>
  <c r="R16" i="29"/>
  <c r="J16" i="29"/>
  <c r="L34" i="23"/>
  <c r="K31" i="23"/>
  <c r="O31" i="23"/>
  <c r="P34" i="23"/>
  <c r="L14" i="27"/>
  <c r="N16" i="25"/>
  <c r="M16" i="25" s="1"/>
  <c r="M31" i="25" s="1"/>
  <c r="N31" i="25" s="1"/>
  <c r="L20" i="27" s="1"/>
  <c r="J16" i="25"/>
  <c r="I14" i="27"/>
  <c r="V16" i="29"/>
  <c r="Q16" i="29"/>
  <c r="I16" i="29"/>
  <c r="F30" i="29"/>
  <c r="F33" i="29" s="1"/>
  <c r="M16" i="29"/>
  <c r="U16" i="29"/>
  <c r="Y16" i="29"/>
  <c r="I19" i="28"/>
  <c r="R19" i="28" s="1"/>
  <c r="I21" i="28"/>
  <c r="R21" i="28" s="1"/>
  <c r="I20" i="28"/>
  <c r="R20" i="28" s="1"/>
  <c r="I22" i="28"/>
  <c r="R22" i="28" s="1"/>
  <c r="I23" i="28"/>
  <c r="R23" i="28" s="1"/>
  <c r="O14" i="27"/>
  <c r="I14" i="28" s="1"/>
  <c r="R14" i="28" s="1"/>
  <c r="R16" i="25"/>
  <c r="Q16" i="25" s="1"/>
  <c r="Q33" i="25" s="1"/>
  <c r="R33" i="25" s="1"/>
  <c r="O21" i="27" s="1"/>
  <c r="K15" i="31"/>
  <c r="H15" i="31"/>
  <c r="I18" i="34"/>
  <c r="Q18" i="34" s="1"/>
  <c r="L23" i="33"/>
  <c r="I37" i="34"/>
  <c r="I36" i="34"/>
  <c r="I16" i="25" l="1"/>
  <c r="I30" i="25" s="1"/>
  <c r="J30" i="25" s="1"/>
  <c r="Q30" i="25"/>
  <c r="R30" i="25" s="1"/>
  <c r="O19" i="27" s="1"/>
  <c r="Q31" i="25"/>
  <c r="R31" i="25" s="1"/>
  <c r="O20" i="27" s="1"/>
  <c r="M33" i="25"/>
  <c r="N33" i="25" s="1"/>
  <c r="L21" i="27" s="1"/>
  <c r="I28" i="29"/>
  <c r="J28" i="29" s="1"/>
  <c r="I29" i="29"/>
  <c r="J29" i="29" s="1"/>
  <c r="U28" i="29"/>
  <c r="V28" i="29" s="1"/>
  <c r="U29" i="29"/>
  <c r="V29" i="29" s="1"/>
  <c r="U32" i="29"/>
  <c r="V32" i="29" s="1"/>
  <c r="M30" i="25"/>
  <c r="N30" i="25" s="1"/>
  <c r="L19" i="27" s="1"/>
  <c r="M29" i="29"/>
  <c r="N29" i="29" s="1"/>
  <c r="M28" i="29"/>
  <c r="N28" i="29" s="1"/>
  <c r="Q28" i="29"/>
  <c r="R28" i="29" s="1"/>
  <c r="Q32" i="29"/>
  <c r="Q29" i="29"/>
  <c r="R29" i="29" s="1"/>
  <c r="I13" i="28"/>
  <c r="I32" i="28" s="1"/>
  <c r="Y30" i="29"/>
  <c r="O23" i="31"/>
  <c r="P23" i="31" s="1"/>
  <c r="L15" i="31"/>
  <c r="K23" i="31"/>
  <c r="L23" i="31" s="1"/>
  <c r="S23" i="31"/>
  <c r="T23" i="31" s="1"/>
  <c r="K31" i="31"/>
  <c r="L31" i="31" s="1"/>
  <c r="D58" i="60"/>
  <c r="N23" i="33"/>
  <c r="Q23" i="33" s="1"/>
  <c r="R23" i="33" s="1"/>
  <c r="H58" i="60" l="1"/>
  <c r="I33" i="25"/>
  <c r="J33" i="25" s="1"/>
  <c r="I21" i="27" s="1"/>
  <c r="I31" i="25"/>
  <c r="J31" i="25" s="1"/>
  <c r="I20" i="27" s="1"/>
  <c r="R32" i="25"/>
  <c r="Q32" i="25" s="1"/>
  <c r="N30" i="29"/>
  <c r="M30" i="29" s="1"/>
  <c r="R30" i="29"/>
  <c r="Q30" i="29" s="1"/>
  <c r="V30" i="29"/>
  <c r="U30" i="29" s="1"/>
  <c r="N32" i="25"/>
  <c r="M32" i="25" s="1"/>
  <c r="R13" i="28"/>
  <c r="Y32" i="29"/>
  <c r="Z32" i="29" s="1"/>
  <c r="Z33" i="29" s="1"/>
  <c r="Y33" i="29" s="1"/>
  <c r="R32" i="29"/>
  <c r="J30" i="29"/>
  <c r="I19" i="27"/>
  <c r="J16" i="28"/>
  <c r="J21" i="28"/>
  <c r="J23" i="28"/>
  <c r="L22" i="27"/>
  <c r="L35" i="27" s="1"/>
  <c r="J22" i="28"/>
  <c r="J20" i="28"/>
  <c r="J17" i="28"/>
  <c r="O22" i="27"/>
  <c r="O35" i="27" s="1"/>
  <c r="J14" i="28"/>
  <c r="J32" i="25" l="1"/>
  <c r="J34" i="25" s="1"/>
  <c r="I34" i="25" s="1"/>
  <c r="R34" i="25"/>
  <c r="Q34" i="25" s="1"/>
  <c r="R33" i="29"/>
  <c r="Q33" i="29" s="1"/>
  <c r="V33" i="29"/>
  <c r="U33" i="29" s="1"/>
  <c r="N33" i="29"/>
  <c r="M33" i="29" s="1"/>
  <c r="I12" i="30"/>
  <c r="R12" i="30" s="1"/>
  <c r="N34" i="25"/>
  <c r="M34" i="25" s="1"/>
  <c r="J33" i="29"/>
  <c r="I33" i="29" s="1"/>
  <c r="I30" i="29"/>
  <c r="S23" i="28"/>
  <c r="K23" i="28"/>
  <c r="S14" i="28"/>
  <c r="K14" i="28"/>
  <c r="S22" i="28"/>
  <c r="K22" i="28"/>
  <c r="S16" i="28"/>
  <c r="J36" i="34" s="1"/>
  <c r="K16" i="28"/>
  <c r="P12" i="32" s="1"/>
  <c r="S17" i="28"/>
  <c r="J37" i="34" s="1"/>
  <c r="K17" i="28"/>
  <c r="S20" i="28"/>
  <c r="K20" i="28"/>
  <c r="P13" i="32" s="1"/>
  <c r="S21" i="28"/>
  <c r="K21" i="28"/>
  <c r="J13" i="28"/>
  <c r="S13" i="28" s="1"/>
  <c r="I22" i="27"/>
  <c r="I35" i="27" s="1"/>
  <c r="P18" i="32" l="1"/>
  <c r="T21" i="28"/>
  <c r="V21" i="28" s="1"/>
  <c r="O23" i="24" s="1"/>
  <c r="Q23" i="24" s="1"/>
  <c r="R23" i="24" s="1"/>
  <c r="P14" i="32"/>
  <c r="T23" i="28"/>
  <c r="P16" i="32"/>
  <c r="T22" i="28"/>
  <c r="V22" i="28" s="1"/>
  <c r="O24" i="24" s="1"/>
  <c r="Q24" i="24" s="1"/>
  <c r="R24" i="24" s="1"/>
  <c r="P15" i="32"/>
  <c r="I32" i="25"/>
  <c r="I15" i="30"/>
  <c r="K12" i="30"/>
  <c r="T12" i="30" s="1"/>
  <c r="L29" i="33" s="1"/>
  <c r="N29" i="33" s="1"/>
  <c r="N31" i="33" s="1"/>
  <c r="T17" i="28"/>
  <c r="L16" i="33" s="1"/>
  <c r="G13" i="31"/>
  <c r="K13" i="31" s="1"/>
  <c r="F13" i="31"/>
  <c r="T16" i="28"/>
  <c r="G12" i="31"/>
  <c r="T14" i="28"/>
  <c r="T20" i="28"/>
  <c r="F14" i="31"/>
  <c r="K13" i="28"/>
  <c r="L21" i="33"/>
  <c r="V23" i="28"/>
  <c r="O25" i="24" s="1"/>
  <c r="Q25" i="24" s="1"/>
  <c r="R25" i="24" s="1"/>
  <c r="L19" i="33" l="1"/>
  <c r="L20" i="33"/>
  <c r="D55" i="60" s="1"/>
  <c r="T13" i="28"/>
  <c r="P11" i="32"/>
  <c r="Q29" i="33"/>
  <c r="Q31" i="33" s="1"/>
  <c r="R31" i="33" s="1"/>
  <c r="K15" i="30"/>
  <c r="K12" i="31"/>
  <c r="G18" i="31"/>
  <c r="D50" i="60"/>
  <c r="N16" i="33"/>
  <c r="Q16" i="33" s="1"/>
  <c r="R16" i="33" s="1"/>
  <c r="H14" i="31"/>
  <c r="J14" i="31"/>
  <c r="L14" i="31" s="1"/>
  <c r="L15" i="33"/>
  <c r="M36" i="34"/>
  <c r="I15" i="34" s="1"/>
  <c r="Q15" i="34" s="1"/>
  <c r="N19" i="33"/>
  <c r="Q19" i="33" s="1"/>
  <c r="R19" i="33" s="1"/>
  <c r="D54" i="60"/>
  <c r="D56" i="60"/>
  <c r="N21" i="33"/>
  <c r="Q21" i="33" s="1"/>
  <c r="R21" i="33" s="1"/>
  <c r="V20" i="28"/>
  <c r="O22" i="24" s="1"/>
  <c r="Q22" i="24" s="1"/>
  <c r="R22" i="24" s="1"/>
  <c r="L18" i="33"/>
  <c r="J13" i="31"/>
  <c r="H13" i="31"/>
  <c r="M37" i="34"/>
  <c r="I16" i="34" s="1"/>
  <c r="Q16" i="34" s="1"/>
  <c r="F12" i="31"/>
  <c r="N20" i="33"/>
  <c r="Q20" i="33" s="1"/>
  <c r="R20" i="33" s="1"/>
  <c r="I13" i="34"/>
  <c r="Q13" i="34" s="1"/>
  <c r="L14" i="33"/>
  <c r="O21" i="31"/>
  <c r="S21" i="31"/>
  <c r="K29" i="31"/>
  <c r="K21" i="31"/>
  <c r="L21" i="31" s="1"/>
  <c r="H55" i="60" l="1"/>
  <c r="H56" i="60"/>
  <c r="H50" i="60"/>
  <c r="H54" i="60"/>
  <c r="R29" i="33"/>
  <c r="L13" i="33"/>
  <c r="I12" i="34"/>
  <c r="Q12" i="34" s="1"/>
  <c r="Q25" i="34" s="1"/>
  <c r="Q27" i="24" s="1"/>
  <c r="R27" i="24" s="1"/>
  <c r="D47" i="60"/>
  <c r="N14" i="33"/>
  <c r="Q14" i="33" s="1"/>
  <c r="R14" i="33" s="1"/>
  <c r="N21" i="31"/>
  <c r="P21" i="31" s="1"/>
  <c r="L13" i="31"/>
  <c r="J29" i="31"/>
  <c r="L29" i="31" s="1"/>
  <c r="R21" i="31"/>
  <c r="T21" i="31" s="1"/>
  <c r="D49" i="60"/>
  <c r="N15" i="33"/>
  <c r="Q15" i="33" s="1"/>
  <c r="R15" i="33" s="1"/>
  <c r="F18" i="31"/>
  <c r="J12" i="31"/>
  <c r="H12" i="31"/>
  <c r="H18" i="31" s="1"/>
  <c r="D53" i="60"/>
  <c r="N18" i="33"/>
  <c r="Q18" i="33" s="1"/>
  <c r="R18" i="33" s="1"/>
  <c r="K20" i="31"/>
  <c r="O20" i="31"/>
  <c r="O26" i="31" s="1"/>
  <c r="K18" i="31"/>
  <c r="S20" i="31"/>
  <c r="S26" i="31" s="1"/>
  <c r="K28" i="31"/>
  <c r="K34" i="31" s="1"/>
  <c r="H49" i="60" l="1"/>
  <c r="H53" i="60"/>
  <c r="H47" i="60"/>
  <c r="K26" i="31"/>
  <c r="L20" i="31"/>
  <c r="L26" i="31" s="1"/>
  <c r="O14" i="24" s="1"/>
  <c r="Q14" i="24" s="1"/>
  <c r="R20" i="31"/>
  <c r="L12" i="31"/>
  <c r="L18" i="31" s="1"/>
  <c r="N20" i="31"/>
  <c r="J18" i="31"/>
  <c r="J28" i="31"/>
  <c r="D46" i="60"/>
  <c r="N13" i="33"/>
  <c r="H46" i="60" l="1"/>
  <c r="R14" i="24"/>
  <c r="T20" i="31"/>
  <c r="T26" i="31" s="1"/>
  <c r="R26" i="31"/>
  <c r="L28" i="31"/>
  <c r="L34" i="31" s="1"/>
  <c r="O17" i="24" s="1"/>
  <c r="Q17" i="24" s="1"/>
  <c r="R17" i="24" s="1"/>
  <c r="J34" i="31"/>
  <c r="Q13" i="33"/>
  <c r="R13" i="33" s="1"/>
  <c r="P20" i="31"/>
  <c r="P26" i="31" s="1"/>
  <c r="N26" i="31"/>
  <c r="Y13" i="25"/>
  <c r="Z13" i="25" s="1"/>
  <c r="V13" i="25"/>
  <c r="R14" i="27" s="1"/>
  <c r="V16" i="25" l="1"/>
  <c r="U16" i="25" s="1"/>
  <c r="U30" i="25" s="1"/>
  <c r="U14" i="27"/>
  <c r="X14" i="27" s="1"/>
  <c r="Z16" i="25"/>
  <c r="U31" i="25" l="1"/>
  <c r="U33" i="25"/>
  <c r="Y30" i="25"/>
  <c r="Z30" i="25" s="1"/>
  <c r="U19" i="27" s="1"/>
  <c r="V30" i="25"/>
  <c r="Y16" i="25"/>
  <c r="V33" i="25" l="1"/>
  <c r="R21" i="27" s="1"/>
  <c r="Y33" i="25"/>
  <c r="Z33" i="25" s="1"/>
  <c r="U21" i="27" s="1"/>
  <c r="V31" i="25"/>
  <c r="R20" i="27" s="1"/>
  <c r="Y31" i="25"/>
  <c r="Z31" i="25" s="1"/>
  <c r="U20" i="27" s="1"/>
  <c r="R19" i="27"/>
  <c r="V32" i="25" l="1"/>
  <c r="U32" i="25" s="1"/>
  <c r="X21" i="27"/>
  <c r="J19" i="28"/>
  <c r="S19" i="28" s="1"/>
  <c r="X20" i="27"/>
  <c r="Z32" i="25"/>
  <c r="Z34" i="25" s="1"/>
  <c r="Y34" i="25" s="1"/>
  <c r="U22" i="27"/>
  <c r="U35" i="27" s="1"/>
  <c r="X19" i="27"/>
  <c r="R22" i="27"/>
  <c r="R35" i="27" s="1"/>
  <c r="V34" i="25" l="1"/>
  <c r="U34" i="25" s="1"/>
  <c r="K19" i="28"/>
  <c r="P19" i="32" s="1"/>
  <c r="P20" i="32" s="1"/>
  <c r="J32" i="28"/>
  <c r="Y32" i="25"/>
  <c r="X22" i="27"/>
  <c r="X35" i="27" s="1"/>
  <c r="K32" i="28" l="1"/>
  <c r="T19" i="28"/>
  <c r="L17" i="33" l="1"/>
  <c r="V19" i="28"/>
  <c r="O21" i="24" s="1"/>
  <c r="Q21" i="24" s="1"/>
  <c r="R21" i="24" l="1"/>
  <c r="Q29" i="24"/>
  <c r="N17" i="33"/>
  <c r="D52" i="60"/>
  <c r="H52" i="60" l="1"/>
  <c r="H66" i="60" s="1"/>
  <c r="H67" i="60" s="1"/>
  <c r="N22" i="33"/>
  <c r="Q17" i="33"/>
  <c r="R17" i="33" s="1"/>
  <c r="F13" i="60" l="1"/>
  <c r="F14" i="60" s="1"/>
  <c r="N27" i="33"/>
  <c r="N32" i="33" s="1"/>
  <c r="Q22" i="33"/>
  <c r="H13" i="60" l="1"/>
  <c r="R22" i="33"/>
  <c r="Q27" i="33"/>
  <c r="H14" i="60"/>
  <c r="H15" i="60" s="1"/>
  <c r="F15" i="60"/>
  <c r="Q32" i="33" l="1"/>
  <c r="R32" i="33" s="1"/>
  <c r="R27" i="33"/>
</calcChain>
</file>

<file path=xl/sharedStrings.xml><?xml version="1.0" encoding="utf-8"?>
<sst xmlns="http://schemas.openxmlformats.org/spreadsheetml/2006/main" count="1136" uniqueCount="554">
  <si>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</si>
  <si>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</si>
  <si>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</si>
  <si>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</si>
  <si>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</si>
  <si>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</si>
  <si>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</si>
  <si>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</si>
  <si>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</si>
  <si>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</si>
  <si>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</si>
  <si>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</si>
  <si>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</si>
  <si>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</si>
  <si>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</si>
  <si>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</si>
  <si>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</si>
  <si>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</si>
  <si>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</si>
  <si>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</si>
  <si>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</si>
  <si>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</si>
  <si>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</si>
  <si>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</si>
  <si>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</si>
  <si>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</si>
  <si>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</si>
  <si>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</si>
  <si>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</si>
  <si>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</si>
  <si>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</si>
  <si>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</si>
  <si>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</si>
  <si>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</si>
  <si>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</si>
  <si>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</si>
  <si>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</si>
  <si>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</si>
  <si>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</si>
  <si>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</si>
  <si>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</si>
  <si>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</si>
  <si>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</si>
  <si>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</si>
  <si>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</si>
  <si>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</si>
  <si>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</si>
  <si>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</si>
  <si>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</si>
  <si>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</si>
  <si>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</si>
  <si>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</si>
  <si>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</si>
  <si>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</si>
  <si>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</si>
  <si>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</si>
  <si>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</si>
  <si>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</si>
  <si>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</si>
  <si>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</si>
  <si>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</si>
  <si>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</si>
  <si>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</si>
  <si>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</si>
  <si>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</si>
  <si>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</si>
  <si>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</si>
  <si>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</si>
  <si>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</si>
  <si>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</si>
  <si>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</si>
  <si>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</si>
  <si>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</si>
  <si>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</si>
  <si>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</si>
  <si>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</si>
  <si>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</si>
  <si>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7</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</si>
  <si>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</si>
  <si>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</si>
  <si>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</si>
  <si>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</si>
  <si>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</si>
  <si>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</si>
  <si>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</si>
  <si>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</si>
  <si>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</si>
  <si>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</si>
  <si>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</si>
  <si>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</si>
  <si>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</si>
  <si>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</si>
  <si>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</si>
  <si>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</si>
  <si>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</si>
  <si>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</si>
  <si>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</si>
  <si>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</si>
  <si>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</si>
  <si>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</si>
  <si>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11</t>
  </si>
  <si>
    <t>Line 18</t>
  </si>
  <si>
    <t>Demand Transmission Service Cost Recovery</t>
  </si>
  <si>
    <t>Non-Coincident</t>
  </si>
  <si>
    <t>Flat</t>
  </si>
  <si>
    <t>Usage</t>
  </si>
  <si>
    <t>Varying</t>
  </si>
  <si>
    <t>/MW</t>
  </si>
  <si>
    <t>Billing Determinant</t>
  </si>
  <si>
    <t>Rate</t>
  </si>
  <si>
    <t>Non-Coincident Demand Charge</t>
  </si>
  <si>
    <t>customer-months</t>
  </si>
  <si>
    <t>/month</t>
  </si>
  <si>
    <t>Quantity</t>
  </si>
  <si>
    <t>Flat Usage Charge</t>
  </si>
  <si>
    <t>Varying Usage Charge</t>
  </si>
  <si>
    <t>Non-Wires</t>
  </si>
  <si>
    <t>Wires</t>
  </si>
  <si>
    <t>DTS Voltage Control (TMR) Charge</t>
  </si>
  <si>
    <t>Total DTS Cost Recovery</t>
  </si>
  <si>
    <t>Reference</t>
  </si>
  <si>
    <t>Total</t>
  </si>
  <si>
    <t>Lines 4, 7-10</t>
  </si>
  <si>
    <t>Lines 5, 7-10</t>
  </si>
  <si>
    <t>Losses Charge</t>
  </si>
  <si>
    <t>Other</t>
  </si>
  <si>
    <t>RGU Connection Costs (Note 3)</t>
  </si>
  <si>
    <t>Total STS Cost Recovery</t>
  </si>
  <si>
    <t>Bulk System Charge — Demand</t>
  </si>
  <si>
    <t>Bulk System Charge — Usage</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</si>
  <si>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</si>
  <si>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</si>
  <si>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</si>
  <si>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</si>
  <si>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</si>
  <si>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</si>
  <si>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</si>
  <si>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</si>
  <si>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</si>
  <si>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</si>
  <si>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</si>
  <si>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</si>
  <si>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</si>
  <si>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</si>
  <si>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</si>
  <si>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Note 1</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</si>
  <si>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</si>
  <si>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</si>
  <si>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</si>
  <si>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</si>
  <si>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</si>
  <si>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</si>
  <si>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</si>
  <si>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</si>
  <si>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</si>
  <si>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</si>
  <si>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</si>
  <si>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</si>
  <si>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Billing Capacity Charge</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</si>
  <si>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</si>
  <si>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</si>
  <si>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</si>
  <si>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</si>
  <si>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</si>
  <si>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</si>
  <si>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</si>
  <si>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</si>
  <si>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</si>
  <si>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Bulk System Charge</t>
  </si>
  <si>
    <t>Coincident Demand Charge</t>
  </si>
  <si>
    <t>DTS Coincident Metered Demand</t>
  </si>
  <si>
    <t>FTS Coincident Metered Demand</t>
  </si>
  <si>
    <t>FTS Bulk System Charge</t>
  </si>
  <si>
    <t>Flat Usage charge</t>
  </si>
  <si>
    <t>Data Points (MW)</t>
  </si>
  <si>
    <t>Intercept and Slopes ($ 000 000)</t>
  </si>
  <si>
    <t>Lines 1 and 2</t>
  </si>
  <si>
    <t>Lines 2 and 3</t>
  </si>
  <si>
    <t>POD Cost Classification</t>
  </si>
  <si>
    <t>POD Cost Function and POD Cost Classification</t>
  </si>
  <si>
    <t>DTS Revenue Requirement</t>
  </si>
  <si>
    <t>Calculated Values ($ 000 000)</t>
  </si>
  <si>
    <t>Lines 3, 7-10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</si>
  <si>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</si>
  <si>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</si>
  <si>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</si>
  <si>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</si>
  <si>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</si>
  <si>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</si>
  <si>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</si>
  <si>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</si>
  <si>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</si>
  <si>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</si>
  <si>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</si>
  <si>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</si>
  <si>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</si>
  <si>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</si>
  <si>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</si>
  <si>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</si>
  <si>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</si>
  <si>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</si>
  <si>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</si>
  <si>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</si>
  <si>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</si>
  <si>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</si>
  <si>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</si>
  <si>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</si>
  <si>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</si>
  <si>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Billing Capacity</t>
  </si>
  <si>
    <t>Bulk System Charge</t>
  </si>
  <si>
    <t>Coincident Metered Demand</t>
  </si>
  <si>
    <t>Load Factor</t>
  </si>
  <si>
    <t>Local System Charge</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</si>
  <si>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</si>
  <si>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</si>
  <si>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</si>
  <si>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</si>
  <si>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</si>
  <si>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</si>
  <si>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</si>
  <si>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</si>
  <si>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</si>
  <si>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</si>
  <si>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</si>
  <si>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</si>
  <si>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</si>
  <si>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</si>
  <si>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</si>
  <si>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</si>
  <si>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</si>
  <si>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</si>
  <si>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</si>
  <si>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</si>
  <si>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</si>
  <si>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</si>
  <si>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</si>
  <si>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</si>
  <si>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</si>
  <si>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</si>
  <si>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</si>
  <si>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</si>
  <si>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</si>
  <si>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</si>
  <si>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</si>
  <si>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</si>
  <si>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</si>
  <si>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</si>
  <si>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</si>
  <si>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</si>
  <si>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</si>
  <si>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</si>
  <si>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</si>
  <si>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</si>
  <si>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</si>
  <si>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</si>
  <si>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</si>
  <si>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(1)(b)</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</si>
  <si>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</si>
  <si>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</si>
  <si>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</si>
  <si>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</si>
  <si>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</si>
  <si>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</si>
  <si>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</si>
  <si>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</si>
  <si>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</si>
  <si>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</si>
  <si>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</si>
  <si>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</si>
  <si>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</si>
  <si>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</si>
  <si>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</si>
  <si>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</si>
  <si>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</si>
  <si>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</si>
  <si>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</si>
  <si>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</si>
  <si>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</si>
  <si>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</si>
  <si>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</si>
  <si>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</si>
  <si>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</si>
  <si>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</si>
  <si>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</si>
  <si>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</si>
  <si>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</si>
  <si>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</si>
  <si>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</si>
  <si>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</si>
  <si>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</si>
  <si>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</si>
  <si>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</si>
  <si>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</si>
  <si>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</si>
  <si>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</si>
  <si>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</si>
  <si>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</si>
  <si>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</si>
  <si>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</si>
  <si>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</si>
  <si>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</si>
  <si>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</si>
  <si>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</si>
  <si>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</si>
  <si>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</si>
  <si>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</si>
  <si>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</si>
  <si>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</si>
  <si>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</si>
  <si>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</si>
  <si>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</si>
  <si>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</si>
  <si>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</si>
  <si>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</si>
  <si>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</si>
  <si>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</si>
  <si>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</si>
  <si>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Bulk System charge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</si>
  <si>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</si>
  <si>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</si>
  <si>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</si>
  <si>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</si>
  <si>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</si>
  <si>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</si>
  <si>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</si>
  <si>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</si>
  <si>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</si>
  <si>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</si>
  <si>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</si>
  <si>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</si>
  <si>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1 Hour,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</si>
  <si>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</si>
  <si>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</si>
  <si>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</si>
  <si>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</si>
  <si>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</si>
  <si>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</si>
  <si>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</si>
  <si>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</si>
  <si>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</si>
  <si>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</si>
  <si>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</si>
  <si>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</si>
  <si>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</si>
  <si>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Costs</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</si>
  <si>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</si>
  <si>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</si>
  <si>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</si>
  <si>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</si>
  <si>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</si>
  <si>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</si>
  <si>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</si>
  <si>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</si>
  <si>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</si>
  <si>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</si>
  <si>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</si>
  <si>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</si>
  <si>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</si>
  <si>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</si>
  <si>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</si>
  <si>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</si>
  <si>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</si>
  <si>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</si>
  <si>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</si>
  <si>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</si>
  <si>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</si>
  <si>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</si>
  <si>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</si>
  <si>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</si>
  <si>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</si>
  <si>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</si>
  <si>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</si>
  <si>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</si>
  <si>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DTS Regional System Charge</t>
  </si>
  <si>
    <t>XOS/XOM, $/MWh</t>
  </si>
  <si>
    <t>Export Opportunity Service (XOS/XOM) Rates</t>
  </si>
  <si>
    <t>Regional System Charge — Demand</t>
  </si>
  <si>
    <t>Regional System Charge — Usage</t>
  </si>
  <si>
    <t>FTS Regional System Charge</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</si>
  <si>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</si>
  <si>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</si>
  <si>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</si>
  <si>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</si>
  <si>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</si>
  <si>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</si>
  <si>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</si>
  <si>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</si>
  <si>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Bulk System</t>
  </si>
  <si>
    <t>Connection – Regional System</t>
  </si>
  <si>
    <t>Connection – POD</t>
  </si>
  <si>
    <t>Connection Charge</t>
  </si>
  <si>
    <t>costs or the actual cost of the AE line providing service to Fort Nelson.” Based on the Rate DTS Regional System Charge from Table D-6:</t>
  </si>
  <si>
    <t>Amount
[D-5 Col C]
$ 000 000</t>
  </si>
  <si>
    <t>Amount
[D-5 Col E]
$ 000 000</t>
  </si>
  <si>
    <t>Amount
[D-5 Col G]
$ 000 000</t>
  </si>
  <si>
    <t>Amount
[D-5 Col I]
$ 000 000</t>
  </si>
  <si>
    <t>Amount
[D-5 Col K]
$ 000 000</t>
  </si>
  <si>
    <t>Line 17</t>
  </si>
  <si>
    <t>Line 9</t>
  </si>
  <si>
    <t>Varying Usage Charge (Note 2)</t>
  </si>
  <si>
    <t>Line 21</t>
  </si>
  <si>
    <t>“SF” refers to substation fraction; the charges provided in lines 8 to 12 are applied to billing capacity within the bounds defined as amounts multiplied by the substation fraction for</t>
  </si>
  <si>
    <t>Lines 16, 20</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</si>
  <si>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</si>
  <si>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</si>
  <si>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</si>
  <si>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</si>
  <si>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</si>
  <si>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</si>
  <si>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</si>
  <si>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</si>
  <si>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</si>
  <si>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</si>
  <si>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</si>
  <si>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</si>
  <si>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</si>
  <si>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</si>
  <si>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</si>
  <si>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</si>
  <si>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</si>
  <si>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</si>
  <si>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</si>
  <si>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</si>
  <si>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</si>
  <si>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</si>
  <si>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</si>
  <si>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</si>
  <si>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</si>
  <si>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</si>
  <si>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 xml:space="preserve">Market Systems Replacement </t>
  </si>
  <si>
    <t>Transmission Constraint Rebalancing (TCR)</t>
  </si>
  <si>
    <t>Share of Commission Costs</t>
  </si>
  <si>
    <t>Facilities</t>
  </si>
  <si>
    <t>Source</t>
  </si>
  <si>
    <t>Notes: numbers may not add due to rounding</t>
  </si>
  <si>
    <t>Transmission Constraint Rebalacing Charge</t>
  </si>
  <si>
    <t>Table C-5 Reference</t>
  </si>
  <si>
    <t>[Table C-3]
$ 000 000</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</si>
  <si>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</si>
  <si>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</si>
  <si>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</si>
  <si>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</si>
  <si>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</si>
  <si>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</si>
  <si>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</si>
  <si>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19</t>
  </si>
  <si>
    <t>Line 22</t>
  </si>
  <si>
    <t>Table C-7</t>
  </si>
  <si>
    <t>[Table C-5]
$ 000 000</t>
  </si>
  <si>
    <t>Table C-9</t>
  </si>
  <si>
    <t>Table C-8</t>
  </si>
  <si>
    <t>FTS Transmission Constraint Rebalancing Charge</t>
  </si>
  <si>
    <t>Transmission Constraint Rebalancing Charge</t>
  </si>
  <si>
    <t>(7)</t>
  </si>
  <si>
    <t>DTS Transmission Constraint Rebalancing Charge</t>
  </si>
  <si>
    <t>“SF” refers to substation fraction; the tiers provided in lines 7 through 11 are within bounds defined by amounts multiplied by the substation fraction for each Rate DTS</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</si>
  <si>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</si>
  <si>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</si>
  <si>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</si>
  <si>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</si>
  <si>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</si>
  <si>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Forecast</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</si>
  <si>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</si>
  <si>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</si>
  <si>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</si>
  <si>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</si>
  <si>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</si>
  <si>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</si>
  <si>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</si>
  <si>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</si>
  <si>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</si>
  <si>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</si>
  <si>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t>
  </si>
  <si>
    <t>Alberta PowerLine L.P.</t>
  </si>
  <si>
    <t>2020 TFO Revenue Requirement Forecast</t>
  </si>
  <si>
    <t>2020 DTS Costs, $ 000 000</t>
  </si>
  <si>
    <t>2020 DTS Rates, $/MWh</t>
  </si>
  <si>
    <t>2020
Rate</t>
  </si>
  <si>
    <t>22942-D02-2019</t>
  </si>
  <si>
    <t>2019 and 2020 BILL ESTIMATES (MONTHLY)</t>
  </si>
  <si>
    <t>FTS Highest Metered Demand</t>
  </si>
  <si>
    <t>Row
No.</t>
  </si>
  <si>
    <r>
      <t>Functionalization Ratio</t>
    </r>
    <r>
      <rPr>
        <vertAlign val="superscript"/>
        <sz val="8"/>
        <rFont val="Arial Narrow"/>
        <family val="2"/>
      </rPr>
      <t>1</t>
    </r>
  </si>
  <si>
    <t>1. 2020 Functionalization Ratios as described in Exhibit 22942.X0026, transmission System Cost Causation Study 2018 Update Workbook, Tab 'Guide', Cells E29 to E31</t>
  </si>
  <si>
    <t xml:space="preserve">   and approved in Decision 22942-D02-2019, Alberta Electric System Operator 2018 Independent System Operator Tariff, issued September 22, 2019, para 74.</t>
  </si>
  <si>
    <r>
      <t>Classification to Rate Component</t>
    </r>
    <r>
      <rPr>
        <b/>
        <vertAlign val="superscript"/>
        <sz val="8"/>
        <rFont val="Arial Narrow"/>
        <family val="2"/>
      </rPr>
      <t>1</t>
    </r>
  </si>
  <si>
    <r>
      <t xml:space="preserve">  Power Function</t>
    </r>
    <r>
      <rPr>
        <vertAlign val="superscript"/>
        <sz val="8"/>
        <rFont val="Arial Narrow"/>
        <family val="2"/>
      </rPr>
      <t>1</t>
    </r>
  </si>
  <si>
    <t>1. 2020 Functionalization Ratios as described in Exhibit 22942.X0026, Appendix E - Transmission System Cost Causation Study 2018 Update Workbook, Tab 'Guide', Cells C34 to D35</t>
  </si>
  <si>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</si>
  <si>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</si>
  <si>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Rate Change Impact Compared to 2020 Approved Rates</t>
  </si>
  <si>
    <t>Updated 2021 Rate Calculations</t>
  </si>
  <si>
    <t>Approved AESO 2020 Rates</t>
  </si>
  <si>
    <t>Proposed AESO 2021 Rates</t>
  </si>
  <si>
    <t>DTS BILL PER PROPOSED AESO 2021 RATES</t>
  </si>
  <si>
    <t>2021 Fort Nelson Billing Determinants</t>
  </si>
  <si>
    <t>2021 Forecast Transmission Facility Owner Wires Costs</t>
  </si>
  <si>
    <t>2020 Approved Rates</t>
  </si>
  <si>
    <t>2021 Proposed Rates</t>
  </si>
  <si>
    <t>2021
Determinant</t>
  </si>
  <si>
    <t>2021
Rate</t>
  </si>
  <si>
    <t>AESO 2021 Forecast Revenue Requirement, $ 000 000</t>
  </si>
  <si>
    <t>AESO 2021 Forecast Revenue Requirement</t>
  </si>
  <si>
    <t>2021 Billing Determinants</t>
  </si>
  <si>
    <t>Rate Change Impact Compared to 2020 Interim Approved Rates</t>
  </si>
  <si>
    <t>2020 rates (Column A) are interim approved as per AUC Decision 25175-D01-2020, issued on February 28, 2020</t>
  </si>
  <si>
    <t>DTS BILL PER INTERIM APPROVED 2020 RATES</t>
  </si>
  <si>
    <t>2020 ISO Tariff Rates Update</t>
  </si>
  <si>
    <t>Revenue Weighted Average</t>
  </si>
  <si>
    <t>Increase</t>
  </si>
  <si>
    <t>(Decrease)</t>
  </si>
  <si>
    <t>2021 Revenue</t>
  </si>
  <si>
    <t>AltaLink</t>
  </si>
  <si>
    <t>Final approval</t>
  </si>
  <si>
    <t>Approved 2021</t>
  </si>
  <si>
    <t>2021 Final Approved</t>
  </si>
  <si>
    <t>25627-D01-2020</t>
  </si>
  <si>
    <t>Filed 2021</t>
  </si>
  <si>
    <t>2021 Filed</t>
  </si>
  <si>
    <t>X0002.02, Sched 3-1</t>
  </si>
  <si>
    <t>ENMAX</t>
  </si>
  <si>
    <t>X0002, Sched 3-1</t>
  </si>
  <si>
    <t>EPCOR</t>
  </si>
  <si>
    <t>25664-D01-2020</t>
  </si>
  <si>
    <t>25868-D01-2020</t>
  </si>
  <si>
    <t>TransAlta Corporation</t>
  </si>
  <si>
    <t>Approved 2018</t>
  </si>
  <si>
    <t>2018 Final Approved</t>
  </si>
  <si>
    <t>24509-D01-2019</t>
  </si>
  <si>
    <t>2021 Interim Approved</t>
  </si>
  <si>
    <t>25862-D01-2020</t>
  </si>
  <si>
    <t>FortisAlberta</t>
  </si>
  <si>
    <t>X0012, Sched 1&amp;2</t>
  </si>
  <si>
    <t>Alberta PowerLine</t>
  </si>
  <si>
    <t>Filed All Years</t>
  </si>
  <si>
    <t>Approved Payment Schedule plus other Adjustments</t>
  </si>
  <si>
    <t>Decision 23161-D01-2018</t>
  </si>
  <si>
    <t>Appendix B</t>
  </si>
  <si>
    <t>B-1</t>
  </si>
  <si>
    <t>B-2</t>
  </si>
  <si>
    <t>B-3</t>
  </si>
  <si>
    <t>B-4</t>
  </si>
  <si>
    <t>B-5</t>
  </si>
  <si>
    <t>B-6</t>
  </si>
  <si>
    <t>B-7</t>
  </si>
  <si>
    <t>B-8</t>
  </si>
  <si>
    <t>B-9</t>
  </si>
  <si>
    <t>B-10</t>
  </si>
  <si>
    <t>B-11</t>
  </si>
  <si>
    <t>B-12</t>
  </si>
  <si>
    <t>B-13</t>
  </si>
  <si>
    <t>B-14</t>
  </si>
  <si>
    <t>B-15</t>
  </si>
  <si>
    <t>B-16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</si>
</sst>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_(&quot;$&quot;* #,##0_);_(&quot;$&quot;* \(#,##0\);_(&quot;$&quot;* &quot;-&quot;??_);_(@_)"/>
    <numFmt numFmtId="180" formatCode="#,##0.0_);\(#,##0.0\)"/>
    <numFmt numFmtId="181" formatCode="&quot;DTS (&quot;#,##0.0&quot; GWh)&quot;"/>
    <numFmt numFmtId="182" formatCode="_(&quot;$&quot;* #,##0.000_);_(&quot;$&quot;* \(#,##0.000\);_(&quot;$&quot;* &quot;-&quot;?_);_(@_)"/>
    <numFmt numFmtId="183" formatCode="_(* #,##0.000_);_(* \(#,##0.000\);_(* &quot;-&quot;_0_);_(@_)"/>
    <numFmt numFmtId="184" formatCode="_(&quot;$&quot;* #,##0.000_);_(&quot;$&quot;* \(#,##0.000\);_(&quot;$&quot;* &quot;-&quot;???_);_(@_)"/>
    <numFmt numFmtId="185" formatCode="0.0&quot; MW&quot;"/>
    <numFmt numFmtId="186" formatCode="0&quot; MW&quot;"/>
    <numFmt numFmtId="187" formatCode="_(&quot;$&quot;* #,##0.0_);_(&quot;$&quot;* \(#,##0.0\)"/>
    <numFmt numFmtId="188" formatCode="[$-409]d/mmm/yyyy;@"/>
    <numFmt numFmtId="189" formatCode="0.000"/>
    <numFmt numFmtId="190" formatCode="0.0"/>
    <numFmt numFmtId="191" formatCode="0.00000"/>
    <numFmt numFmtId="192" formatCode="0.0%_);\(0.0%\)"/>
    <numFmt numFmtId="193" formatCode="#,##0.0_);\(#,##0.0\);&quot;-&quot;_0_)"/>
    <numFmt numFmtId="194" formatCode="0.0%_);\(0.0%\);&quot;-&quot;_0_%"/>
    <numFmt numFmtId="195" formatCode="0_);\(0\)"/>
    <numFmt numFmtId="196" formatCode="_(* #,##0.000_);_(* \(#,##0.000\);_(* &quot;-&quot;??_);_(@_)"/>
    <numFmt numFmtId="197" formatCode="&quot;error&quot;;&quot;error&quot;;&quot;OK&quot;;&quot;  &quot;@"/>
    <numFmt numFmtId="198" formatCode="#,##0\ ;[Red]\(#,##0\)"/>
    <numFmt numFmtId="199" formatCode="m/d/yy\ h:mm"/>
    <numFmt numFmtId="200" formatCode="#,##0_);\(#,##0\);&quot;- &quot;;&quot;  &quot;@"/>
    <numFmt numFmtId="201" formatCode="#,##0.0000_);\(#,##0.0000\);&quot;- &quot;;&quot;  &quot;@"/>
    <numFmt numFmtId="202" formatCode="_ * #,##0.00_ ;_ * \-#,##0.00_ ;_ * &quot;-&quot;??_ ;_ @_ "/>
    <numFmt numFmtId="203" formatCode="#,##0.0\ \ \ \ ;[Red]\(#,##0.0\)\ \ "/>
    <numFmt numFmtId="204" formatCode="0.0\ \ \ \ \ \ ;[Red]\(0.0\)\ \ \ \ "/>
    <numFmt numFmtId="205" formatCode="0.0\ \ \ \ \ \ \ \ ;[Red]\(0.0\)\ \ \ \ \ \ "/>
    <numFmt numFmtId="206" formatCode="mmm\ dd\,\ yyyy"/>
    <numFmt numFmtId="207" formatCode="mmm\-yyyy"/>
    <numFmt numFmtId="208" formatCode="yyyy"/>
    <numFmt numFmtId="209" formatCode=";;&quot;zero&quot;;&quot;  &quot;@"/>
    <numFmt numFmtId="210" formatCode="0.0_)\%;\(0.0\)\%;0.0_)\%;@_)_%"/>
    <numFmt numFmtId="211" formatCode="#,##0.0_)_%;\(#,##0.0\)_%;0.0_)_%;@_)_%"/>
    <numFmt numFmtId="212" formatCode="#,##0.0_);\(#,##0.0\);#,##0.0_);@_)"/>
    <numFmt numFmtId="213" formatCode="&quot;$&quot;_(#,##0.00_);&quot;$&quot;\(#,##0.00\);&quot;$&quot;_(0.00_);@_)"/>
    <numFmt numFmtId="214" formatCode="#,##0.00_);\(#,##0.00\);0.00_);@_)"/>
    <numFmt numFmtId="215" formatCode="\€_(#,##0.00_);\€\(#,##0.00\);\€_(0.00_);@_)"/>
    <numFmt numFmtId="216" formatCode="#,##0_)\x;\(#,##0\)\x;0_)\x;@_)_x"/>
    <numFmt numFmtId="217" formatCode="#,##0_)_x;\(#,##0\)_x;0_)_x;@_)_x"/>
    <numFmt numFmtId="218" formatCode="&quot;$&quot;#,##0.0;[Red]\-&quot;$&quot;#,##0.0"/>
    <numFmt numFmtId="219" formatCode="#,##0.0_);[Red]\(#,##0.0\)"/>
    <numFmt numFmtId="220" formatCode="#,##0."/>
    <numFmt numFmtId="221" formatCode="\$#."/>
    <numFmt numFmtId="222" formatCode="_([$€-2]* #,##0.00_);_([$€-2]* \(#,##0.00\);_([$€-2]* &quot;-&quot;??_)"/>
    <numFmt numFmtId="223" formatCode="_-* #,##0.0_-;\-* #,##0.0_-;_-* &quot;-&quot;??_-;_-@_-"/>
    <numFmt numFmtId="224" formatCode="#,##0__;[Red]\(#,##0\)_]"/>
    <numFmt numFmtId="225" formatCode="#,##0.00&quot; $&quot;;\-#,##0.00&quot; $&quot;"/>
    <numFmt numFmtId="226" formatCode="_-* #,##0\ _$_-;\-* #,##0\ _$_-;_-* &quot;-&quot;\ _$_-;_-@_-"/>
    <numFmt numFmtId="227" formatCode="_(&quot;N$&quot;* #,##0_);_(&quot;N$&quot;* \(#,##0\);_(&quot;N$&quot;* &quot;-&quot;_);_(@_)"/>
    <numFmt numFmtId="228" formatCode="_(&quot;N$&quot;* #,##0.00_);_(&quot;N$&quot;* \(#,##0.00\);_(&quot;N$&quot;* &quot;-&quot;??_);_(@_)"/>
    <numFmt numFmtId="229" formatCode="_-* #,##0\ &quot;$&quot;_-;\-* #,##0\ &quot;$&quot;_-;_-* &quot;-&quot;\ &quot;$&quot;_-;_-@_-"/>
    <numFmt numFmtId="230" formatCode="_-* #,##0.00\ &quot;$&quot;_-;\-* #,##0.00\ &quot;$&quot;_-;_-* &quot;-&quot;??\ &quot;$&quot;_-;_-@_-"/>
    <numFmt numFmtId="231" formatCode="#,##0.0000\ ;[Red]\(#,##0.0000\)"/>
    <numFmt numFmtId="232" formatCode="&quot;$&quot;\ #,###,###,##0_);\(&quot;$&quot;\ #,###,###,##0\)_);&quot;&quot;_)"/>
    <numFmt numFmtId="233" formatCode="%#."/>
    <numFmt numFmtId="234" formatCode="&quot;$&quot;\ #,###,##0_);\(&quot;$&quot;\ #,###,##0\)_)"/>
    <numFmt numFmtId="235" formatCode="#,###,###,##0_);\(#,###,###,##0\)_)"/>
    <numFmt numFmtId="236" formatCode="0.00\ ;\-0.00\ ;&quot;- &quot;"/>
    <numFmt numFmtId="237" formatCode="#,###,##0.0_)"/>
    <numFmt numFmtId="238" formatCode="#,##0.00;[Red]#,##0.00"/>
    <numFmt numFmtId="239" formatCode="_(* #,##0_);_(* \(#,##0\);_(* &quot;-&quot;??_);_(@_)"/>
    <numFmt numFmtId="240" formatCode="_(* #,##0.0_);_(* \(#,##0.0\);_(* &quot;-&quot;??_);_(@_)"/>
    <numFmt numFmtId="241" formatCode="_(* #,##0_);_(* \(#,##0\);_(* &quot;-&quot;_0_);_(@_)"/>
    <numFmt numFmtId="242" formatCode="0.0%"/>
    <numFmt numFmtId="243" formatCode="_-&quot;$&quot;* #,##0.00_-;\-&quot;$&quot;* #,##0.00_-;_-&quot;$&quot;* &quot;-&quot;??_-;_-@_-"/>
    <numFmt numFmtId="244" formatCode="_-* #,##0.00_-;\-* #,##0.00_-;_-* &quot;-&quot;??_-;_-@_-"/>
    <numFmt numFmtId="245" formatCode="0.00_)%;\(0.00\)%;\-"/>
    <numFmt numFmtId="246" formatCode="_-* #,##0.00\ _D_M_-;\-* #,##0.00\ _D_M_-;_-* &quot;-&quot;??\ _D_M_-;_-@_-"/>
    <numFmt numFmtId="247" formatCode="[$-409]dd/mmm/yy;@"/>
    <numFmt numFmtId="248" formatCode="#,##0.0\ ;\(#,##0.0\)"/>
    <numFmt numFmtId="249" formatCode="#,##0.000\ ;\(#,##0.000\)"/>
    <numFmt numFmtId="250" formatCode="#,##0.00\ ;\ \(#,##0.00\)"/>
    <numFmt numFmtId="251" formatCode="#,##0\ ;\(#,##0\)"/>
    <numFmt numFmtId="252" formatCode="_(&quot;$&quot;* #,##0.0_);_(&quot;$&quot;* \(#,##0.0\);_(&quot;$&quot;* &quot;-&quot;??_);_(@_)"/>
    <numFmt numFmtId="253" formatCode="_(* #,##0.00_);_(* \(#,##0.00\);_(* &quot;-&quot;?_);_(@_)"/>
    <numFmt numFmtId="254" formatCode="_-* #,##0.000000_-;\-* #,##0.000000_-;_-* &quot;-&quot;?_-;_-@_-"/>
    <numFmt numFmtId="255" formatCode="_-* #,##0.0000_-;\-* #,##0.0000_-;_-* &quot;-&quot;?_-;_-@_-"/>
    <numFmt numFmtId="256" formatCode="_-* #,##0\ _D_M_-;\-* #,##0\ _D_M_-;_-* &quot;-&quot;\ _D_M_-;_-@_-"/>
    <numFmt numFmtId="257" formatCode="_-* #,##0\ &quot;DM&quot;_-;\-* #,##0\ &quot;DM&quot;_-;_-* &quot;-&quot;\ &quot;DM&quot;_-;_-@_-"/>
    <numFmt numFmtId="258" formatCode="_-* #,##0.00\ &quot;DM&quot;_-;\-* #,##0.00\ &quot;DM&quot;_-;_-* &quot;-&quot;??\ &quot;DM&quot;_-;_-@_-"/>
    <numFmt numFmtId="259" formatCode="0.000%_);\(0.000%\);&quot;-&quot;_%_)"/>
    <numFmt numFmtId="260" formatCode="_(* #,##0_);_(* \(#,##0\);_(* &quot;-&quot;?_);_(@_)"/>
    <numFmt numFmtId="261" formatCode="_-* #,##0_-;\-* #,##0_-;_-* &quot;-&quot;?_-;_-@_-"/>
    <numFmt numFmtId="262" formatCode="_-* #,##0.00_-;\-* #,##0.00_-;_-* &quot;-&quot;?_-;_-@_-"/>
    <numFmt numFmtId="263" formatCode="m\-d\-yy"/>
    <numFmt numFmtId="264" formatCode="_-* #,##0.00_$_-;\-* #,##0.00_$_-;_-* &quot;-&quot;??_$_-;_-@_-"/>
    <numFmt numFmtId="265" formatCode="_-* #,##0.00&quot;$&quot;_-;\-* #,##0.00&quot;$&quot;_-;_-* &quot;-&quot;??&quot;$&quot;_-;_-@_-"/>
    <numFmt numFmtId="266" formatCode="&quot;$&quot;#,##0\ ;\(&quot;$&quot;#,##0\)"/>
    <numFmt numFmtId="267" formatCode="#.00"/>
    <numFmt numFmtId="268" formatCode="0.00_)"/>
    <numFmt numFmtId="269" formatCode="0.000000"/>
    <numFmt numFmtId="270" formatCode="General_)"/>
    <numFmt numFmtId="271" formatCode="&quot;$&quot;0.00\ \ &quot;MWh&quot;"/>
    <numFmt numFmtId="272" formatCode="_-* #,##0\ _P_t_s_-;\-* #,##0\ _P_t_s_-;_-* &quot;-&quot;\ _P_t_s_-;_-@_-"/>
    <numFmt numFmtId="273" formatCode="_-* #,##0.00\ _P_t_s_-;\-* #,##0.00\ _P_t_s_-;_-* &quot;-&quot;??\ _P_t_s_-;_-@_-"/>
    <numFmt numFmtId="274" formatCode="0.0\ \ &quot;MW&quot;"/>
    <numFmt numFmtId="275" formatCode="0.0\ \ &quot;MWh&quot;"/>
    <numFmt numFmtId="276" formatCode="#,##0,_);\(#,##0,\)"/>
    <numFmt numFmtId="277" formatCode="#,###,;\(#,###,\)"/>
    <numFmt numFmtId="278" formatCode="_(&quot;$&quot;* #,##0.000_);_(&quot;$&quot;* \(#,##0.000\);_(&quot;$&quot;* &quot;-&quot;??_);_(@_)"/>
    <numFmt numFmtId="279" formatCode="&quot;$&quot;#,##0.000"/>
    <numFmt numFmtId="280" formatCode="#,##0.0000000000000_);\(#,##0.0000000000000\)"/>
    <numFmt numFmtId="281" formatCode="0.0000_);\(0.0000\)"/>
  </numFmts>
  <fonts count="225">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u/>
      <sz val="10"/>
      <name val="Arial Narrow"/>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theme="9" tint="0.79998168889431442"/>
        <bgColor indexed="64"/>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59">
    <xf numFmtId="164" fontId="0" fillId="0" borderId="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8" fillId="2" borderId="0" applyNumberFormat="0" applyFont="0" applyAlignment="0" applyProtection="0"/>
    <xf numFmtId="0" fontId="18" fillId="2" borderId="0" applyNumberFormat="0" applyFont="0" applyAlignment="0" applyProtection="0"/>
    <xf numFmtId="0" fontId="18" fillId="2" borderId="0" applyNumberFormat="0" applyFont="0" applyAlignment="0" applyProtection="0"/>
    <xf numFmtId="0" fontId="11" fillId="2" borderId="0" applyNumberFormat="0" applyFont="0" applyAlignment="0" applyProtection="0"/>
    <xf numFmtId="0" fontId="11" fillId="2" borderId="0" applyNumberFormat="0" applyFont="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8" fillId="0" borderId="0" applyFont="0" applyFill="0" applyBorder="0" applyProtection="0">
      <alignment horizontal="right"/>
    </xf>
    <xf numFmtId="217" fontId="18" fillId="0" borderId="0" applyFont="0" applyFill="0" applyBorder="0" applyProtection="0">
      <alignment horizontal="right"/>
    </xf>
    <xf numFmtId="217" fontId="18"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0" fontId="65" fillId="0" borderId="0" applyNumberFormat="0" applyFill="0" applyBorder="0" applyProtection="0">
      <alignment vertical="top"/>
    </xf>
    <xf numFmtId="0" fontId="65" fillId="0" borderId="0" applyNumberFormat="0" applyFill="0" applyBorder="0" applyProtection="0">
      <alignment vertical="top"/>
    </xf>
    <xf numFmtId="0" fontId="65" fillId="0" borderId="0" applyNumberFormat="0" applyFill="0" applyBorder="0" applyProtection="0">
      <alignment vertical="top"/>
    </xf>
    <xf numFmtId="0" fontId="118" fillId="0" borderId="0" applyNumberFormat="0" applyFill="0" applyBorder="0" applyProtection="0">
      <alignment vertical="top"/>
    </xf>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119" fillId="0" borderId="1" applyNumberFormat="0" applyFill="0" applyAlignment="0" applyProtection="0"/>
    <xf numFmtId="0" fontId="67" fillId="0" borderId="2" applyNumberFormat="0" applyFill="0" applyProtection="0">
      <alignment horizontal="center"/>
    </xf>
    <xf numFmtId="0" fontId="67" fillId="0" borderId="2" applyNumberFormat="0" applyFill="0" applyProtection="0">
      <alignment horizontal="center"/>
    </xf>
    <xf numFmtId="0" fontId="67" fillId="0" borderId="2" applyNumberFormat="0" applyFill="0" applyProtection="0">
      <alignment horizontal="center"/>
    </xf>
    <xf numFmtId="0" fontId="120" fillId="0" borderId="2" applyNumberFormat="0" applyFill="0" applyProtection="0">
      <alignment horizontal="center"/>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120" fillId="0" borderId="0" applyNumberFormat="0" applyFill="0" applyBorder="0" applyProtection="0">
      <alignment horizontal="left"/>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121" fillId="0" borderId="0" applyNumberFormat="0" applyFill="0" applyBorder="0" applyProtection="0">
      <alignment horizontal="centerContinuous"/>
    </xf>
    <xf numFmtId="0" fontId="39" fillId="4"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42"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2" fillId="5"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2" fillId="6" borderId="0" applyNumberFormat="0" applyBorder="0" applyAlignment="0" applyProtection="0"/>
    <xf numFmtId="0" fontId="39" fillId="5"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42" fillId="5" borderId="0" applyNumberFormat="0" applyBorder="0" applyAlignment="0" applyProtection="0"/>
    <xf numFmtId="196" fontId="69" fillId="0" borderId="0" applyFont="0" applyFill="0" applyBorder="0" applyAlignment="0">
      <alignment horizontal="right"/>
    </xf>
    <xf numFmtId="0" fontId="39" fillId="15"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2"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39" fillId="16"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17" borderId="0" applyNumberFormat="0" applyBorder="0" applyAlignment="0" applyProtection="0"/>
    <xf numFmtId="0" fontId="39" fillId="2" borderId="0" applyNumberFormat="0" applyBorder="0" applyAlignment="0" applyProtection="0"/>
    <xf numFmtId="0" fontId="39" fillId="17" borderId="0" applyNumberFormat="0" applyBorder="0" applyAlignment="0" applyProtection="0"/>
    <xf numFmtId="0" fontId="42" fillId="5"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8" borderId="0" applyNumberFormat="0" applyBorder="0" applyAlignment="0" applyProtection="0"/>
    <xf numFmtId="0" fontId="43"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14"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3" borderId="0" applyNumberFormat="0" applyBorder="0" applyAlignment="0" applyProtection="0"/>
    <xf numFmtId="0" fontId="38" fillId="8" borderId="0" applyNumberFormat="0" applyBorder="0" applyAlignment="0" applyProtection="0"/>
    <xf numFmtId="0" fontId="43" fillId="5" borderId="0" applyNumberFormat="0" applyBorder="0" applyAlignment="0" applyProtection="0"/>
    <xf numFmtId="0" fontId="38" fillId="24"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5" borderId="0" applyNumberFormat="0" applyBorder="0" applyAlignment="0" applyProtection="0"/>
    <xf numFmtId="0" fontId="4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18" borderId="0" applyNumberFormat="0" applyBorder="0" applyAlignment="0" applyProtection="0"/>
    <xf numFmtId="0" fontId="38" fillId="29" borderId="0" applyNumberFormat="0" applyBorder="0" applyAlignment="0" applyProtection="0"/>
    <xf numFmtId="0" fontId="38" fillId="23" borderId="0" applyNumberFormat="0" applyBorder="0" applyAlignment="0" applyProtection="0"/>
    <xf numFmtId="0" fontId="43" fillId="30" borderId="0" applyNumberFormat="0" applyBorder="0" applyAlignment="0" applyProtection="0"/>
    <xf numFmtId="218" fontId="69" fillId="31" borderId="3">
      <alignment horizontal="center" vertical="center"/>
    </xf>
    <xf numFmtId="0" fontId="15" fillId="32" borderId="0" applyNumberFormat="0" applyFont="0" applyAlignment="0">
      <alignment vertical="top"/>
    </xf>
    <xf numFmtId="0" fontId="18" fillId="32" borderId="0" applyNumberFormat="0" applyFont="0" applyAlignment="0">
      <alignment vertical="top" wrapText="1"/>
    </xf>
    <xf numFmtId="0" fontId="18" fillId="32" borderId="0" applyNumberFormat="0" applyFont="0" applyAlignment="0">
      <alignment vertical="top" wrapText="1"/>
    </xf>
    <xf numFmtId="0" fontId="70" fillId="7" borderId="0" applyNumberFormat="0" applyBorder="0" applyAlignment="0" applyProtection="0"/>
    <xf numFmtId="0" fontId="44" fillId="11" borderId="0" applyNumberFormat="0" applyBorder="0" applyAlignment="0" applyProtection="0"/>
    <xf numFmtId="1" fontId="71" fillId="33" borderId="4" applyNumberFormat="0" applyBorder="0" applyAlignment="0">
      <alignment horizontal="center" vertical="top" wrapText="1"/>
      <protection hidden="1"/>
    </xf>
    <xf numFmtId="219" fontId="72" fillId="0" borderId="0" applyNumberFormat="0" applyFill="0" applyBorder="0" applyAlignment="0" applyProtection="0">
      <alignment horizontal="center"/>
      <protection locked="0"/>
    </xf>
    <xf numFmtId="196" fontId="19" fillId="0" borderId="4" applyNumberFormat="0" applyFill="0" applyBorder="0" applyAlignment="0" applyProtection="0">
      <alignment horizontal="center"/>
    </xf>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1" fillId="0" borderId="0" applyNumberFormat="0" applyFill="0" applyBorder="0" applyAlignment="0"/>
    <xf numFmtId="0" fontId="11" fillId="0" borderId="0" applyNumberFormat="0" applyFill="0" applyBorder="0" applyAlignment="0"/>
    <xf numFmtId="0" fontId="32" fillId="14" borderId="5" applyNumberFormat="0" applyAlignment="0" applyProtection="0"/>
    <xf numFmtId="0" fontId="133" fillId="3" borderId="5" applyNumberFormat="0" applyAlignment="0" applyProtection="0"/>
    <xf numFmtId="0" fontId="45" fillId="12" borderId="5" applyNumberFormat="0" applyAlignment="0" applyProtection="0"/>
    <xf numFmtId="197" fontId="18" fillId="0" borderId="0" applyFont="0" applyFill="0" applyBorder="0" applyAlignment="0" applyProtection="0"/>
    <xf numFmtId="0" fontId="34" fillId="12" borderId="6" applyNumberFormat="0" applyAlignment="0" applyProtection="0"/>
    <xf numFmtId="0" fontId="34" fillId="34" borderId="7" applyNumberFormat="0" applyAlignment="0" applyProtection="0"/>
    <xf numFmtId="0" fontId="46" fillId="35" borderId="6" applyNumberFormat="0" applyAlignment="0" applyProtection="0"/>
    <xf numFmtId="190" fontId="40" fillId="0" borderId="0" applyBorder="0">
      <alignment horizontal="right"/>
    </xf>
    <xf numFmtId="190" fontId="40" fillId="0" borderId="8" applyAlignment="0">
      <alignment horizontal="right"/>
    </xf>
    <xf numFmtId="43" fontId="11" fillId="0" borderId="0" applyFont="0" applyFill="0" applyBorder="0" applyAlignment="0" applyProtection="0"/>
    <xf numFmtId="41" fontId="11" fillId="0" borderId="0" applyFont="0" applyFill="0" applyBorder="0" applyAlignment="0" applyProtection="0"/>
    <xf numFmtId="38" fontId="47" fillId="0" borderId="0" applyFont="0" applyFill="0" applyBorder="0" applyAlignment="0" applyProtection="0"/>
    <xf numFmtId="41" fontId="1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77" fontId="12" fillId="0" borderId="0" applyFont="0" applyFill="0" applyBorder="0" applyAlignment="0" applyProtection="0">
      <alignment vertical="center"/>
    </xf>
    <xf numFmtId="4" fontId="74" fillId="0" borderId="9" applyFont="0" applyFill="0" applyBorder="0" applyAlignment="0">
      <alignment horizontal="center" vertical="center"/>
    </xf>
    <xf numFmtId="0" fontId="75" fillId="0" borderId="0" applyFont="0" applyFill="0" applyBorder="0" applyAlignment="0" applyProtection="0">
      <alignment horizontal="right"/>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0" fontId="75"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22" fillId="0" borderId="0" applyFont="0" applyFill="0" applyBorder="0" applyAlignment="0" applyProtection="0">
      <alignment vertical="top"/>
    </xf>
    <xf numFmtId="43" fontId="141"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198" fontId="47" fillId="0" borderId="0" applyFont="0" applyFill="0" applyBorder="0" applyAlignment="0" applyProtection="0"/>
    <xf numFmtId="3" fontId="48" fillId="0" borderId="0" applyFont="0" applyFill="0" applyBorder="0" applyAlignment="0" applyProtection="0"/>
    <xf numFmtId="0" fontId="77" fillId="0" borderId="0"/>
    <xf numFmtId="0" fontId="78"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123"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124"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124" fillId="0" borderId="0" applyFont="0" applyFill="0" applyBorder="0" applyAlignment="0" applyProtection="0"/>
    <xf numFmtId="37" fontId="79" fillId="0" borderId="0" applyFill="0" applyBorder="0" applyAlignment="0" applyProtection="0"/>
    <xf numFmtId="0" fontId="80" fillId="0" borderId="0"/>
    <xf numFmtId="0" fontId="80" fillId="0" borderId="0"/>
    <xf numFmtId="0" fontId="80" fillId="0" borderId="0"/>
    <xf numFmtId="0" fontId="125" fillId="0" borderId="0"/>
    <xf numFmtId="0" fontId="81" fillId="0" borderId="0" applyFill="0" applyBorder="0" applyProtection="0"/>
    <xf numFmtId="0" fontId="81" fillId="0" borderId="0" applyFill="0" applyBorder="0" applyProtection="0"/>
    <xf numFmtId="0" fontId="81" fillId="0" borderId="0" applyFill="0" applyBorder="0" applyProtection="0"/>
    <xf numFmtId="0" fontId="126" fillId="0" borderId="0" applyFill="0" applyBorder="0" applyProtection="0"/>
    <xf numFmtId="44" fontId="11" fillId="0" borderId="0" applyFont="0" applyFill="0" applyBorder="0" applyAlignment="0" applyProtection="0"/>
    <xf numFmtId="169" fontId="13" fillId="0" borderId="0" applyFont="0" applyBorder="0" applyAlignment="0">
      <alignment vertical="center"/>
    </xf>
    <xf numFmtId="169" fontId="13" fillId="0" borderId="0" applyFont="0" applyBorder="0" applyAlignment="0">
      <alignment vertical="center"/>
    </xf>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8" fillId="0" borderId="0" applyFont="0" applyFill="0" applyBorder="0" applyAlignment="0" applyProtection="0"/>
    <xf numFmtId="221" fontId="76" fillId="0" borderId="0">
      <protection locked="0"/>
    </xf>
    <xf numFmtId="221" fontId="76" fillId="0" borderId="0">
      <protection locked="0"/>
    </xf>
    <xf numFmtId="221" fontId="123" fillId="0" borderId="0">
      <protection locked="0"/>
    </xf>
    <xf numFmtId="221" fontId="76" fillId="0" borderId="0">
      <protection locked="0"/>
    </xf>
    <xf numFmtId="0" fontId="48" fillId="0" borderId="0" applyFont="0" applyFill="0" applyBorder="0" applyAlignment="0" applyProtection="0"/>
    <xf numFmtId="15" fontId="40" fillId="0" borderId="0" applyFill="0" applyBorder="0" applyAlignment="0" applyProtection="0"/>
    <xf numFmtId="6" fontId="82" fillId="0" borderId="0">
      <protection locked="0"/>
    </xf>
    <xf numFmtId="0" fontId="75" fillId="0" borderId="0" applyFont="0" applyFill="0" applyBorder="0" applyAlignment="0" applyProtection="0"/>
    <xf numFmtId="6" fontId="82" fillId="0" borderId="0">
      <protection locked="0"/>
    </xf>
    <xf numFmtId="15" fontId="83" fillId="0" borderId="0" applyFont="0" applyFill="0" applyBorder="0" applyAlignment="0" applyProtection="0">
      <alignment horizontal="center"/>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200" fontId="15" fillId="36" borderId="0" applyNumberFormat="0" applyBorder="0" applyAlignment="0" applyProtection="0"/>
    <xf numFmtId="16" fontId="41" fillId="0" borderId="0">
      <alignment horizontal="right"/>
    </xf>
    <xf numFmtId="15" fontId="41" fillId="0" borderId="0">
      <alignment horizontal="right"/>
    </xf>
    <xf numFmtId="0" fontId="75" fillId="0" borderId="10" applyNumberFormat="0" applyFont="0" applyFill="0" applyAlignment="0" applyProtection="0"/>
    <xf numFmtId="195" fontId="41" fillId="0" borderId="0" applyFont="0" applyFill="0" applyBorder="0" applyAlignment="0" applyProtection="0"/>
    <xf numFmtId="195" fontId="41"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201" fontId="18" fillId="0" borderId="0" applyFont="0" applyFill="0" applyBorder="0" applyAlignment="0" applyProtection="0"/>
    <xf numFmtId="1" fontId="84" fillId="37" borderId="11" applyNumberFormat="0" applyBorder="0" applyAlignment="0">
      <alignment horizontal="centerContinuous" vertical="center"/>
      <protection locked="0"/>
    </xf>
    <xf numFmtId="2" fontId="48" fillId="0" borderId="0" applyFont="0" applyFill="0" applyBorder="0" applyAlignment="0" applyProtection="0"/>
    <xf numFmtId="223" fontId="18" fillId="0" borderId="0">
      <protection locked="0"/>
    </xf>
    <xf numFmtId="223" fontId="18" fillId="0" borderId="0">
      <protection locked="0"/>
    </xf>
    <xf numFmtId="223" fontId="11" fillId="0" borderId="0">
      <protection locked="0"/>
    </xf>
    <xf numFmtId="223" fontId="11" fillId="0" borderId="0">
      <protection locked="0"/>
    </xf>
    <xf numFmtId="223" fontId="18" fillId="0" borderId="0">
      <protection locked="0"/>
    </xf>
    <xf numFmtId="0" fontId="85" fillId="0" borderId="0"/>
    <xf numFmtId="0" fontId="86" fillId="0" borderId="0" applyFill="0" applyBorder="0" applyProtection="0">
      <alignment horizontal="left"/>
    </xf>
    <xf numFmtId="200" fontId="50" fillId="0" borderId="0" applyNumberFormat="0" applyFill="0" applyBorder="0" applyAlignment="0" applyProtection="0"/>
    <xf numFmtId="224" fontId="26" fillId="0" borderId="0">
      <alignment vertical="center"/>
    </xf>
    <xf numFmtId="0" fontId="28" fillId="10" borderId="0" applyNumberFormat="0" applyBorder="0" applyAlignment="0" applyProtection="0"/>
    <xf numFmtId="0" fontId="51" fillId="10" borderId="0" applyNumberFormat="0" applyBorder="0" applyAlignment="0" applyProtection="0"/>
    <xf numFmtId="38" fontId="41" fillId="38" borderId="0" applyNumberFormat="0" applyBorder="0" applyAlignment="0" applyProtection="0"/>
    <xf numFmtId="38" fontId="41" fillId="38" borderId="0" applyNumberFormat="0" applyBorder="0" applyAlignment="0" applyProtection="0"/>
    <xf numFmtId="0" fontId="75" fillId="0" borderId="0" applyFont="0" applyFill="0" applyBorder="0" applyAlignment="0" applyProtection="0">
      <alignment horizontal="right"/>
    </xf>
    <xf numFmtId="0" fontId="87" fillId="0" borderId="0" applyNumberFormat="0" applyFill="0" applyBorder="0" applyAlignment="0" applyProtection="0"/>
    <xf numFmtId="0" fontId="88" fillId="33" borderId="0" applyNumberFormat="0" applyBorder="0" applyAlignment="0">
      <protection hidden="1"/>
    </xf>
    <xf numFmtId="0" fontId="53" fillId="0" borderId="0" applyNumberFormat="0" applyFont="0" applyFill="0" applyAlignment="0" applyProtection="0"/>
    <xf numFmtId="0" fontId="134" fillId="0" borderId="12" applyNumberFormat="0" applyFill="0" applyAlignment="0" applyProtection="0"/>
    <xf numFmtId="0" fontId="53" fillId="0" borderId="0" applyNumberFormat="0" applyFont="0" applyFill="0" applyAlignment="0" applyProtection="0"/>
    <xf numFmtId="0" fontId="89" fillId="0" borderId="13" applyNumberFormat="0" applyFill="0" applyAlignment="0" applyProtection="0"/>
    <xf numFmtId="0" fontId="52" fillId="0" borderId="14" applyNumberFormat="0" applyFill="0" applyAlignment="0" applyProtection="0"/>
    <xf numFmtId="0" fontId="55" fillId="0" borderId="0" applyNumberFormat="0" applyFont="0" applyFill="0" applyAlignment="0" applyProtection="0"/>
    <xf numFmtId="0" fontId="135" fillId="0" borderId="15" applyNumberFormat="0" applyFill="0" applyAlignment="0" applyProtection="0"/>
    <xf numFmtId="0" fontId="55" fillId="0" borderId="0" applyNumberFormat="0" applyFont="0" applyFill="0" applyAlignment="0" applyProtection="0"/>
    <xf numFmtId="0" fontId="90" fillId="0" borderId="15" applyNumberFormat="0" applyFill="0" applyAlignment="0" applyProtection="0"/>
    <xf numFmtId="0" fontId="54" fillId="0" borderId="14" applyNumberFormat="0" applyFill="0" applyAlignment="0" applyProtection="0"/>
    <xf numFmtId="0" fontId="91" fillId="0" borderId="16" applyNumberFormat="0" applyFill="0" applyAlignment="0" applyProtection="0"/>
    <xf numFmtId="0" fontId="136" fillId="0" borderId="17" applyNumberFormat="0" applyFill="0" applyAlignment="0" applyProtection="0"/>
    <xf numFmtId="0" fontId="56" fillId="0" borderId="18" applyNumberFormat="0" applyFill="0" applyAlignment="0" applyProtection="0"/>
    <xf numFmtId="0" fontId="91" fillId="0" borderId="0" applyNumberFormat="0" applyFill="0" applyBorder="0" applyAlignment="0" applyProtection="0"/>
    <xf numFmtId="0" fontId="136" fillId="0" borderId="0" applyNumberFormat="0" applyFill="0" applyBorder="0" applyAlignment="0" applyProtection="0"/>
    <xf numFmtId="0" fontId="56" fillId="0" borderId="0" applyNumberFormat="0" applyFill="0" applyBorder="0" applyAlignment="0" applyProtection="0"/>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1" fontId="92" fillId="0" borderId="0" applyFill="0" applyBorder="0" applyProtection="0">
      <alignment horizontal="center"/>
    </xf>
    <xf numFmtId="1" fontId="92" fillId="0" borderId="0" applyFill="0" applyBorder="0">
      <alignment horizontal="center"/>
    </xf>
    <xf numFmtId="0" fontId="50" fillId="0" borderId="19"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41" fillId="39" borderId="20" applyNumberFormat="0" applyBorder="0" applyAlignment="0" applyProtection="0"/>
    <xf numFmtId="10" fontId="41" fillId="39" borderId="20" applyNumberFormat="0" applyBorder="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202" fontId="50" fillId="0" borderId="20">
      <protection locked="0"/>
    </xf>
    <xf numFmtId="0" fontId="137" fillId="2"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30"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10" fontId="41" fillId="39" borderId="0">
      <protection locked="0"/>
    </xf>
    <xf numFmtId="10" fontId="41" fillId="39" borderId="0">
      <protection locked="0"/>
    </xf>
    <xf numFmtId="0" fontId="23" fillId="40" borderId="0" applyNumberFormat="0" applyBorder="0" applyAlignment="0"/>
    <xf numFmtId="0" fontId="33" fillId="0" borderId="21" applyNumberFormat="0" applyFill="0" applyAlignment="0" applyProtection="0"/>
    <xf numFmtId="0" fontId="138" fillId="0" borderId="22" applyNumberFormat="0" applyFill="0" applyAlignment="0" applyProtection="0"/>
    <xf numFmtId="0" fontId="59" fillId="0" borderId="21" applyNumberFormat="0" applyFill="0" applyAlignment="0" applyProtection="0"/>
    <xf numFmtId="219" fontId="41" fillId="0" borderId="0" applyNumberFormat="0" applyFont="0" applyFill="0" applyBorder="0" applyAlignment="0">
      <protection hidden="1"/>
    </xf>
    <xf numFmtId="219" fontId="41" fillId="0" borderId="0" applyNumberFormat="0" applyFont="0" applyFill="0" applyBorder="0" applyAlignment="0">
      <protection hidden="1"/>
    </xf>
    <xf numFmtId="226"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07" fontId="41" fillId="39" borderId="0">
      <alignment horizontal="center"/>
    </xf>
    <xf numFmtId="207" fontId="41" fillId="39" borderId="0">
      <alignment horizontal="center"/>
    </xf>
    <xf numFmtId="0" fontId="75" fillId="0" borderId="0" applyFont="0" applyFill="0" applyBorder="0" applyAlignment="0" applyProtection="0">
      <alignment horizontal="right"/>
    </xf>
    <xf numFmtId="0" fontId="29" fillId="2" borderId="0" applyNumberFormat="0" applyBorder="0" applyAlignment="0" applyProtection="0"/>
    <xf numFmtId="0" fontId="139" fillId="2" borderId="0" applyNumberFormat="0" applyBorder="0" applyAlignment="0" applyProtection="0"/>
    <xf numFmtId="0" fontId="60" fillId="2" borderId="0" applyNumberFormat="0" applyBorder="0" applyAlignment="0" applyProtection="0"/>
    <xf numFmtId="224" fontId="26" fillId="0" borderId="0" applyAlignment="0">
      <alignment vertical="center"/>
    </xf>
    <xf numFmtId="37" fontId="93" fillId="0" borderId="0"/>
    <xf numFmtId="37" fontId="93" fillId="0" borderId="0"/>
    <xf numFmtId="37" fontId="93" fillId="0" borderId="0"/>
    <xf numFmtId="37" fontId="127" fillId="0" borderId="0"/>
    <xf numFmtId="231" fontId="69" fillId="0" borderId="0"/>
    <xf numFmtId="0" fontId="18" fillId="0" borderId="0"/>
    <xf numFmtId="0" fontId="18" fillId="0" borderId="0"/>
    <xf numFmtId="0" fontId="18"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0" fontId="142" fillId="0" borderId="0"/>
    <xf numFmtId="0" fontId="142" fillId="0" borderId="0"/>
    <xf numFmtId="164" fontId="12" fillId="0" borderId="0"/>
    <xf numFmtId="0" fontId="11" fillId="0" borderId="0"/>
    <xf numFmtId="0" fontId="18"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42" fillId="0" borderId="0"/>
    <xf numFmtId="0" fontId="142" fillId="0" borderId="0"/>
    <xf numFmtId="0" fontId="18" fillId="0" borderId="0"/>
    <xf numFmtId="0" fontId="18" fillId="0" borderId="0"/>
    <xf numFmtId="0" fontId="39" fillId="0" borderId="0"/>
    <xf numFmtId="0" fontId="39" fillId="0" borderId="0"/>
    <xf numFmtId="175" fontId="12" fillId="0" borderId="0"/>
    <xf numFmtId="0" fontId="128" fillId="0" borderId="0"/>
    <xf numFmtId="0" fontId="128" fillId="0" borderId="0"/>
    <xf numFmtId="0" fontId="128" fillId="0" borderId="0"/>
    <xf numFmtId="0" fontId="11" fillId="0" borderId="0"/>
    <xf numFmtId="0" fontId="11" fillId="0" borderId="0"/>
    <xf numFmtId="0" fontId="128" fillId="0" borderId="0"/>
    <xf numFmtId="164" fontId="12" fillId="0" borderId="0"/>
    <xf numFmtId="0" fontId="128" fillId="0" borderId="0"/>
    <xf numFmtId="164" fontId="12" fillId="0" borderId="0"/>
    <xf numFmtId="0" fontId="128" fillId="0" borderId="0"/>
    <xf numFmtId="0" fontId="61" fillId="0" borderId="0"/>
    <xf numFmtId="0" fontId="39" fillId="0" borderId="0"/>
    <xf numFmtId="0" fontId="39" fillId="0" borderId="0"/>
    <xf numFmtId="0" fontId="122" fillId="0" borderId="0">
      <alignment vertical="top"/>
    </xf>
    <xf numFmtId="0" fontId="142" fillId="0" borderId="0"/>
    <xf numFmtId="0" fontId="128" fillId="0" borderId="0"/>
    <xf numFmtId="0" fontId="142" fillId="0" borderId="0"/>
    <xf numFmtId="0" fontId="128" fillId="0" borderId="0"/>
    <xf numFmtId="0" fontId="142" fillId="0" borderId="0"/>
    <xf numFmtId="0" fontId="128" fillId="0" borderId="0"/>
    <xf numFmtId="0" fontId="18" fillId="0" borderId="0"/>
    <xf numFmtId="0" fontId="1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28" fillId="0" borderId="0"/>
    <xf numFmtId="0" fontId="128" fillId="0" borderId="0"/>
    <xf numFmtId="0" fontId="128"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28"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8" fillId="0" borderId="0"/>
    <xf numFmtId="0" fontId="39" fillId="0" borderId="0"/>
    <xf numFmtId="0" fontId="39" fillId="0" borderId="0"/>
    <xf numFmtId="219" fontId="40" fillId="0" borderId="0" applyNumberFormat="0" applyFill="0" applyBorder="0" applyAlignment="0" applyProtection="0"/>
    <xf numFmtId="164" fontId="12" fillId="0" borderId="0"/>
    <xf numFmtId="3" fontId="11" fillId="0" borderId="0"/>
    <xf numFmtId="164" fontId="12" fillId="0" borderId="0"/>
    <xf numFmtId="0" fontId="11" fillId="0" borderId="0"/>
    <xf numFmtId="0" fontId="11" fillId="0" borderId="0"/>
    <xf numFmtId="0" fontId="94" fillId="0" borderId="0"/>
    <xf numFmtId="0" fontId="18" fillId="9" borderId="23" applyNumberFormat="0" applyFont="0" applyAlignment="0" applyProtection="0"/>
    <xf numFmtId="0" fontId="122" fillId="9" borderId="23" applyNumberFormat="0" applyFont="0" applyAlignment="0" applyProtection="0"/>
    <xf numFmtId="0" fontId="18"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8" fillId="9" borderId="23" applyNumberFormat="0" applyFont="0" applyAlignment="0" applyProtection="0"/>
    <xf numFmtId="0" fontId="18" fillId="9" borderId="5" applyNumberFormat="0" applyFont="0" applyAlignment="0" applyProtection="0"/>
    <xf numFmtId="41" fontId="95" fillId="0" borderId="0" applyFont="0" applyFill="0" applyBorder="0" applyAlignment="0" applyProtection="0"/>
    <xf numFmtId="0" fontId="31" fillId="14" borderId="24" applyNumberFormat="0" applyAlignment="0" applyProtection="0"/>
    <xf numFmtId="0" fontId="130" fillId="3" borderId="25" applyNumberFormat="0" applyAlignment="0" applyProtection="0"/>
    <xf numFmtId="0" fontId="62" fillId="12" borderId="24" applyNumberFormat="0" applyAlignment="0" applyProtection="0"/>
    <xf numFmtId="232" fontId="18" fillId="0" borderId="0">
      <protection hidden="1"/>
    </xf>
    <xf numFmtId="232" fontId="18" fillId="0" borderId="0">
      <protection hidden="1"/>
    </xf>
    <xf numFmtId="1" fontId="96" fillId="0" borderId="0" applyProtection="0">
      <alignment horizontal="right" vertical="center"/>
    </xf>
    <xf numFmtId="166" fontId="11"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233" fontId="76" fillId="0" borderId="0">
      <protection locked="0"/>
    </xf>
    <xf numFmtId="233" fontId="76" fillId="0" borderId="0">
      <protection locked="0"/>
    </xf>
    <xf numFmtId="233" fontId="76" fillId="0" borderId="0">
      <protection locked="0"/>
    </xf>
    <xf numFmtId="233" fontId="123" fillId="0" borderId="0">
      <protection locked="0"/>
    </xf>
    <xf numFmtId="0" fontId="97" fillId="0" borderId="0" applyNumberFormat="0" applyFill="0" applyBorder="0" applyAlignment="0" applyProtection="0"/>
    <xf numFmtId="234" fontId="18" fillId="0" borderId="0"/>
    <xf numFmtId="234" fontId="18" fillId="0" borderId="0"/>
    <xf numFmtId="235" fontId="15" fillId="0" borderId="0"/>
    <xf numFmtId="236" fontId="98" fillId="38" borderId="0" applyBorder="0" applyAlignment="0">
      <protection hidden="1"/>
    </xf>
    <xf numFmtId="1" fontId="98" fillId="38" borderId="0">
      <alignment horizontal="center"/>
    </xf>
    <xf numFmtId="3" fontId="99" fillId="0" borderId="26" applyBorder="0">
      <alignment horizontal="right" wrapText="1"/>
    </xf>
    <xf numFmtId="4" fontId="99" fillId="0" borderId="27" applyBorder="0">
      <alignment horizontal="right" wrapText="1"/>
    </xf>
    <xf numFmtId="0" fontId="100" fillId="0" borderId="0">
      <alignment horizontal="left" vertical="center"/>
    </xf>
    <xf numFmtId="4" fontId="18" fillId="41" borderId="20" applyNumberFormat="0" applyProtection="0">
      <alignment vertical="center"/>
    </xf>
    <xf numFmtId="4" fontId="18" fillId="41" borderId="20" applyNumberFormat="0" applyProtection="0">
      <alignment vertical="center"/>
    </xf>
    <xf numFmtId="4" fontId="101" fillId="42" borderId="0" applyNumberFormat="0" applyProtection="0">
      <alignment horizontal="left" vertical="center" indent="1"/>
    </xf>
    <xf numFmtId="4" fontId="102" fillId="43" borderId="0" applyNumberFormat="0" applyProtection="0">
      <alignment vertical="center"/>
    </xf>
    <xf numFmtId="4" fontId="18" fillId="0" borderId="20" applyNumberFormat="0" applyProtection="0">
      <alignment horizontal="right" vertical="center"/>
    </xf>
    <xf numFmtId="4" fontId="18" fillId="0" borderId="20" applyNumberFormat="0" applyProtection="0">
      <alignment horizontal="right" vertical="center"/>
    </xf>
    <xf numFmtId="4" fontId="73" fillId="44" borderId="20" applyNumberFormat="0" applyProtection="0">
      <alignment horizontal="right" vertical="center"/>
    </xf>
    <xf numFmtId="4" fontId="73" fillId="44" borderId="20" applyNumberFormat="0" applyProtection="0">
      <alignment horizontal="right" vertical="center"/>
    </xf>
    <xf numFmtId="4" fontId="18" fillId="45" borderId="0" applyNumberFormat="0" applyProtection="0">
      <alignment horizontal="left" vertical="center"/>
    </xf>
    <xf numFmtId="4" fontId="18" fillId="45" borderId="0" applyNumberFormat="0" applyProtection="0">
      <alignment horizontal="left" vertical="center"/>
    </xf>
    <xf numFmtId="0" fontId="103" fillId="46" borderId="0"/>
    <xf numFmtId="0" fontId="47" fillId="47" borderId="0" applyNumberFormat="0" applyFont="0" applyBorder="0" applyAlignment="0" applyProtection="0"/>
    <xf numFmtId="0" fontId="47" fillId="48" borderId="0" applyNumberFormat="0" applyFont="0" applyBorder="0" applyAlignment="0" applyProtection="0"/>
    <xf numFmtId="0" fontId="47" fillId="1" borderId="0" applyNumberFormat="0" applyFont="0" applyBorder="0" applyAlignment="0" applyProtection="0"/>
    <xf numFmtId="203" fontId="47" fillId="0" borderId="0" applyFont="0" applyFill="0" applyBorder="0" applyAlignment="0" applyProtection="0"/>
    <xf numFmtId="204" fontId="47" fillId="0" borderId="0" applyFont="0" applyFill="0" applyBorder="0" applyAlignment="0" applyProtection="0"/>
    <xf numFmtId="205" fontId="47" fillId="0" borderId="0" applyFont="0" applyFill="0" applyBorder="0" applyAlignment="0" applyProtection="0"/>
    <xf numFmtId="1" fontId="69" fillId="0" borderId="0" applyBorder="0">
      <alignment horizontal="left" vertical="top" wrapText="1"/>
    </xf>
    <xf numFmtId="1" fontId="69" fillId="0" borderId="0" applyBorder="0">
      <alignment horizontal="left" vertical="top" wrapText="1"/>
    </xf>
    <xf numFmtId="1" fontId="69" fillId="0" borderId="0" applyBorder="0">
      <alignment horizontal="left" vertical="top" wrapText="1"/>
    </xf>
    <xf numFmtId="1" fontId="124" fillId="0" borderId="0" applyBorder="0">
      <alignment horizontal="left" vertical="top" wrapText="1"/>
    </xf>
    <xf numFmtId="0" fontId="73" fillId="0" borderId="0">
      <alignment vertical="top"/>
    </xf>
    <xf numFmtId="0" fontId="73" fillId="0" borderId="0">
      <alignment vertical="top"/>
    </xf>
    <xf numFmtId="0" fontId="73" fillId="0" borderId="0">
      <alignment vertical="top"/>
    </xf>
    <xf numFmtId="0" fontId="122" fillId="0" borderId="0">
      <alignment vertical="top"/>
    </xf>
    <xf numFmtId="0" fontId="21" fillId="49" borderId="28" applyNumberFormat="0" applyProtection="0">
      <alignment horizontal="center" wrapText="1"/>
    </xf>
    <xf numFmtId="0" fontId="15" fillId="49" borderId="28" applyNumberFormat="0" applyProtection="0">
      <alignment horizontal="center" wrapText="1"/>
    </xf>
    <xf numFmtId="0" fontId="15" fillId="49" borderId="28" applyNumberFormat="0" applyProtection="0">
      <alignment horizontal="center" wrapText="1"/>
    </xf>
    <xf numFmtId="0" fontId="21" fillId="49" borderId="28" applyNumberFormat="0" applyProtection="0">
      <alignment horizontal="center" wrapText="1"/>
    </xf>
    <xf numFmtId="0" fontId="15" fillId="49" borderId="28" applyNumberFormat="0" applyProtection="0">
      <alignment horizontal="center" wrapText="1"/>
    </xf>
    <xf numFmtId="0" fontId="21" fillId="49" borderId="29" applyNumberFormat="0" applyAlignment="0" applyProtection="0">
      <alignment wrapText="1"/>
    </xf>
    <xf numFmtId="0" fontId="15" fillId="49" borderId="29" applyNumberFormat="0" applyAlignment="0" applyProtection="0">
      <alignment wrapText="1"/>
    </xf>
    <xf numFmtId="0" fontId="15" fillId="49" borderId="29" applyNumberFormat="0" applyAlignment="0" applyProtection="0">
      <alignment wrapText="1"/>
    </xf>
    <xf numFmtId="0" fontId="21" fillId="49" borderId="29" applyNumberFormat="0" applyAlignment="0" applyProtection="0">
      <alignment wrapText="1"/>
    </xf>
    <xf numFmtId="0" fontId="15" fillId="49" borderId="29" applyNumberFormat="0" applyAlignment="0" applyProtection="0">
      <alignment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0" fontId="63" fillId="0" borderId="0" applyNumberFormat="0" applyFill="0" applyBorder="0">
      <alignment horizontal="left" wrapText="1"/>
    </xf>
    <xf numFmtId="0" fontId="55" fillId="0" borderId="0" applyNumberFormat="0" applyFill="0" applyBorder="0">
      <alignment horizontal="left" wrapText="1"/>
    </xf>
    <xf numFmtId="0" fontId="55" fillId="0" borderId="0" applyNumberFormat="0" applyFill="0" applyBorder="0">
      <alignment horizontal="left" wrapText="1"/>
    </xf>
    <xf numFmtId="0" fontId="63" fillId="0" borderId="0" applyNumberFormat="0" applyFill="0" applyBorder="0">
      <alignment horizontal="left" wrapText="1"/>
    </xf>
    <xf numFmtId="0" fontId="55" fillId="0" borderId="0" applyNumberFormat="0" applyFill="0" applyBorder="0">
      <alignment horizontal="left"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8" fillId="0" borderId="30"/>
    <xf numFmtId="0" fontId="18" fillId="0" borderId="30"/>
    <xf numFmtId="0" fontId="18" fillId="0" borderId="30"/>
    <xf numFmtId="0" fontId="11" fillId="0" borderId="30"/>
    <xf numFmtId="0" fontId="11" fillId="0" borderId="30"/>
    <xf numFmtId="0" fontId="104" fillId="0" borderId="0" applyNumberFormat="0" applyFill="0" applyBorder="0" applyProtection="0">
      <alignment horizontal="centerContinuous"/>
    </xf>
    <xf numFmtId="0" fontId="105" fillId="0" borderId="0" applyBorder="0" applyProtection="0">
      <alignment vertical="center"/>
    </xf>
    <xf numFmtId="0" fontId="105" fillId="0" borderId="31" applyBorder="0" applyProtection="0">
      <alignment horizontal="right" vertical="center"/>
    </xf>
    <xf numFmtId="0" fontId="106" fillId="51" borderId="0" applyBorder="0" applyProtection="0">
      <alignment horizontal="centerContinuous" vertical="center"/>
    </xf>
    <xf numFmtId="0" fontId="106" fillId="52" borderId="31" applyBorder="0" applyProtection="0">
      <alignment horizontal="centerContinuous" vertical="center"/>
    </xf>
    <xf numFmtId="0" fontId="107" fillId="0" borderId="0" applyFill="0" applyBorder="0" applyProtection="0">
      <alignment horizontal="left"/>
    </xf>
    <xf numFmtId="0" fontId="86" fillId="0" borderId="4" applyFill="0" applyBorder="0" applyProtection="0">
      <alignment horizontal="left" vertical="top"/>
    </xf>
    <xf numFmtId="0" fontId="108" fillId="53" borderId="0" applyNumberFormat="0" applyBorder="0" applyAlignment="0"/>
    <xf numFmtId="0" fontId="47" fillId="0" borderId="0" applyNumberFormat="0" applyFont="0" applyFill="0" applyBorder="0" applyProtection="0">
      <alignment horizontal="center" wrapText="1"/>
    </xf>
    <xf numFmtId="0" fontId="47" fillId="0" borderId="0" applyNumberFormat="0" applyFont="0" applyFill="0" applyBorder="0" applyProtection="0">
      <alignment horizontal="centerContinuous" vertical="center" wrapText="1"/>
    </xf>
    <xf numFmtId="0" fontId="47" fillId="0" borderId="0" applyNumberFormat="0" applyFont="0" applyFill="0" applyBorder="0" applyProtection="0">
      <alignment wrapText="1"/>
    </xf>
    <xf numFmtId="1" fontId="109" fillId="0" borderId="0" applyFill="0" applyBorder="0">
      <alignment horizontal="left"/>
    </xf>
    <xf numFmtId="0" fontId="110" fillId="0" borderId="0" applyNumberFormat="0" applyFill="0" applyBorder="0" applyAlignment="0" applyProtection="0"/>
    <xf numFmtId="0" fontId="140" fillId="0" borderId="0" applyNumberFormat="0" applyFill="0" applyBorder="0" applyAlignment="0" applyProtection="0"/>
    <xf numFmtId="0" fontId="27" fillId="0" borderId="0" applyNumberFormat="0" applyFill="0" applyBorder="0" applyAlignment="0" applyProtection="0"/>
    <xf numFmtId="190" fontId="25" fillId="0" borderId="0"/>
    <xf numFmtId="200" fontId="20" fillId="0" borderId="0" applyNumberFormat="0" applyFill="0" applyBorder="0" applyAlignment="0" applyProtection="0"/>
    <xf numFmtId="0" fontId="37" fillId="0" borderId="32" applyNumberFormat="0" applyFill="0" applyAlignment="0" applyProtection="0"/>
    <xf numFmtId="0" fontId="37" fillId="0" borderId="33" applyNumberFormat="0" applyFill="0" applyAlignment="0" applyProtection="0"/>
    <xf numFmtId="0" fontId="62" fillId="0" borderId="34" applyNumberFormat="0" applyFill="0" applyAlignment="0" applyProtection="0"/>
    <xf numFmtId="190" fontId="40" fillId="0" borderId="35"/>
    <xf numFmtId="235" fontId="50" fillId="0" borderId="36">
      <protection locked="0"/>
    </xf>
    <xf numFmtId="49" fontId="50" fillId="0" borderId="20">
      <alignment vertical="top"/>
      <protection locked="0"/>
    </xf>
    <xf numFmtId="237" fontId="50" fillId="0" borderId="36">
      <protection locked="0"/>
    </xf>
    <xf numFmtId="49" fontId="50" fillId="0" borderId="36">
      <protection locked="0"/>
    </xf>
    <xf numFmtId="37" fontId="41" fillId="32" borderId="0" applyNumberFormat="0" applyBorder="0" applyAlignment="0" applyProtection="0"/>
    <xf numFmtId="37" fontId="41" fillId="32" borderId="0" applyNumberFormat="0" applyBorder="0" applyAlignment="0" applyProtection="0"/>
    <xf numFmtId="37" fontId="41" fillId="0" borderId="0"/>
    <xf numFmtId="37" fontId="41" fillId="0" borderId="0"/>
    <xf numFmtId="37" fontId="41" fillId="0" borderId="0"/>
    <xf numFmtId="37" fontId="17" fillId="0" borderId="0"/>
    <xf numFmtId="3" fontId="111" fillId="0" borderId="19" applyProtection="0"/>
    <xf numFmtId="236" fontId="98" fillId="38" borderId="4" applyBorder="0">
      <alignment horizontal="right" vertical="center"/>
      <protection locked="0"/>
    </xf>
    <xf numFmtId="0" fontId="112" fillId="0" borderId="31">
      <alignment horizontal="centerContinuous" vertical="center"/>
    </xf>
    <xf numFmtId="0" fontId="113" fillId="0" borderId="0"/>
    <xf numFmtId="0" fontId="47" fillId="0" borderId="0" applyNumberFormat="0" applyFont="0" applyFill="0" applyBorder="0" applyProtection="0"/>
    <xf numFmtId="0" fontId="47" fillId="0" borderId="0" applyNumberFormat="0" applyFont="0" applyFill="0" applyBorder="0" applyProtection="0">
      <alignment vertical="center"/>
    </xf>
    <xf numFmtId="0" fontId="47" fillId="0" borderId="0" applyNumberFormat="0" applyFont="0" applyFill="0" applyBorder="0" applyProtection="0">
      <alignment vertical="top"/>
    </xf>
    <xf numFmtId="0" fontId="114" fillId="0" borderId="37" applyNumberFormat="0" applyAlignment="0"/>
    <xf numFmtId="0" fontId="35" fillId="0" borderId="0" applyNumberFormat="0" applyFill="0" applyBorder="0" applyAlignment="0" applyProtection="0"/>
    <xf numFmtId="0" fontId="20" fillId="0" borderId="0" applyNumberFormat="0" applyFill="0" applyBorder="0" applyAlignment="0" applyProtection="0"/>
    <xf numFmtId="0" fontId="18" fillId="16" borderId="0" applyNumberFormat="0" applyBorder="0" applyAlignment="0" applyProtection="0"/>
    <xf numFmtId="1" fontId="98" fillId="38" borderId="0">
      <alignment horizontal="center"/>
    </xf>
    <xf numFmtId="238" fontId="41" fillId="0" borderId="20" applyFont="0" applyFill="0" applyBorder="0" applyAlignment="0" applyProtection="0"/>
    <xf numFmtId="238" fontId="41" fillId="0" borderId="20" applyFont="0" applyFill="0" applyBorder="0" applyAlignment="0" applyProtection="0"/>
    <xf numFmtId="209" fontId="18"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6" fillId="54"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 fillId="0" borderId="0"/>
    <xf numFmtId="0" fontId="30" fillId="5" borderId="55" applyNumberFormat="0" applyAlignment="0" applyProtection="0"/>
    <xf numFmtId="0" fontId="38" fillId="29" borderId="0" applyNumberFormat="0" applyBorder="0" applyAlignment="0" applyProtection="0"/>
    <xf numFmtId="4" fontId="73" fillId="69" borderId="82" applyNumberFormat="0" applyProtection="0">
      <alignment horizontal="left" vertical="center" indent="1"/>
    </xf>
    <xf numFmtId="0" fontId="11" fillId="15" borderId="70" applyNumberFormat="0" applyProtection="0">
      <alignment horizontal="left" vertical="top" indent="1"/>
    </xf>
    <xf numFmtId="4" fontId="73" fillId="44" borderId="60" applyNumberFormat="0" applyProtection="0">
      <alignment horizontal="right" vertical="center"/>
    </xf>
    <xf numFmtId="0" fontId="38" fillId="29" borderId="0" applyNumberFormat="0" applyBorder="0" applyAlignment="0" applyProtection="0"/>
    <xf numFmtId="0" fontId="38" fillId="21" borderId="0" applyNumberFormat="0" applyBorder="0" applyAlignment="0" applyProtection="0"/>
    <xf numFmtId="0" fontId="66" fillId="0" borderId="64" applyNumberFormat="0" applyFill="0" applyAlignment="0" applyProtection="0"/>
    <xf numFmtId="9" fontId="11" fillId="0" borderId="0" applyFont="0" applyFill="0" applyBorder="0" applyAlignment="0" applyProtection="0"/>
    <xf numFmtId="0" fontId="129" fillId="72" borderId="82" applyNumberFormat="0" applyProtection="0">
      <alignment horizontal="left" vertical="center" indent="1"/>
    </xf>
    <xf numFmtId="0" fontId="11" fillId="0" borderId="0"/>
    <xf numFmtId="10" fontId="17" fillId="39" borderId="60" applyNumberFormat="0" applyBorder="0" applyAlignment="0" applyProtection="0"/>
    <xf numFmtId="0" fontId="38" fillId="29" borderId="0" applyNumberFormat="0" applyBorder="0" applyAlignment="0" applyProtection="0"/>
    <xf numFmtId="0" fontId="66" fillId="0" borderId="66" applyNumberFormat="0" applyFill="0" applyAlignment="0" applyProtection="0"/>
    <xf numFmtId="220" fontId="76" fillId="0" borderId="0">
      <protection locked="0"/>
    </xf>
    <xf numFmtId="6" fontId="82" fillId="0" borderId="0">
      <protection locked="0"/>
    </xf>
    <xf numFmtId="0" fontId="38" fillId="18" borderId="0" applyNumberFormat="0" applyBorder="0" applyAlignment="0" applyProtection="0"/>
    <xf numFmtId="0" fontId="38" fillId="21" borderId="0" applyNumberFormat="0" applyBorder="0" applyAlignment="0" applyProtection="0"/>
    <xf numFmtId="0" fontId="11" fillId="32" borderId="0" applyNumberFormat="0" applyFont="0" applyAlignment="0">
      <alignment vertical="top" wrapText="1"/>
    </xf>
    <xf numFmtId="4" fontId="73" fillId="69" borderId="70" applyNumberFormat="0" applyProtection="0">
      <alignment horizontal="right" vertical="center"/>
    </xf>
    <xf numFmtId="220" fontId="76" fillId="0" borderId="0">
      <protection locked="0"/>
    </xf>
    <xf numFmtId="6" fontId="82" fillId="0" borderId="0">
      <protection locked="0"/>
    </xf>
    <xf numFmtId="4" fontId="73" fillId="44" borderId="77" applyNumberFormat="0" applyProtection="0">
      <alignment horizontal="right" vertical="center"/>
    </xf>
    <xf numFmtId="0" fontId="11" fillId="0" borderId="0"/>
    <xf numFmtId="4" fontId="153" fillId="9" borderId="82" applyNumberFormat="0" applyProtection="0">
      <alignment vertical="center"/>
    </xf>
    <xf numFmtId="220" fontId="76" fillId="0" borderId="0">
      <protection locked="0"/>
    </xf>
    <xf numFmtId="9" fontId="11" fillId="0" borderId="0" applyFont="0" applyFill="0" applyBorder="0" applyAlignment="0" applyProtection="0"/>
    <xf numFmtId="4" fontId="73" fillId="23" borderId="82" applyNumberFormat="0" applyProtection="0">
      <alignment horizontal="right" vertical="center"/>
    </xf>
    <xf numFmtId="37" fontId="112" fillId="0" borderId="0" applyFill="0" applyBorder="0" applyAlignment="0" applyProtection="0"/>
    <xf numFmtId="6" fontId="82" fillId="0" borderId="0">
      <protection locked="0"/>
    </xf>
    <xf numFmtId="0" fontId="38" fillId="25" borderId="0" applyNumberFormat="0" applyBorder="0" applyAlignment="0" applyProtection="0"/>
    <xf numFmtId="0" fontId="11" fillId="0" borderId="0"/>
    <xf numFmtId="0" fontId="11" fillId="0" borderId="0"/>
    <xf numFmtId="195" fontId="17" fillId="0" borderId="0" applyFont="0" applyFill="0" applyBorder="0" applyAlignment="0" applyProtection="0"/>
    <xf numFmtId="0" fontId="11" fillId="22" borderId="70" applyNumberFormat="0" applyProtection="0">
      <alignment horizontal="left" vertical="center" indent="1"/>
    </xf>
    <xf numFmtId="0" fontId="66" fillId="0" borderId="64" applyNumberFormat="0" applyFill="0" applyAlignment="0" applyProtection="0"/>
    <xf numFmtId="0" fontId="38" fillId="25" borderId="0" applyNumberFormat="0" applyBorder="0" applyAlignment="0" applyProtection="0"/>
    <xf numFmtId="38" fontId="17" fillId="38" borderId="0" applyNumberFormat="0" applyBorder="0" applyAlignment="0" applyProtection="0"/>
    <xf numFmtId="0" fontId="73" fillId="69" borderId="70" applyNumberFormat="0" applyProtection="0">
      <alignment horizontal="left" vertical="top" indent="1"/>
    </xf>
    <xf numFmtId="0" fontId="11" fillId="22" borderId="82" applyNumberFormat="0" applyProtection="0">
      <alignment horizontal="left" vertical="center" indent="1"/>
    </xf>
    <xf numFmtId="0" fontId="73" fillId="9" borderId="82" applyNumberFormat="0" applyProtection="0">
      <alignment horizontal="left" vertical="top" indent="1"/>
    </xf>
    <xf numFmtId="49" fontId="50" fillId="0" borderId="63">
      <protection locked="0"/>
    </xf>
    <xf numFmtId="237" fontId="50" fillId="0" borderId="63">
      <protection locked="0"/>
    </xf>
    <xf numFmtId="235" fontId="50" fillId="0" borderId="63">
      <protection locked="0"/>
    </xf>
    <xf numFmtId="4" fontId="11" fillId="41" borderId="77" applyNumberFormat="0" applyProtection="0">
      <alignment vertical="center"/>
    </xf>
    <xf numFmtId="0" fontId="66" fillId="0" borderId="67" applyNumberFormat="0" applyFill="0" applyAlignment="0" applyProtection="0"/>
    <xf numFmtId="6" fontId="82" fillId="0" borderId="0">
      <protection locked="0"/>
    </xf>
    <xf numFmtId="0" fontId="38" fillId="24" borderId="0" applyNumberFormat="0" applyBorder="0" applyAlignment="0" applyProtection="0"/>
    <xf numFmtId="0" fontId="38" fillId="25" borderId="0" applyNumberFormat="0" applyBorder="0" applyAlignment="0" applyProtection="0"/>
    <xf numFmtId="0" fontId="30" fillId="5" borderId="5" applyNumberFormat="0" applyAlignment="0" applyProtection="0"/>
    <xf numFmtId="10" fontId="17" fillId="39" borderId="20" applyNumberFormat="0" applyBorder="0" applyAlignment="0" applyProtection="0"/>
    <xf numFmtId="10" fontId="17" fillId="39" borderId="0">
      <protection locked="0"/>
    </xf>
    <xf numFmtId="0" fontId="38" fillId="27" borderId="0" applyNumberFormat="0" applyBorder="0" applyAlignment="0" applyProtection="0"/>
    <xf numFmtId="0" fontId="38" fillId="21" borderId="0" applyNumberFormat="0" applyBorder="0" applyAlignment="0" applyProtection="0"/>
    <xf numFmtId="219" fontId="17" fillId="0" borderId="0" applyNumberFormat="0" applyFont="0" applyFill="0" applyBorder="0" applyAlignment="0">
      <protection hidden="1"/>
    </xf>
    <xf numFmtId="207" fontId="17" fillId="39" borderId="0">
      <alignment horizontal="center"/>
    </xf>
    <xf numFmtId="0" fontId="38" fillId="29" borderId="0" applyNumberFormat="0" applyBorder="0" applyAlignment="0" applyProtection="0"/>
    <xf numFmtId="6" fontId="82" fillId="0" borderId="0">
      <protection locked="0"/>
    </xf>
    <xf numFmtId="0" fontId="11" fillId="0" borderId="0"/>
    <xf numFmtId="0" fontId="11" fillId="0" borderId="0"/>
    <xf numFmtId="4" fontId="11" fillId="0" borderId="60" applyNumberFormat="0" applyProtection="0">
      <alignment horizontal="right" vertical="center"/>
    </xf>
    <xf numFmtId="0" fontId="38" fillId="27" borderId="0" applyNumberFormat="0" applyBorder="0" applyAlignment="0" applyProtection="0"/>
    <xf numFmtId="190" fontId="40" fillId="0" borderId="79"/>
    <xf numFmtId="0" fontId="38" fillId="29" borderId="0" applyNumberFormat="0" applyBorder="0" applyAlignment="0" applyProtection="0"/>
    <xf numFmtId="9" fontId="11" fillId="0" borderId="0" applyFont="0" applyFill="0" applyBorder="0" applyAlignment="0" applyProtection="0"/>
    <xf numFmtId="232" fontId="11" fillId="0" borderId="0">
      <protection hidden="1"/>
    </xf>
    <xf numFmtId="0" fontId="30" fillId="5" borderId="55" applyNumberFormat="0" applyAlignment="0" applyProtection="0"/>
    <xf numFmtId="9" fontId="11" fillId="0" borderId="0" applyFont="0" applyFill="0" applyBorder="0" applyAlignment="0" applyProtection="0"/>
    <xf numFmtId="0" fontId="38" fillId="29" borderId="0" applyNumberFormat="0" applyBorder="0" applyAlignment="0" applyProtection="0"/>
    <xf numFmtId="234" fontId="11" fillId="0" borderId="0"/>
    <xf numFmtId="0" fontId="66" fillId="0" borderId="69" applyNumberFormat="0" applyFill="0" applyAlignment="0" applyProtection="0"/>
    <xf numFmtId="4" fontId="20" fillId="72" borderId="70" applyNumberFormat="0" applyProtection="0">
      <alignment horizontal="right" vertical="center"/>
    </xf>
    <xf numFmtId="4" fontId="11" fillId="41" borderId="20" applyNumberFormat="0" applyProtection="0">
      <alignment vertical="center"/>
    </xf>
    <xf numFmtId="4" fontId="11" fillId="0" borderId="20" applyNumberFormat="0" applyProtection="0">
      <alignment horizontal="right" vertical="center"/>
    </xf>
    <xf numFmtId="9" fontId="11" fillId="0" borderId="0" applyFont="0" applyFill="0" applyBorder="0" applyAlignment="0" applyProtection="0"/>
    <xf numFmtId="4" fontId="11" fillId="45" borderId="0" applyNumberFormat="0" applyProtection="0">
      <alignment horizontal="left" vertical="center"/>
    </xf>
    <xf numFmtId="10" fontId="17" fillId="39" borderId="60" applyNumberFormat="0" applyBorder="0" applyAlignment="0" applyProtection="0"/>
    <xf numFmtId="0" fontId="30" fillId="5" borderId="55" applyNumberFormat="0" applyAlignment="0" applyProtection="0"/>
    <xf numFmtId="49" fontId="50" fillId="0" borderId="77">
      <alignment vertical="top"/>
      <protection locked="0"/>
    </xf>
    <xf numFmtId="238" fontId="17" fillId="0" borderId="77" applyFont="0" applyFill="0" applyBorder="0" applyAlignment="0" applyProtection="0"/>
    <xf numFmtId="0" fontId="11" fillId="69" borderId="82" applyNumberFormat="0" applyProtection="0">
      <alignment horizontal="left" vertical="top" indent="1"/>
    </xf>
    <xf numFmtId="6" fontId="82" fillId="0" borderId="0">
      <protection locked="0"/>
    </xf>
    <xf numFmtId="220" fontId="76" fillId="0" borderId="0">
      <protection locked="0"/>
    </xf>
    <xf numFmtId="4" fontId="74" fillId="0" borderId="54" applyFont="0" applyFill="0" applyBorder="0" applyAlignment="0">
      <alignment horizontal="center" vertical="center"/>
    </xf>
    <xf numFmtId="0" fontId="38" fillId="18" borderId="0" applyNumberFormat="0" applyBorder="0" applyAlignment="0" applyProtection="0"/>
    <xf numFmtId="0" fontId="38" fillId="25" borderId="0" applyNumberFormat="0" applyBorder="0" applyAlignment="0" applyProtection="0"/>
    <xf numFmtId="4" fontId="74" fillId="0" borderId="71" applyFont="0" applyFill="0" applyBorder="0" applyAlignment="0">
      <alignment horizontal="center" vertical="center"/>
    </xf>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4" fontId="151" fillId="2" borderId="82" applyNumberFormat="0" applyProtection="0">
      <alignment vertical="center"/>
    </xf>
    <xf numFmtId="0" fontId="143" fillId="0" borderId="0" applyNumberFormat="0" applyFont="0" applyFill="0" applyBorder="0" applyProtection="0">
      <alignment horizontal="center" wrapText="1"/>
    </xf>
    <xf numFmtId="0" fontId="11" fillId="15" borderId="82" applyNumberFormat="0" applyProtection="0">
      <alignment horizontal="left" vertical="center" indent="1"/>
    </xf>
    <xf numFmtId="37" fontId="17" fillId="32" borderId="0" applyNumberFormat="0" applyBorder="0" applyAlignment="0" applyProtection="0"/>
    <xf numFmtId="0" fontId="38" fillId="29" borderId="0" applyNumberFormat="0" applyBorder="0" applyAlignment="0" applyProtection="0"/>
    <xf numFmtId="0" fontId="11" fillId="0" borderId="0"/>
    <xf numFmtId="0" fontId="11" fillId="15" borderId="70" applyNumberFormat="0" applyProtection="0">
      <alignment horizontal="left" vertical="center" indent="1"/>
    </xf>
    <xf numFmtId="238" fontId="17" fillId="0" borderId="20" applyFont="0" applyFill="0" applyBorder="0" applyAlignment="0" applyProtection="0"/>
    <xf numFmtId="0" fontId="11" fillId="0" borderId="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4" fontId="11" fillId="0" borderId="60" applyNumberFormat="0" applyProtection="0">
      <alignment horizontal="right" vertical="center"/>
    </xf>
    <xf numFmtId="4" fontId="11" fillId="41" borderId="60" applyNumberFormat="0" applyProtection="0">
      <alignment vertical="center"/>
    </xf>
    <xf numFmtId="0" fontId="11" fillId="2" borderId="0" applyNumberFormat="0" applyFont="0" applyAlignment="0" applyProtection="0"/>
    <xf numFmtId="0" fontId="11" fillId="2" borderId="0" applyNumberFormat="0" applyFont="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Protection="0">
      <alignment horizontal="right"/>
    </xf>
    <xf numFmtId="217" fontId="11" fillId="0" borderId="0" applyFont="0" applyFill="0" applyBorder="0" applyProtection="0">
      <alignment horizontal="right"/>
    </xf>
    <xf numFmtId="0" fontId="11" fillId="0" borderId="0"/>
    <xf numFmtId="0" fontId="11" fillId="0" borderId="0"/>
    <xf numFmtId="0" fontId="38" fillId="21" borderId="0" applyNumberFormat="0" applyBorder="0" applyAlignment="0" applyProtection="0"/>
    <xf numFmtId="0" fontId="66" fillId="0" borderId="69" applyNumberFormat="0" applyFill="0" applyAlignment="0" applyProtection="0"/>
    <xf numFmtId="0" fontId="66" fillId="0" borderId="64" applyNumberFormat="0" applyFill="0" applyAlignment="0" applyProtection="0"/>
    <xf numFmtId="4" fontId="73" fillId="27" borderId="70" applyNumberFormat="0" applyProtection="0">
      <alignment horizontal="right" vertical="center"/>
    </xf>
    <xf numFmtId="0" fontId="11" fillId="9" borderId="56" applyNumberFormat="0" applyFont="0" applyAlignment="0" applyProtection="0"/>
    <xf numFmtId="0" fontId="11" fillId="9" borderId="73" applyNumberFormat="0" applyFont="0" applyAlignment="0" applyProtection="0"/>
    <xf numFmtId="0" fontId="38" fillId="29" borderId="0" applyNumberFormat="0" applyBorder="0" applyAlignment="0" applyProtection="0"/>
    <xf numFmtId="0" fontId="11" fillId="32" borderId="0" applyNumberFormat="0" applyFont="0" applyAlignment="0">
      <alignment vertical="top" wrapText="1"/>
    </xf>
    <xf numFmtId="0" fontId="11" fillId="0" borderId="0" applyNumberFormat="0" applyFill="0" applyBorder="0" applyAlignment="0"/>
    <xf numFmtId="0" fontId="11" fillId="0" borderId="0" applyNumberFormat="0" applyFill="0" applyBorder="0" applyAlignment="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8" fillId="27" borderId="0" applyNumberFormat="0" applyBorder="0" applyAlignment="0" applyProtection="0"/>
    <xf numFmtId="9" fontId="11" fillId="0" borderId="0" applyFont="0" applyFill="0" applyBorder="0" applyAlignment="0" applyProtection="0"/>
    <xf numFmtId="0" fontId="66" fillId="0" borderId="66" applyNumberFormat="0" applyFill="0" applyAlignment="0" applyProtection="0"/>
    <xf numFmtId="235" fontId="50" fillId="0" borderId="80">
      <protection locked="0"/>
    </xf>
    <xf numFmtId="0" fontId="11" fillId="69" borderId="70" applyNumberFormat="0" applyProtection="0">
      <alignment horizontal="left" vertical="top" indent="1"/>
    </xf>
    <xf numFmtId="0" fontId="11" fillId="69" borderId="70" applyNumberFormat="0" applyProtection="0">
      <alignment horizontal="left" vertical="center" indent="1"/>
    </xf>
    <xf numFmtId="0" fontId="38" fillId="21" borderId="0" applyNumberFormat="0" applyBorder="0" applyAlignment="0" applyProtection="0"/>
    <xf numFmtId="0" fontId="38" fillId="27" borderId="0" applyNumberFormat="0" applyBorder="0" applyAlignment="0" applyProtection="0"/>
    <xf numFmtId="0" fontId="66" fillId="0" borderId="81"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0" fontId="38" fillId="18" borderId="0" applyNumberFormat="0" applyBorder="0" applyAlignment="0" applyProtection="0"/>
    <xf numFmtId="195" fontId="17"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223" fontId="11" fillId="0" borderId="0">
      <protection locked="0"/>
    </xf>
    <xf numFmtId="223" fontId="11" fillId="0" borderId="0">
      <protection locked="0"/>
    </xf>
    <xf numFmtId="38" fontId="17" fillId="38" borderId="0" applyNumberFormat="0" applyBorder="0" applyAlignment="0" applyProtection="0"/>
    <xf numFmtId="225" fontId="11" fillId="0" borderId="0">
      <protection locked="0"/>
    </xf>
    <xf numFmtId="225" fontId="11" fillId="0" borderId="0">
      <protection locked="0"/>
    </xf>
    <xf numFmtId="225" fontId="11" fillId="0" borderId="0">
      <protection locked="0"/>
    </xf>
    <xf numFmtId="225" fontId="11" fillId="0" borderId="0">
      <protection locked="0"/>
    </xf>
    <xf numFmtId="10" fontId="17" fillId="39" borderId="20" applyNumberFormat="0" applyBorder="0" applyAlignment="0" applyProtection="0"/>
    <xf numFmtId="10" fontId="17" fillId="39" borderId="0">
      <protection locked="0"/>
    </xf>
    <xf numFmtId="219" fontId="17" fillId="0" borderId="0" applyNumberFormat="0" applyFont="0" applyFill="0" applyBorder="0" applyAlignment="0">
      <protection hidden="1"/>
    </xf>
    <xf numFmtId="207" fontId="17" fillId="39" borderId="0">
      <alignment horizontal="center"/>
    </xf>
    <xf numFmtId="0" fontId="11" fillId="0" borderId="0"/>
    <xf numFmtId="0" fontId="32" fillId="14" borderId="72" applyNumberFormat="0" applyAlignment="0" applyProtection="0"/>
    <xf numFmtId="0" fontId="11" fillId="0" borderId="0"/>
    <xf numFmtId="4" fontId="73" fillId="44" borderId="60" applyNumberFormat="0" applyProtection="0">
      <alignment horizontal="right" vertical="center"/>
    </xf>
    <xf numFmtId="4" fontId="11" fillId="41" borderId="60" applyNumberFormat="0" applyProtection="0">
      <alignment vertical="center"/>
    </xf>
    <xf numFmtId="4" fontId="99" fillId="0" borderId="61" applyBorder="0">
      <alignment horizontal="right" wrapText="1"/>
    </xf>
    <xf numFmtId="0" fontId="11" fillId="9" borderId="23" applyNumberFormat="0" applyFont="0" applyAlignment="0" applyProtection="0"/>
    <xf numFmtId="0" fontId="11" fillId="9" borderId="23" applyNumberFormat="0" applyFont="0" applyAlignment="0" applyProtection="0"/>
    <xf numFmtId="232" fontId="11" fillId="0" borderId="0">
      <protection hidden="1"/>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81" applyNumberFormat="0" applyFill="0" applyAlignment="0" applyProtection="0"/>
    <xf numFmtId="9" fontId="11" fillId="0" borderId="0" applyFont="0" applyFill="0" applyBorder="0" applyAlignment="0" applyProtection="0"/>
    <xf numFmtId="220" fontId="76" fillId="0" borderId="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9" borderId="70" applyNumberFormat="0" applyProtection="0">
      <alignment horizontal="left" vertical="top" indent="1"/>
    </xf>
    <xf numFmtId="10" fontId="17" fillId="39" borderId="77" applyNumberFormat="0" applyBorder="0" applyAlignment="0" applyProtection="0"/>
    <xf numFmtId="234" fontId="11" fillId="0" borderId="0"/>
    <xf numFmtId="4" fontId="11" fillId="41" borderId="20" applyNumberFormat="0" applyProtection="0">
      <alignment vertical="center"/>
    </xf>
    <xf numFmtId="4" fontId="11" fillId="0" borderId="20" applyNumberFormat="0" applyProtection="0">
      <alignment horizontal="right" vertical="center"/>
    </xf>
    <xf numFmtId="0" fontId="38" fillId="18" borderId="0" applyNumberFormat="0" applyBorder="0" applyAlignment="0" applyProtection="0"/>
    <xf numFmtId="4" fontId="11" fillId="45" borderId="0" applyNumberFormat="0" applyProtection="0">
      <alignment horizontal="left" vertical="center"/>
    </xf>
    <xf numFmtId="0" fontId="66" fillId="0" borderId="66" applyNumberFormat="0" applyFill="0" applyAlignment="0" applyProtection="0"/>
    <xf numFmtId="220" fontId="76" fillId="0" borderId="0">
      <protection locked="0"/>
    </xf>
    <xf numFmtId="0" fontId="11" fillId="72" borderId="70" applyNumberFormat="0" applyProtection="0">
      <alignment horizontal="left" vertical="top" indent="1"/>
    </xf>
    <xf numFmtId="6" fontId="82" fillId="0" borderId="0">
      <protection locked="0"/>
    </xf>
    <xf numFmtId="0" fontId="38" fillId="25" borderId="0" applyNumberFormat="0" applyBorder="0" applyAlignment="0" applyProtection="0"/>
    <xf numFmtId="0" fontId="11" fillId="9" borderId="73" applyNumberFormat="0" applyFont="0" applyAlignment="0" applyProtection="0"/>
    <xf numFmtId="220" fontId="76" fillId="0" borderId="0">
      <protection locked="0"/>
    </xf>
    <xf numFmtId="6" fontId="82" fillId="0" borderId="0">
      <protection locked="0"/>
    </xf>
    <xf numFmtId="4" fontId="101" fillId="2" borderId="82" applyNumberFormat="0" applyProtection="0">
      <alignment vertical="center"/>
    </xf>
    <xf numFmtId="0" fontId="11" fillId="72" borderId="82" applyNumberFormat="0" applyProtection="0">
      <alignment horizontal="left" vertical="top" indent="1"/>
    </xf>
    <xf numFmtId="0" fontId="66" fillId="0" borderId="81" applyNumberFormat="0" applyFill="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11" fillId="0" borderId="30"/>
    <xf numFmtId="0" fontId="11" fillId="0" borderId="30"/>
    <xf numFmtId="37" fontId="17" fillId="32" borderId="0" applyNumberFormat="0" applyBorder="0" applyAlignment="0" applyProtection="0"/>
    <xf numFmtId="37" fontId="17" fillId="0" borderId="0"/>
    <xf numFmtId="37" fontId="17" fillId="0" borderId="0"/>
    <xf numFmtId="238" fontId="17" fillId="0" borderId="2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1" fontId="11" fillId="0" borderId="0" applyFont="0" applyFill="0" applyBorder="0" applyAlignment="0" applyProtection="0"/>
    <xf numFmtId="220" fontId="76" fillId="0" borderId="0">
      <protection locked="0"/>
    </xf>
    <xf numFmtId="0" fontId="30" fillId="5" borderId="55" applyNumberFormat="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64" fillId="0" borderId="0" applyNumberFormat="0" applyFill="0" applyBorder="0" applyAlignment="0" applyProtection="0"/>
    <xf numFmtId="0" fontId="38" fillId="25" borderId="0" applyNumberFormat="0" applyBorder="0" applyAlignment="0" applyProtection="0"/>
    <xf numFmtId="0" fontId="65" fillId="0" borderId="0" applyNumberFormat="0" applyFill="0" applyBorder="0" applyProtection="0">
      <alignment vertical="top"/>
    </xf>
    <xf numFmtId="0" fontId="66" fillId="0" borderId="1" applyNumberFormat="0" applyFill="0" applyAlignment="0" applyProtection="0"/>
    <xf numFmtId="0" fontId="67" fillId="0" borderId="2" applyNumberFormat="0" applyFill="0" applyProtection="0">
      <alignment horizontal="center"/>
    </xf>
    <xf numFmtId="0" fontId="67" fillId="0" borderId="0" applyNumberFormat="0" applyFill="0" applyBorder="0" applyProtection="0">
      <alignment horizontal="left"/>
    </xf>
    <xf numFmtId="0" fontId="68" fillId="0" borderId="0" applyNumberFormat="0" applyFill="0" applyBorder="0" applyProtection="0">
      <alignment horizontal="centerContinuous"/>
    </xf>
    <xf numFmtId="220" fontId="76" fillId="0" borderId="0">
      <protection locked="0"/>
    </xf>
    <xf numFmtId="175" fontId="69" fillId="0" borderId="0" applyFont="0" applyFill="0" applyBorder="0" applyAlignment="0" applyProtection="0"/>
    <xf numFmtId="4" fontId="69" fillId="0" borderId="0" applyFont="0" applyFill="0" applyBorder="0" applyAlignment="0" applyProtection="0"/>
    <xf numFmtId="0" fontId="80" fillId="0" borderId="0"/>
    <xf numFmtId="0" fontId="81" fillId="0" borderId="0" applyFill="0" applyBorder="0" applyProtection="0"/>
    <xf numFmtId="221" fontId="76" fillId="0" borderId="0">
      <protection locked="0"/>
    </xf>
    <xf numFmtId="238" fontId="17" fillId="0" borderId="60" applyFont="0" applyFill="0" applyBorder="0" applyAlignment="0" applyProtection="0"/>
    <xf numFmtId="0" fontId="11" fillId="0" borderId="0"/>
    <xf numFmtId="9" fontId="11" fillId="0" borderId="0" applyFont="0" applyFill="0" applyBorder="0" applyAlignment="0" applyProtection="0"/>
    <xf numFmtId="37" fontId="93" fillId="0" borderId="0"/>
    <xf numFmtId="0" fontId="38" fillId="29" borderId="0" applyNumberFormat="0" applyBorder="0" applyAlignment="0" applyProtection="0"/>
    <xf numFmtId="233" fontId="76" fillId="0" borderId="0">
      <protection locked="0"/>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1" fontId="84" fillId="37" borderId="59" applyNumberFormat="0" applyBorder="0" applyAlignment="0">
      <alignment horizontal="centerContinuous" vertical="center"/>
      <protection locked="0"/>
    </xf>
    <xf numFmtId="0" fontId="11" fillId="72" borderId="70" applyNumberFormat="0" applyProtection="0">
      <alignment horizontal="left" vertical="center" indent="1"/>
    </xf>
    <xf numFmtId="0" fontId="129" fillId="72" borderId="70" applyNumberFormat="0" applyProtection="0">
      <alignment horizontal="left" vertical="center" indent="1"/>
    </xf>
    <xf numFmtId="49" fontId="50" fillId="0" borderId="80">
      <protection locked="0"/>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38" fillId="24" borderId="0" applyNumberFormat="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 fontId="17" fillId="0" borderId="0">
      <alignment horizontal="right"/>
    </xf>
    <xf numFmtId="16" fontId="17" fillId="0" borderId="0">
      <alignment horizontal="right"/>
    </xf>
    <xf numFmtId="16" fontId="17" fillId="0" borderId="0">
      <alignment horizontal="right"/>
    </xf>
    <xf numFmtId="16" fontId="17" fillId="0" borderId="0">
      <alignment horizontal="right"/>
    </xf>
    <xf numFmtId="15" fontId="17" fillId="0" borderId="0">
      <alignment horizontal="right"/>
    </xf>
    <xf numFmtId="15" fontId="17" fillId="0" borderId="0">
      <alignment horizontal="right"/>
    </xf>
    <xf numFmtId="15" fontId="17" fillId="0" borderId="0">
      <alignment horizontal="right"/>
    </xf>
    <xf numFmtId="15" fontId="17" fillId="0" borderId="0">
      <alignment horizontal="right"/>
    </xf>
    <xf numFmtId="0" fontId="12" fillId="0" borderId="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30" fillId="5" borderId="55"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45" fillId="0" borderId="0"/>
    <xf numFmtId="0" fontId="85" fillId="0" borderId="0" applyFont="0" applyBorder="0">
      <alignment horizontal="right"/>
    </xf>
    <xf numFmtId="0" fontId="39" fillId="56" borderId="0" applyNumberFormat="0" applyBorder="0" applyAlignment="0" applyProtection="0"/>
    <xf numFmtId="0" fontId="39" fillId="57"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9" fillId="41" borderId="0" applyNumberFormat="0" applyBorder="0" applyAlignment="0" applyProtection="0"/>
    <xf numFmtId="0" fontId="39" fillId="62" borderId="0" applyNumberFormat="0" applyBorder="0" applyAlignment="0" applyProtection="0"/>
    <xf numFmtId="0" fontId="38" fillId="63"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8" fillId="63"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8" fillId="57" borderId="0" applyNumberFormat="0" applyBorder="0" applyAlignment="0" applyProtection="0"/>
    <xf numFmtId="0" fontId="39" fillId="64" borderId="0" applyNumberFormat="0" applyBorder="0" applyAlignment="0" applyProtection="0"/>
    <xf numFmtId="0" fontId="39" fillId="60" borderId="0" applyNumberFormat="0" applyBorder="0" applyAlignment="0" applyProtection="0"/>
    <xf numFmtId="0" fontId="38" fillId="65" borderId="0" applyNumberFormat="0" applyBorder="0" applyAlignment="0" applyProtection="0"/>
    <xf numFmtId="0" fontId="147" fillId="0" borderId="51">
      <alignment horizontal="center"/>
    </xf>
    <xf numFmtId="43" fontId="146"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0" fontId="11" fillId="0" borderId="0"/>
    <xf numFmtId="43" fontId="15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46"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85" fillId="0" borderId="0"/>
    <xf numFmtId="0" fontId="150" fillId="0" borderId="0" applyNumberFormat="0" applyFill="0" applyBorder="0" applyAlignment="0" applyProtection="0">
      <alignment vertical="top"/>
      <protection locked="0"/>
    </xf>
    <xf numFmtId="0" fontId="50" fillId="0" borderId="0" applyNumberFormat="0" applyFill="0" applyAlignment="0" applyProtection="0">
      <alignment vertical="top"/>
      <protection locked="0"/>
    </xf>
    <xf numFmtId="0" fontId="145" fillId="0" borderId="0"/>
    <xf numFmtId="0" fontId="145" fillId="0" borderId="0"/>
    <xf numFmtId="0" fontId="145" fillId="0" borderId="0"/>
    <xf numFmtId="0" fontId="146" fillId="0" borderId="0"/>
    <xf numFmtId="0" fontId="146" fillId="0" borderId="0"/>
    <xf numFmtId="0" fontId="146" fillId="0" borderId="0"/>
    <xf numFmtId="247" fontId="11" fillId="0" borderId="0"/>
    <xf numFmtId="0" fontId="148" fillId="0" borderId="0"/>
    <xf numFmtId="0" fontId="73" fillId="0" borderId="0"/>
    <xf numFmtId="0" fontId="146" fillId="0" borderId="0"/>
    <xf numFmtId="0" fontId="145" fillId="0" borderId="0"/>
    <xf numFmtId="0" fontId="12" fillId="0" borderId="0"/>
    <xf numFmtId="0" fontId="144" fillId="0" borderId="0"/>
    <xf numFmtId="0" fontId="146" fillId="0" borderId="0"/>
    <xf numFmtId="0" fontId="11" fillId="0" borderId="0"/>
    <xf numFmtId="0" fontId="146" fillId="0" borderId="0"/>
    <xf numFmtId="0" fontId="12"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73" fillId="55" borderId="49" applyNumberFormat="0" applyFont="0" applyAlignment="0" applyProtection="0"/>
    <xf numFmtId="0" fontId="12" fillId="0" borderId="0" applyFill="0" applyBorder="0" applyProtection="0">
      <alignment horizontal="centerContinuous"/>
    </xf>
    <xf numFmtId="248" fontId="85" fillId="0" borderId="0"/>
    <xf numFmtId="9" fontId="73" fillId="0" borderId="0" applyFont="0" applyFill="0" applyBorder="0" applyAlignment="0" applyProtection="0"/>
    <xf numFmtId="9" fontId="146"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10" fontId="11" fillId="0" borderId="0" applyFont="0" applyFill="0" applyBorder="0" applyAlignment="0" applyProtection="0"/>
    <xf numFmtId="0" fontId="20" fillId="0" borderId="0" applyNumberFormat="0" applyFill="0" applyBorder="0" applyAlignment="0" applyProtection="0"/>
    <xf numFmtId="4" fontId="101" fillId="2" borderId="52" applyNumberFormat="0" applyProtection="0">
      <alignment vertical="center"/>
    </xf>
    <xf numFmtId="4" fontId="151" fillId="2" borderId="52" applyNumberFormat="0" applyProtection="0">
      <alignment vertical="center"/>
    </xf>
    <xf numFmtId="4" fontId="101" fillId="2" borderId="52" applyNumberFormat="0" applyProtection="0">
      <alignment horizontal="left" vertical="center" indent="1"/>
    </xf>
    <xf numFmtId="0" fontId="101" fillId="2" borderId="52" applyNumberFormat="0" applyProtection="0">
      <alignment horizontal="left" vertical="top" indent="1"/>
    </xf>
    <xf numFmtId="4" fontId="101" fillId="69" borderId="0" applyNumberFormat="0" applyProtection="0">
      <alignment horizontal="left" vertical="center" indent="1"/>
    </xf>
    <xf numFmtId="4" fontId="73" fillId="7" borderId="52" applyNumberFormat="0" applyProtection="0">
      <alignment horizontal="right" vertical="center"/>
    </xf>
    <xf numFmtId="4" fontId="73" fillId="8" borderId="52" applyNumberFormat="0" applyProtection="0">
      <alignment horizontal="right" vertical="center"/>
    </xf>
    <xf numFmtId="4" fontId="73" fillId="25" borderId="52" applyNumberFormat="0" applyProtection="0">
      <alignment horizontal="right" vertical="center"/>
    </xf>
    <xf numFmtId="4" fontId="73" fillId="17" borderId="52" applyNumberFormat="0" applyProtection="0">
      <alignment horizontal="right" vertical="center"/>
    </xf>
    <xf numFmtId="4" fontId="73" fillId="23" borderId="52" applyNumberFormat="0" applyProtection="0">
      <alignment horizontal="right" vertical="center"/>
    </xf>
    <xf numFmtId="4" fontId="73" fillId="29" borderId="52" applyNumberFormat="0" applyProtection="0">
      <alignment horizontal="right" vertical="center"/>
    </xf>
    <xf numFmtId="4" fontId="73" fillId="27" borderId="52" applyNumberFormat="0" applyProtection="0">
      <alignment horizontal="right" vertical="center"/>
    </xf>
    <xf numFmtId="4" fontId="73" fillId="70" borderId="52" applyNumberFormat="0" applyProtection="0">
      <alignment horizontal="right" vertical="center"/>
    </xf>
    <xf numFmtId="4" fontId="73" fillId="16" borderId="52" applyNumberFormat="0" applyProtection="0">
      <alignment horizontal="right" vertical="center"/>
    </xf>
    <xf numFmtId="4" fontId="101" fillId="71" borderId="53" applyNumberFormat="0" applyProtection="0">
      <alignment horizontal="left" vertical="center" indent="1"/>
    </xf>
    <xf numFmtId="4" fontId="73" fillId="72" borderId="0" applyNumberFormat="0" applyProtection="0">
      <alignment horizontal="left" vertical="center" indent="1"/>
    </xf>
    <xf numFmtId="4" fontId="152" fillId="22" borderId="0" applyNumberFormat="0" applyProtection="0">
      <alignment horizontal="left" vertical="center" indent="1"/>
    </xf>
    <xf numFmtId="4" fontId="73" fillId="69" borderId="52" applyNumberFormat="0" applyProtection="0">
      <alignment horizontal="right" vertical="center"/>
    </xf>
    <xf numFmtId="4" fontId="73" fillId="72" borderId="0" applyNumberFormat="0" applyProtection="0">
      <alignment horizontal="left" vertical="center" indent="1"/>
    </xf>
    <xf numFmtId="4" fontId="73" fillId="69" borderId="0"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top" indent="1"/>
    </xf>
    <xf numFmtId="0" fontId="11" fillId="69" borderId="52" applyNumberFormat="0" applyProtection="0">
      <alignment horizontal="left" vertical="center" indent="1"/>
    </xf>
    <xf numFmtId="0" fontId="11" fillId="69" borderId="52" applyNumberFormat="0" applyProtection="0">
      <alignment horizontal="left" vertical="center" indent="1"/>
    </xf>
    <xf numFmtId="0" fontId="11" fillId="69" borderId="52" applyNumberFormat="0" applyProtection="0">
      <alignment horizontal="left" vertical="top" indent="1"/>
    </xf>
    <xf numFmtId="0" fontId="11" fillId="15" borderId="52" applyNumberFormat="0" applyProtection="0">
      <alignment horizontal="left" vertical="center" indent="1"/>
    </xf>
    <xf numFmtId="0" fontId="11" fillId="15" borderId="52" applyNumberFormat="0" applyProtection="0">
      <alignment horizontal="left" vertical="center" indent="1"/>
    </xf>
    <xf numFmtId="0" fontId="11" fillId="15" borderId="52" applyNumberFormat="0" applyProtection="0">
      <alignment horizontal="left" vertical="top"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29" fillId="72" borderId="52" applyNumberFormat="0" applyProtection="0">
      <alignment horizontal="left" vertical="center" indent="1"/>
    </xf>
    <xf numFmtId="0" fontId="11" fillId="72" borderId="52" applyNumberFormat="0" applyProtection="0">
      <alignment horizontal="left" vertical="top" indent="1"/>
    </xf>
    <xf numFmtId="0" fontId="11" fillId="3" borderId="20" applyNumberFormat="0">
      <protection locked="0"/>
    </xf>
    <xf numFmtId="4" fontId="73" fillId="9" borderId="52" applyNumberFormat="0" applyProtection="0">
      <alignment vertical="center"/>
    </xf>
    <xf numFmtId="4" fontId="153" fillId="9" borderId="52" applyNumberFormat="0" applyProtection="0">
      <alignment vertical="center"/>
    </xf>
    <xf numFmtId="4" fontId="73" fillId="9" borderId="52" applyNumberFormat="0" applyProtection="0">
      <alignment horizontal="left" vertical="center" indent="1"/>
    </xf>
    <xf numFmtId="0" fontId="73" fillId="9" borderId="52" applyNumberFormat="0" applyProtection="0">
      <alignment horizontal="left" vertical="top" indent="1"/>
    </xf>
    <xf numFmtId="4" fontId="73" fillId="72" borderId="52" applyNumberFormat="0" applyProtection="0">
      <alignment horizontal="right" vertical="center"/>
    </xf>
    <xf numFmtId="4" fontId="153" fillId="72" borderId="52" applyNumberFormat="0" applyProtection="0">
      <alignment horizontal="right" vertical="center"/>
    </xf>
    <xf numFmtId="4" fontId="73" fillId="69" borderId="52" applyNumberFormat="0" applyProtection="0">
      <alignment horizontal="left" vertical="center" indent="1"/>
    </xf>
    <xf numFmtId="0" fontId="73" fillId="69" borderId="52" applyNumberFormat="0" applyProtection="0">
      <alignment horizontal="left" vertical="top" indent="1"/>
    </xf>
    <xf numFmtId="4" fontId="154" fillId="73" borderId="0" applyNumberFormat="0" applyProtection="0">
      <alignment horizontal="left" vertical="center" indent="1"/>
    </xf>
    <xf numFmtId="4" fontId="20" fillId="72" borderId="52" applyNumberFormat="0" applyProtection="0">
      <alignment horizontal="right" vertical="center"/>
    </xf>
    <xf numFmtId="0" fontId="27" fillId="0" borderId="0" applyNumberFormat="0" applyFill="0" applyBorder="0" applyAlignment="0" applyProtection="0"/>
    <xf numFmtId="0" fontId="155" fillId="0" borderId="0"/>
    <xf numFmtId="0" fontId="13" fillId="0" borderId="0">
      <alignment horizontal="centerContinuous"/>
    </xf>
    <xf numFmtId="0" fontId="13" fillId="0" borderId="0" applyFill="0" applyBorder="0" applyProtection="0">
      <alignment horizontal="centerContinuous" wrapText="1"/>
    </xf>
    <xf numFmtId="249" fontId="85" fillId="0" borderId="0"/>
    <xf numFmtId="250" fontId="85" fillId="0" borderId="0"/>
    <xf numFmtId="0" fontId="156" fillId="0" borderId="0" applyNumberFormat="0" applyFill="0" applyBorder="0" applyAlignment="0" applyProtection="0"/>
    <xf numFmtId="0" fontId="157" fillId="0" borderId="0" applyNumberFormat="0" applyFont="0" applyFill="0" applyBorder="0" applyAlignment="0"/>
    <xf numFmtId="251" fontId="85" fillId="0" borderId="0"/>
    <xf numFmtId="43" fontId="146" fillId="0" borderId="0" applyFont="0" applyFill="0" applyBorder="0" applyAlignment="0" applyProtection="0"/>
    <xf numFmtId="9" fontId="73" fillId="0" borderId="0" applyFont="0" applyFill="0" applyBorder="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8" fillId="27" borderId="0" applyNumberFormat="0" applyBorder="0" applyAlignment="0" applyProtection="0"/>
    <xf numFmtId="0" fontId="30" fillId="5" borderId="55" applyNumberFormat="0" applyAlignment="0" applyProtection="0"/>
    <xf numFmtId="220" fontId="76" fillId="0" borderId="0">
      <protection locked="0"/>
    </xf>
    <xf numFmtId="6" fontId="82" fillId="0" borderId="0">
      <protection locked="0"/>
    </xf>
    <xf numFmtId="0" fontId="32" fillId="14" borderId="55" applyNumberFormat="0" applyAlignment="0" applyProtection="0"/>
    <xf numFmtId="0" fontId="89" fillId="0" borderId="13" applyNumberFormat="0" applyFill="0" applyAlignment="0" applyProtection="0"/>
    <xf numFmtId="0" fontId="90" fillId="0" borderId="15" applyNumberFormat="0" applyFill="0" applyAlignment="0" applyProtection="0"/>
    <xf numFmtId="49" fontId="50" fillId="0" borderId="60">
      <alignment vertical="top"/>
      <protection locked="0"/>
    </xf>
    <xf numFmtId="190" fontId="40" fillId="0" borderId="62"/>
    <xf numFmtId="0" fontId="30" fillId="5" borderId="55" applyNumberFormat="0" applyAlignment="0" applyProtection="0"/>
    <xf numFmtId="0" fontId="38" fillId="18" borderId="0" applyNumberFormat="0" applyBorder="0" applyAlignment="0" applyProtection="0"/>
    <xf numFmtId="0" fontId="11" fillId="9" borderId="56" applyNumberFormat="0" applyFont="0" applyAlignment="0" applyProtection="0"/>
    <xf numFmtId="0" fontId="31" fillId="14" borderId="57" applyNumberFormat="0" applyAlignment="0" applyProtection="0"/>
    <xf numFmtId="0" fontId="37" fillId="0" borderId="58" applyNumberFormat="0" applyFill="0" applyAlignment="0" applyProtection="0"/>
    <xf numFmtId="0" fontId="30" fillId="5" borderId="55" applyNumberFormat="0" applyAlignment="0" applyProtection="0"/>
    <xf numFmtId="9" fontId="11" fillId="0" borderId="0" applyFont="0" applyFill="0" applyBorder="0" applyAlignment="0" applyProtection="0"/>
    <xf numFmtId="0" fontId="38" fillId="27" borderId="0" applyNumberFormat="0" applyBorder="0" applyAlignment="0" applyProtection="0"/>
    <xf numFmtId="6" fontId="82" fillId="0" borderId="0">
      <protection locked="0"/>
    </xf>
    <xf numFmtId="4" fontId="151" fillId="2" borderId="70" applyNumberFormat="0" applyProtection="0">
      <alignment vertical="center"/>
    </xf>
    <xf numFmtId="0" fontId="38" fillId="21" borderId="0" applyNumberFormat="0" applyBorder="0" applyAlignment="0" applyProtection="0"/>
    <xf numFmtId="220" fontId="76" fillId="0" borderId="0">
      <protection locked="0"/>
    </xf>
    <xf numFmtId="4" fontId="73" fillId="69" borderId="70" applyNumberFormat="0" applyProtection="0">
      <alignment horizontal="left" vertical="center" indent="1"/>
    </xf>
    <xf numFmtId="4" fontId="73" fillId="29" borderId="82" applyNumberFormat="0" applyProtection="0">
      <alignment horizontal="right" vertical="center"/>
    </xf>
    <xf numFmtId="0" fontId="38" fillId="27" borderId="0" applyNumberFormat="0" applyBorder="0" applyAlignment="0" applyProtection="0"/>
    <xf numFmtId="238" fontId="17" fillId="0" borderId="60" applyFont="0" applyFill="0" applyBorder="0" applyAlignment="0" applyProtection="0"/>
    <xf numFmtId="4" fontId="20" fillId="72" borderId="82" applyNumberFormat="0" applyProtection="0">
      <alignment horizontal="right" vertical="center"/>
    </xf>
    <xf numFmtId="4" fontId="73" fillId="7" borderId="70" applyNumberFormat="0" applyProtection="0">
      <alignment horizontal="right" vertical="center"/>
    </xf>
    <xf numFmtId="220" fontId="76" fillId="0" borderId="0">
      <protection locked="0"/>
    </xf>
    <xf numFmtId="0" fontId="11" fillId="72" borderId="82" applyNumberFormat="0" applyProtection="0">
      <alignment horizontal="left" vertical="center" indent="1"/>
    </xf>
    <xf numFmtId="0" fontId="38" fillId="29" borderId="0" applyNumberFormat="0" applyBorder="0" applyAlignment="0" applyProtection="0"/>
    <xf numFmtId="0" fontId="30" fillId="5" borderId="55" applyNumberFormat="0" applyAlignment="0" applyProtection="0"/>
    <xf numFmtId="0" fontId="38" fillId="29" borderId="0" applyNumberFormat="0" applyBorder="0" applyAlignment="0" applyProtection="0"/>
    <xf numFmtId="0" fontId="38" fillId="27" borderId="0" applyNumberFormat="0" applyBorder="0" applyAlignment="0" applyProtection="0"/>
    <xf numFmtId="9" fontId="11" fillId="0" borderId="0" applyFont="0" applyFill="0" applyBorder="0" applyAlignment="0" applyProtection="0"/>
    <xf numFmtId="4" fontId="73" fillId="16" borderId="82" applyNumberFormat="0" applyProtection="0">
      <alignment horizontal="right" vertical="center"/>
    </xf>
    <xf numFmtId="0" fontId="11" fillId="15" borderId="70" applyNumberFormat="0" applyProtection="0">
      <alignment horizontal="left" vertical="center" indent="1"/>
    </xf>
    <xf numFmtId="1" fontId="84" fillId="37" borderId="76" applyNumberFormat="0" applyBorder="0" applyAlignment="0">
      <alignment horizontal="centerContinuous" vertical="center"/>
      <protection locked="0"/>
    </xf>
    <xf numFmtId="0" fontId="66" fillId="0" borderId="68" applyNumberFormat="0" applyFill="0" applyAlignment="0" applyProtection="0"/>
    <xf numFmtId="0" fontId="11" fillId="69" borderId="82" applyNumberFormat="0" applyProtection="0">
      <alignment horizontal="left" vertical="center" indent="1"/>
    </xf>
    <xf numFmtId="0" fontId="66" fillId="0" borderId="68" applyNumberFormat="0" applyFill="0" applyAlignment="0" applyProtection="0"/>
    <xf numFmtId="0" fontId="11" fillId="9" borderId="56" applyNumberFormat="0" applyFont="0" applyAlignment="0" applyProtection="0"/>
    <xf numFmtId="0" fontId="38" fillId="27" borderId="0" applyNumberFormat="0" applyBorder="0" applyAlignment="0" applyProtection="0"/>
    <xf numFmtId="4" fontId="73" fillId="9" borderId="70" applyNumberFormat="0" applyProtection="0">
      <alignment vertical="center"/>
    </xf>
    <xf numFmtId="4" fontId="101" fillId="2" borderId="70" applyNumberFormat="0" applyProtection="0">
      <alignment vertical="center"/>
    </xf>
    <xf numFmtId="220" fontId="76" fillId="0" borderId="0">
      <protection locked="0"/>
    </xf>
    <xf numFmtId="0" fontId="66" fillId="0" borderId="65" applyNumberFormat="0" applyFill="0" applyAlignment="0" applyProtection="0"/>
    <xf numFmtId="0" fontId="66" fillId="0" borderId="67" applyNumberFormat="0" applyFill="0" applyAlignment="0" applyProtection="0"/>
    <xf numFmtId="4" fontId="73" fillId="16" borderId="70" applyNumberFormat="0" applyProtection="0">
      <alignment horizontal="right" vertical="center"/>
    </xf>
    <xf numFmtId="0" fontId="11" fillId="9" borderId="73" applyNumberFormat="0" applyFont="0" applyAlignment="0" applyProtection="0"/>
    <xf numFmtId="0" fontId="38" fillId="25" borderId="0" applyNumberFormat="0" applyBorder="0" applyAlignment="0" applyProtection="0"/>
    <xf numFmtId="0" fontId="11" fillId="0" borderId="0"/>
    <xf numFmtId="4" fontId="73" fillId="69" borderId="82" applyNumberFormat="0" applyProtection="0">
      <alignment horizontal="right" vertical="center"/>
    </xf>
    <xf numFmtId="0" fontId="66" fillId="0" borderId="64" applyNumberFormat="0" applyFill="0" applyAlignment="0" applyProtection="0"/>
    <xf numFmtId="0" fontId="38" fillId="18" borderId="0" applyNumberFormat="0" applyBorder="0" applyAlignment="0" applyProtection="0"/>
    <xf numFmtId="4" fontId="73" fillId="8" borderId="70" applyNumberFormat="0" applyProtection="0">
      <alignment horizontal="right" vertical="center"/>
    </xf>
    <xf numFmtId="0" fontId="66" fillId="0" borderId="65" applyNumberFormat="0" applyFill="0" applyAlignment="0" applyProtection="0"/>
    <xf numFmtId="220" fontId="76" fillId="0" borderId="0">
      <protection locked="0"/>
    </xf>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9" fontId="11" fillId="0" borderId="0" applyFont="0" applyFill="0" applyBorder="0" applyAlignment="0" applyProtection="0"/>
    <xf numFmtId="220" fontId="76" fillId="0" borderId="0">
      <protection locked="0"/>
    </xf>
    <xf numFmtId="0" fontId="38" fillId="18" borderId="0" applyNumberFormat="0" applyBorder="0" applyAlignment="0" applyProtection="0"/>
    <xf numFmtId="0" fontId="38" fillId="27" borderId="0" applyNumberFormat="0" applyBorder="0" applyAlignment="0" applyProtection="0"/>
    <xf numFmtId="0" fontId="30" fillId="5" borderId="55" applyNumberFormat="0" applyAlignment="0" applyProtection="0"/>
    <xf numFmtId="0" fontId="38" fillId="27" borderId="0" applyNumberFormat="0" applyBorder="0" applyAlignment="0" applyProtection="0"/>
    <xf numFmtId="0" fontId="66" fillId="0" borderId="65" applyNumberFormat="0" applyFill="0" applyAlignment="0" applyProtection="0"/>
    <xf numFmtId="6" fontId="82" fillId="0" borderId="0">
      <protection locked="0"/>
    </xf>
    <xf numFmtId="9" fontId="11" fillId="0" borderId="0" applyFont="0" applyFill="0" applyBorder="0" applyAlignment="0" applyProtection="0"/>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0" fontId="66" fillId="0" borderId="69" applyNumberFormat="0" applyFill="0" applyAlignment="0" applyProtection="0"/>
    <xf numFmtId="0" fontId="11" fillId="15" borderId="82" applyNumberFormat="0" applyProtection="0">
      <alignment horizontal="left" vertical="top" indent="1"/>
    </xf>
    <xf numFmtId="0" fontId="38" fillId="18" borderId="0" applyNumberFormat="0" applyBorder="0" applyAlignment="0" applyProtection="0"/>
    <xf numFmtId="4" fontId="73" fillId="17" borderId="82" applyNumberFormat="0" applyProtection="0">
      <alignment horizontal="right" vertical="center"/>
    </xf>
    <xf numFmtId="4" fontId="73" fillId="29" borderId="70" applyNumberFormat="0" applyProtection="0">
      <alignment horizontal="right" vertical="center"/>
    </xf>
    <xf numFmtId="0" fontId="38" fillId="18" borderId="0" applyNumberFormat="0" applyBorder="0" applyAlignment="0" applyProtection="0"/>
    <xf numFmtId="6" fontId="82" fillId="0" borderId="0">
      <protection locked="0"/>
    </xf>
    <xf numFmtId="4" fontId="73" fillId="70" borderId="82" applyNumberFormat="0" applyProtection="0">
      <alignment horizontal="right" vertical="center"/>
    </xf>
    <xf numFmtId="0" fontId="30" fillId="5" borderId="55" applyNumberFormat="0" applyAlignment="0" applyProtection="0"/>
    <xf numFmtId="0" fontId="30" fillId="5" borderId="72" applyNumberFormat="0" applyAlignment="0" applyProtection="0"/>
    <xf numFmtId="220" fontId="76" fillId="0" borderId="0">
      <protection locked="0"/>
    </xf>
    <xf numFmtId="0" fontId="38" fillId="24" borderId="0" applyNumberFormat="0" applyBorder="0" applyAlignment="0" applyProtection="0"/>
    <xf numFmtId="238" fontId="17" fillId="0" borderId="77" applyFont="0" applyFill="0" applyBorder="0" applyAlignment="0" applyProtection="0"/>
    <xf numFmtId="4" fontId="73" fillId="72" borderId="82" applyNumberFormat="0" applyProtection="0">
      <alignment horizontal="right" vertical="center"/>
    </xf>
    <xf numFmtId="0" fontId="11" fillId="72" borderId="82" applyNumberFormat="0" applyProtection="0">
      <alignment horizontal="left" vertical="center" indent="1"/>
    </xf>
    <xf numFmtId="4" fontId="73" fillId="7" borderId="82" applyNumberFormat="0" applyProtection="0">
      <alignment horizontal="right" vertical="center"/>
    </xf>
    <xf numFmtId="0" fontId="38" fillId="29" borderId="0" applyNumberFormat="0" applyBorder="0" applyAlignment="0" applyProtection="0"/>
    <xf numFmtId="4" fontId="73" fillId="44" borderId="77" applyNumberFormat="0" applyProtection="0">
      <alignment horizontal="right" vertical="center"/>
    </xf>
    <xf numFmtId="6" fontId="82" fillId="0" borderId="0">
      <protection locked="0"/>
    </xf>
    <xf numFmtId="0" fontId="11" fillId="22" borderId="82" applyNumberFormat="0" applyProtection="0">
      <alignment horizontal="left" vertical="top" indent="1"/>
    </xf>
    <xf numFmtId="4" fontId="153" fillId="72" borderId="82" applyNumberFormat="0" applyProtection="0">
      <alignment horizontal="right" vertical="center"/>
    </xf>
    <xf numFmtId="6" fontId="82" fillId="0" borderId="0">
      <protection locked="0"/>
    </xf>
    <xf numFmtId="0" fontId="11" fillId="9" borderId="73" applyNumberFormat="0" applyFont="0" applyAlignment="0" applyProtection="0"/>
    <xf numFmtId="0" fontId="38" fillId="18" borderId="0" applyNumberFormat="0" applyBorder="0" applyAlignment="0" applyProtection="0"/>
    <xf numFmtId="0" fontId="11" fillId="72" borderId="82" applyNumberFormat="0" applyProtection="0">
      <alignment horizontal="left" vertical="center" indent="1"/>
    </xf>
    <xf numFmtId="0" fontId="66" fillId="0" borderId="66" applyNumberFormat="0" applyFill="0" applyAlignment="0" applyProtection="0"/>
    <xf numFmtId="0" fontId="38" fillId="27" borderId="0" applyNumberFormat="0" applyBorder="0" applyAlignment="0" applyProtection="0"/>
    <xf numFmtId="0" fontId="30" fillId="5" borderId="55" applyNumberFormat="0" applyAlignment="0" applyProtection="0"/>
    <xf numFmtId="6" fontId="82" fillId="0" borderId="0">
      <protection locked="0"/>
    </xf>
    <xf numFmtId="0" fontId="11" fillId="72" borderId="70" applyNumberFormat="0" applyProtection="0">
      <alignment horizontal="left" vertical="center" indent="1"/>
    </xf>
    <xf numFmtId="4" fontId="153" fillId="72" borderId="70" applyNumberFormat="0" applyProtection="0">
      <alignment horizontal="right" vertical="center"/>
    </xf>
    <xf numFmtId="9" fontId="11" fillId="0" borderId="0" applyFont="0" applyFill="0" applyBorder="0" applyAlignment="0" applyProtection="0"/>
    <xf numFmtId="0" fontId="11" fillId="9" borderId="73" applyNumberFormat="0" applyFont="0" applyAlignment="0" applyProtection="0"/>
    <xf numFmtId="0" fontId="38" fillId="27" borderId="0" applyNumberFormat="0" applyBorder="0" applyAlignment="0" applyProtection="0"/>
    <xf numFmtId="0" fontId="38" fillId="25" borderId="0" applyNumberFormat="0" applyBorder="0" applyAlignment="0" applyProtection="0"/>
    <xf numFmtId="4" fontId="11" fillId="41" borderId="77" applyNumberFormat="0" applyProtection="0">
      <alignment vertical="center"/>
    </xf>
    <xf numFmtId="0" fontId="66" fillId="0" borderId="68" applyNumberFormat="0" applyFill="0" applyAlignment="0" applyProtection="0"/>
    <xf numFmtId="0" fontId="11" fillId="0" borderId="0"/>
    <xf numFmtId="0" fontId="73" fillId="69" borderId="82" applyNumberFormat="0" applyProtection="0">
      <alignment horizontal="left" vertical="top" indent="1"/>
    </xf>
    <xf numFmtId="4" fontId="73" fillId="23" borderId="70" applyNumberFormat="0" applyProtection="0">
      <alignment horizontal="right" vertical="center"/>
    </xf>
    <xf numFmtId="9" fontId="11" fillId="0" borderId="0" applyFont="0" applyFill="0" applyBorder="0" applyAlignment="0" applyProtection="0"/>
    <xf numFmtId="0" fontId="66" fillId="0" borderId="81" applyNumberFormat="0" applyFill="0" applyAlignment="0" applyProtection="0"/>
    <xf numFmtId="0" fontId="11" fillId="3" borderId="60" applyNumberFormat="0">
      <protection locked="0"/>
    </xf>
    <xf numFmtId="4" fontId="73" fillId="25" borderId="82" applyNumberFormat="0" applyProtection="0">
      <alignment horizontal="right" vertical="center"/>
    </xf>
    <xf numFmtId="0" fontId="30" fillId="5" borderId="55" applyNumberFormat="0" applyAlignment="0" applyProtection="0"/>
    <xf numFmtId="4" fontId="11" fillId="0" borderId="77" applyNumberFormat="0" applyProtection="0">
      <alignment horizontal="right" vertical="center"/>
    </xf>
    <xf numFmtId="0" fontId="11" fillId="15" borderId="82" applyNumberFormat="0" applyProtection="0">
      <alignment horizontal="left" vertical="center" indent="1"/>
    </xf>
    <xf numFmtId="4" fontId="73" fillId="72" borderId="70" applyNumberFormat="0" applyProtection="0">
      <alignment horizontal="right" vertical="center"/>
    </xf>
    <xf numFmtId="0" fontId="66" fillId="0" borderId="65" applyNumberFormat="0" applyFill="0" applyAlignment="0" applyProtection="0"/>
    <xf numFmtId="0" fontId="38" fillId="18" borderId="0" applyNumberFormat="0" applyBorder="0" applyAlignment="0" applyProtection="0"/>
    <xf numFmtId="4" fontId="101" fillId="2" borderId="82" applyNumberFormat="0" applyProtection="0">
      <alignment horizontal="left" vertical="center" indent="1"/>
    </xf>
    <xf numFmtId="0" fontId="11" fillId="9" borderId="73" applyNumberFormat="0" applyFont="0" applyAlignment="0" applyProtection="0"/>
    <xf numFmtId="0" fontId="11" fillId="0" borderId="0"/>
    <xf numFmtId="0" fontId="11" fillId="9" borderId="73" applyNumberFormat="0" applyFont="0" applyAlignment="0" applyProtection="0"/>
    <xf numFmtId="0" fontId="11" fillId="22" borderId="70" applyNumberFormat="0" applyProtection="0">
      <alignment horizontal="left" vertical="top" indent="1"/>
    </xf>
    <xf numFmtId="4" fontId="73" fillId="25" borderId="70" applyNumberFormat="0" applyProtection="0">
      <alignment horizontal="right" vertical="center"/>
    </xf>
    <xf numFmtId="4" fontId="73" fillId="9" borderId="70" applyNumberFormat="0" applyProtection="0">
      <alignment horizontal="left" vertical="center" indent="1"/>
    </xf>
    <xf numFmtId="0" fontId="11" fillId="69" borderId="70" applyNumberFormat="0" applyProtection="0">
      <alignment horizontal="left" vertical="center" indent="1"/>
    </xf>
    <xf numFmtId="10" fontId="17" fillId="39" borderId="77"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9" fontId="11" fillId="0" borderId="0" applyFont="0" applyFill="0" applyBorder="0" applyAlignment="0" applyProtection="0"/>
    <xf numFmtId="0" fontId="38" fillId="29" borderId="0" applyNumberFormat="0" applyBorder="0" applyAlignment="0" applyProtection="0"/>
    <xf numFmtId="9" fontId="11" fillId="0" borderId="0" applyFont="0" applyFill="0" applyBorder="0" applyAlignment="0" applyProtection="0"/>
    <xf numFmtId="0" fontId="38" fillId="21" borderId="0" applyNumberFormat="0" applyBorder="0" applyAlignment="0" applyProtection="0"/>
    <xf numFmtId="0" fontId="66" fillId="0" borderId="67" applyNumberFormat="0" applyFill="0" applyAlignment="0" applyProtection="0"/>
    <xf numFmtId="4" fontId="101" fillId="2" borderId="70" applyNumberFormat="0" applyProtection="0">
      <alignment horizontal="left" vertical="center" indent="1"/>
    </xf>
    <xf numFmtId="0" fontId="38" fillId="18" borderId="0" applyNumberFormat="0" applyBorder="0" applyAlignment="0" applyProtection="0"/>
    <xf numFmtId="0" fontId="11" fillId="9" borderId="73" applyNumberFormat="0" applyFont="0" applyAlignment="0" applyProtection="0"/>
    <xf numFmtId="0" fontId="38" fillId="18" borderId="0" applyNumberFormat="0" applyBorder="0" applyAlignment="0" applyProtection="0"/>
    <xf numFmtId="0" fontId="11" fillId="22" borderId="82" applyNumberFormat="0" applyProtection="0">
      <alignment horizontal="left" vertical="center" indent="1"/>
    </xf>
    <xf numFmtId="237" fontId="50" fillId="0" borderId="80">
      <protection locked="0"/>
    </xf>
    <xf numFmtId="4" fontId="73" fillId="70" borderId="70" applyNumberFormat="0" applyProtection="0">
      <alignment horizontal="right" vertical="center"/>
    </xf>
    <xf numFmtId="0" fontId="11" fillId="0" borderId="0"/>
    <xf numFmtId="0" fontId="38" fillId="24" borderId="0" applyNumberFormat="0" applyBorder="0" applyAlignment="0" applyProtection="0"/>
    <xf numFmtId="0" fontId="38" fillId="25" borderId="0" applyNumberFormat="0" applyBorder="0" applyAlignment="0" applyProtection="0"/>
    <xf numFmtId="0" fontId="11" fillId="9" borderId="73" applyNumberFormat="0" applyFont="0" applyAlignment="0" applyProtection="0"/>
    <xf numFmtId="0" fontId="101" fillId="2" borderId="82" applyNumberFormat="0" applyProtection="0">
      <alignment horizontal="left" vertical="top" indent="1"/>
    </xf>
    <xf numFmtId="0" fontId="66" fillId="0" borderId="67"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 fontId="73" fillId="9" borderId="82" applyNumberFormat="0" applyProtection="0">
      <alignment vertical="center"/>
    </xf>
    <xf numFmtId="0" fontId="66" fillId="0" borderId="6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4" fontId="73" fillId="8" borderId="82" applyNumberFormat="0" applyProtection="0">
      <alignment horizontal="right" vertical="center"/>
    </xf>
    <xf numFmtId="0" fontId="38" fillId="24" borderId="0" applyNumberFormat="0" applyBorder="0" applyAlignment="0" applyProtection="0"/>
    <xf numFmtId="4" fontId="73" fillId="27" borderId="82" applyNumberFormat="0" applyProtection="0">
      <alignment horizontal="right" vertical="center"/>
    </xf>
    <xf numFmtId="0" fontId="38" fillId="25" borderId="0" applyNumberFormat="0" applyBorder="0" applyAlignment="0" applyProtection="0"/>
    <xf numFmtId="0" fontId="11" fillId="9" borderId="73" applyNumberFormat="0" applyFont="0" applyAlignment="0" applyProtection="0"/>
    <xf numFmtId="4" fontId="73" fillId="9" borderId="82" applyNumberFormat="0" applyProtection="0">
      <alignment horizontal="left" vertical="center" indent="1"/>
    </xf>
    <xf numFmtId="0" fontId="66" fillId="0" borderId="69" applyNumberFormat="0" applyFill="0" applyAlignment="0" applyProtection="0"/>
    <xf numFmtId="4" fontId="99" fillId="0" borderId="78" applyBorder="0">
      <alignment horizontal="right" wrapText="1"/>
    </xf>
    <xf numFmtId="0" fontId="38" fillId="24" borderId="0" applyNumberFormat="0" applyBorder="0" applyAlignment="0" applyProtection="0"/>
    <xf numFmtId="0" fontId="38" fillId="25" borderId="0" applyNumberFormat="0" applyBorder="0" applyAlignment="0" applyProtection="0"/>
    <xf numFmtId="4" fontId="153" fillId="9" borderId="70" applyNumberFormat="0" applyProtection="0">
      <alignment vertical="center"/>
    </xf>
    <xf numFmtId="0" fontId="38" fillId="24" borderId="0" applyNumberFormat="0" applyBorder="0" applyAlignment="0" applyProtection="0"/>
    <xf numFmtId="0" fontId="38" fillId="24" borderId="0" applyNumberFormat="0" applyBorder="0" applyAlignment="0" applyProtection="0"/>
    <xf numFmtId="0" fontId="11" fillId="22" borderId="70" applyNumberFormat="0" applyProtection="0">
      <alignment horizontal="left" vertical="center" indent="1"/>
    </xf>
    <xf numFmtId="0" fontId="30" fillId="5" borderId="72" applyNumberFormat="0" applyAlignment="0" applyProtection="0"/>
    <xf numFmtId="4" fontId="73" fillId="17" borderId="70" applyNumberFormat="0" applyProtection="0">
      <alignment horizontal="right" vertical="center"/>
    </xf>
    <xf numFmtId="0" fontId="101" fillId="2" borderId="70" applyNumberFormat="0" applyProtection="0">
      <alignment horizontal="left" vertical="top" indent="1"/>
    </xf>
    <xf numFmtId="0" fontId="38" fillId="24" borderId="0" applyNumberFormat="0" applyBorder="0" applyAlignment="0" applyProtection="0"/>
    <xf numFmtId="0" fontId="11" fillId="9" borderId="73" applyNumberFormat="0" applyFont="0" applyAlignment="0" applyProtection="0"/>
    <xf numFmtId="0" fontId="38" fillId="24" borderId="0" applyNumberFormat="0" applyBorder="0" applyAlignment="0" applyProtection="0"/>
    <xf numFmtId="0" fontId="11" fillId="69" borderId="82" applyNumberFormat="0" applyProtection="0">
      <alignment horizontal="left" vertical="center" indent="1"/>
    </xf>
    <xf numFmtId="0" fontId="11" fillId="72" borderId="70" applyNumberFormat="0" applyProtection="0">
      <alignment horizontal="left" vertical="center" indent="1"/>
    </xf>
    <xf numFmtId="0" fontId="11" fillId="9" borderId="73" applyNumberFormat="0" applyFont="0" applyAlignment="0" applyProtection="0"/>
    <xf numFmtId="0" fontId="11" fillId="9" borderId="73" applyNumberFormat="0" applyFont="0" applyAlignment="0" applyProtection="0"/>
    <xf numFmtId="0" fontId="38" fillId="24" borderId="0" applyNumberFormat="0" applyBorder="0" applyAlignment="0" applyProtection="0"/>
    <xf numFmtId="4" fontId="11" fillId="0" borderId="77" applyNumberFormat="0" applyProtection="0">
      <alignment horizontal="right" vertical="center"/>
    </xf>
    <xf numFmtId="0" fontId="30" fillId="5" borderId="72" applyNumberFormat="0" applyAlignment="0" applyProtection="0"/>
    <xf numFmtId="0" fontId="11" fillId="9" borderId="73" applyNumberFormat="0" applyFont="0" applyAlignment="0" applyProtection="0"/>
    <xf numFmtId="0" fontId="31" fillId="14" borderId="74" applyNumberFormat="0" applyAlignment="0" applyProtection="0"/>
    <xf numFmtId="0" fontId="37" fillId="0" borderId="75" applyNumberFormat="0" applyFill="0" applyAlignment="0" applyProtection="0"/>
    <xf numFmtId="0" fontId="11" fillId="3" borderId="77" applyNumberFormat="0">
      <protection locked="0"/>
    </xf>
    <xf numFmtId="0" fontId="32" fillId="14" borderId="83" applyNumberFormat="0" applyAlignment="0" applyProtection="0"/>
    <xf numFmtId="0" fontId="30" fillId="5" borderId="83" applyNumberFormat="0" applyAlignment="0" applyProtection="0"/>
    <xf numFmtId="0" fontId="11" fillId="9" borderId="84" applyNumberFormat="0" applyFont="0" applyAlignment="0" applyProtection="0"/>
    <xf numFmtId="0" fontId="31" fillId="14" borderId="85" applyNumberFormat="0" applyAlignment="0" applyProtection="0"/>
    <xf numFmtId="0" fontId="37" fillId="0" borderId="86" applyNumberFormat="0" applyFill="0" applyAlignment="0" applyProtection="0"/>
    <xf numFmtId="0" fontId="11" fillId="0" borderId="0"/>
    <xf numFmtId="0" fontId="11" fillId="9" borderId="108" applyNumberFormat="0" applyFont="0" applyAlignment="0" applyProtection="0"/>
    <xf numFmtId="4" fontId="73" fillId="72" borderId="94" applyNumberFormat="0" applyProtection="0">
      <alignment horizontal="right" vertical="center"/>
    </xf>
    <xf numFmtId="4" fontId="73" fillId="9" borderId="94" applyNumberFormat="0" applyProtection="0">
      <alignment vertical="center"/>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center" indent="1"/>
    </xf>
    <xf numFmtId="4" fontId="73" fillId="27" borderId="94" applyNumberFormat="0" applyProtection="0">
      <alignment horizontal="right" vertical="center"/>
    </xf>
    <xf numFmtId="4" fontId="73" fillId="25" borderId="94" applyNumberFormat="0" applyProtection="0">
      <alignment horizontal="right" vertical="center"/>
    </xf>
    <xf numFmtId="0" fontId="101" fillId="2" borderId="94" applyNumberFormat="0" applyProtection="0">
      <alignment horizontal="left" vertical="top" indent="1"/>
    </xf>
    <xf numFmtId="0" fontId="38" fillId="18" borderId="0" applyNumberFormat="0" applyBorder="0" applyAlignment="0" applyProtection="0"/>
    <xf numFmtId="4" fontId="74" fillId="0" borderId="106" applyFont="0" applyFill="0" applyBorder="0" applyAlignment="0">
      <alignment horizontal="center" vertical="center"/>
    </xf>
    <xf numFmtId="10" fontId="17" fillId="39" borderId="112" applyNumberFormat="0" applyBorder="0" applyAlignment="0" applyProtection="0"/>
    <xf numFmtId="0" fontId="30" fillId="5" borderId="96" applyNumberFormat="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11" fillId="9" borderId="108" applyNumberFormat="0" applyFont="0" applyAlignment="0" applyProtection="0"/>
    <xf numFmtId="0" fontId="11" fillId="9" borderId="89" applyNumberFormat="0" applyFont="0" applyAlignment="0" applyProtection="0"/>
    <xf numFmtId="220" fontId="76" fillId="0" borderId="0">
      <protection locked="0"/>
    </xf>
    <xf numFmtId="1" fontId="84" fillId="37" borderId="100" applyNumberFormat="0" applyBorder="0" applyAlignment="0">
      <alignment horizontal="centerContinuous" vertical="center"/>
      <protection locked="0"/>
    </xf>
    <xf numFmtId="0" fontId="11" fillId="9" borderId="89" applyNumberFormat="0" applyFont="0" applyAlignment="0" applyProtection="0"/>
    <xf numFmtId="6" fontId="82" fillId="0" borderId="0">
      <protection locked="0"/>
    </xf>
    <xf numFmtId="0" fontId="38" fillId="25" borderId="0" applyNumberFormat="0" applyBorder="0" applyAlignment="0" applyProtection="0"/>
    <xf numFmtId="0" fontId="38" fillId="25" borderId="0" applyNumberFormat="0" applyBorder="0" applyAlignment="0" applyProtection="0"/>
    <xf numFmtId="0" fontId="11" fillId="9" borderId="108" applyNumberFormat="0" applyFont="0" applyAlignment="0" applyProtection="0"/>
    <xf numFmtId="0" fontId="38" fillId="29" borderId="0" applyNumberFormat="0" applyBorder="0" applyAlignment="0" applyProtection="0"/>
    <xf numFmtId="0" fontId="30" fillId="5" borderId="83" applyNumberFormat="0" applyAlignment="0" applyProtection="0"/>
    <xf numFmtId="0" fontId="66" fillId="0" borderId="118" applyNumberFormat="0" applyFill="0" applyAlignment="0" applyProtection="0"/>
    <xf numFmtId="0" fontId="11" fillId="0" borderId="0"/>
    <xf numFmtId="9" fontId="11" fillId="0" borderId="0" applyFont="0" applyFill="0" applyBorder="0" applyAlignment="0" applyProtection="0"/>
    <xf numFmtId="0" fontId="11" fillId="9" borderId="89" applyNumberFormat="0" applyFont="0" applyAlignment="0" applyProtection="0"/>
    <xf numFmtId="0" fontId="38" fillId="29" borderId="0" applyNumberFormat="0" applyBorder="0" applyAlignment="0" applyProtection="0"/>
    <xf numFmtId="0" fontId="38" fillId="25" borderId="0" applyNumberFormat="0" applyBorder="0" applyAlignment="0" applyProtection="0"/>
    <xf numFmtId="0" fontId="38" fillId="21" borderId="0" applyNumberFormat="0" applyBorder="0" applyAlignment="0" applyProtection="0"/>
    <xf numFmtId="6" fontId="82" fillId="0" borderId="0">
      <protection locked="0"/>
    </xf>
    <xf numFmtId="0" fontId="11" fillId="9" borderId="97" applyNumberFormat="0" applyFont="0" applyAlignment="0" applyProtection="0"/>
    <xf numFmtId="9" fontId="11" fillId="0" borderId="0" applyFont="0" applyFill="0" applyBorder="0" applyAlignment="0" applyProtection="0"/>
    <xf numFmtId="4" fontId="73" fillId="44" borderId="112" applyNumberFormat="0" applyProtection="0">
      <alignment horizontal="right" vertical="center"/>
    </xf>
    <xf numFmtId="49" fontId="50" fillId="0" borderId="93">
      <protection locked="0"/>
    </xf>
    <xf numFmtId="235" fontId="50" fillId="0" borderId="93">
      <protection locked="0"/>
    </xf>
    <xf numFmtId="0" fontId="11" fillId="9" borderId="108" applyNumberFormat="0" applyFont="0" applyAlignment="0" applyProtection="0"/>
    <xf numFmtId="0" fontId="38" fillId="25" borderId="0" applyNumberFormat="0" applyBorder="0" applyAlignment="0" applyProtection="0"/>
    <xf numFmtId="238" fontId="17" fillId="0" borderId="112" applyFont="0" applyFill="0" applyBorder="0" applyAlignment="0" applyProtection="0"/>
    <xf numFmtId="4" fontId="99" fillId="0" borderId="113" applyBorder="0">
      <alignment horizontal="right" wrapText="1"/>
    </xf>
    <xf numFmtId="0" fontId="38" fillId="25" borderId="0" applyNumberFormat="0" applyBorder="0" applyAlignment="0" applyProtection="0"/>
    <xf numFmtId="220" fontId="76" fillId="0" borderId="0">
      <protection locked="0"/>
    </xf>
    <xf numFmtId="10" fontId="17" fillId="39" borderId="101" applyNumberFormat="0" applyBorder="0" applyAlignment="0" applyProtection="0"/>
    <xf numFmtId="6" fontId="82" fillId="0" borderId="0">
      <protection locked="0"/>
    </xf>
    <xf numFmtId="6" fontId="82" fillId="0" borderId="0">
      <protection locked="0"/>
    </xf>
    <xf numFmtId="220" fontId="76" fillId="0" borderId="0">
      <protection locked="0"/>
    </xf>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38" fillId="18"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66" fillId="0" borderId="116" applyNumberFormat="0" applyFill="0" applyAlignment="0" applyProtection="0"/>
    <xf numFmtId="0" fontId="38" fillId="27" borderId="0" applyNumberFormat="0" applyBorder="0" applyAlignment="0" applyProtection="0"/>
    <xf numFmtId="220" fontId="76" fillId="0" borderId="0">
      <protection locked="0"/>
    </xf>
    <xf numFmtId="0" fontId="38" fillId="27" borderId="0" applyNumberFormat="0" applyBorder="0" applyAlignment="0" applyProtection="0"/>
    <xf numFmtId="0" fontId="11" fillId="9" borderId="108" applyNumberFormat="0" applyFont="0" applyAlignment="0" applyProtection="0"/>
    <xf numFmtId="6" fontId="82" fillId="0" borderId="0">
      <protection locked="0"/>
    </xf>
    <xf numFmtId="0" fontId="30" fillId="5" borderId="107" applyNumberFormat="0" applyAlignment="0" applyProtection="0"/>
    <xf numFmtId="0" fontId="38" fillId="25" borderId="0" applyNumberFormat="0" applyBorder="0" applyAlignment="0" applyProtection="0"/>
    <xf numFmtId="0" fontId="11" fillId="0" borderId="0"/>
    <xf numFmtId="0" fontId="73" fillId="69" borderId="94" applyNumberFormat="0" applyProtection="0">
      <alignment horizontal="left" vertical="top" indent="1"/>
    </xf>
    <xf numFmtId="4" fontId="73" fillId="69" borderId="94" applyNumberFormat="0" applyProtection="0">
      <alignment horizontal="left" vertical="center" indent="1"/>
    </xf>
    <xf numFmtId="0" fontId="73" fillId="9" borderId="94" applyNumberFormat="0" applyProtection="0">
      <alignment horizontal="left" vertical="top" indent="1"/>
    </xf>
    <xf numFmtId="4" fontId="73" fillId="9" borderId="94" applyNumberFormat="0" applyProtection="0">
      <alignment horizontal="left" vertical="center" indent="1"/>
    </xf>
    <xf numFmtId="0" fontId="11" fillId="72" borderId="94" applyNumberFormat="0" applyProtection="0">
      <alignment horizontal="left" vertical="top" indent="1"/>
    </xf>
    <xf numFmtId="0" fontId="11" fillId="72" borderId="94" applyNumberFormat="0" applyProtection="0">
      <alignment horizontal="left" vertical="center" indent="1"/>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top" indent="1"/>
    </xf>
    <xf numFmtId="0" fontId="11" fillId="22" borderId="94" applyNumberFormat="0" applyProtection="0">
      <alignment horizontal="left" vertical="top" indent="1"/>
    </xf>
    <xf numFmtId="0" fontId="11" fillId="22" borderId="94" applyNumberFormat="0" applyProtection="0">
      <alignment horizontal="left" vertical="center" indent="1"/>
    </xf>
    <xf numFmtId="4" fontId="73" fillId="69" borderId="94" applyNumberFormat="0" applyProtection="0">
      <alignment horizontal="right" vertical="center"/>
    </xf>
    <xf numFmtId="9" fontId="11" fillId="0" borderId="0" applyFont="0" applyFill="0" applyBorder="0" applyAlignment="0" applyProtection="0"/>
    <xf numFmtId="4" fontId="73" fillId="16" borderId="94" applyNumberFormat="0" applyProtection="0">
      <alignment horizontal="right" vertical="center"/>
    </xf>
    <xf numFmtId="4" fontId="73" fillId="29" borderId="94" applyNumberFormat="0" applyProtection="0">
      <alignment horizontal="right" vertical="center"/>
    </xf>
    <xf numFmtId="4" fontId="73" fillId="23" borderId="94" applyNumberFormat="0" applyProtection="0">
      <alignment horizontal="right" vertical="center"/>
    </xf>
    <xf numFmtId="4" fontId="73" fillId="8" borderId="94" applyNumberFormat="0" applyProtection="0">
      <alignment horizontal="right" vertical="center"/>
    </xf>
    <xf numFmtId="4" fontId="73" fillId="7" borderId="94" applyNumberFormat="0" applyProtection="0">
      <alignment horizontal="right" vertical="center"/>
    </xf>
    <xf numFmtId="4" fontId="101" fillId="2" borderId="94" applyNumberFormat="0" applyProtection="0">
      <alignment horizontal="left" vertical="center" indent="1"/>
    </xf>
    <xf numFmtId="4" fontId="151" fillId="2" borderId="94" applyNumberFormat="0" applyProtection="0">
      <alignment vertical="center"/>
    </xf>
    <xf numFmtId="4" fontId="73" fillId="44" borderId="112" applyNumberFormat="0" applyProtection="0">
      <alignment horizontal="right" vertical="center"/>
    </xf>
    <xf numFmtId="0" fontId="38" fillId="18" borderId="0" applyNumberFormat="0" applyBorder="0" applyAlignment="0" applyProtection="0"/>
    <xf numFmtId="0" fontId="38" fillId="27" borderId="0" applyNumberFormat="0" applyBorder="0" applyAlignment="0" applyProtection="0"/>
    <xf numFmtId="6" fontId="82" fillId="0" borderId="0">
      <protection locked="0"/>
    </xf>
    <xf numFmtId="0" fontId="38" fillId="21"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11" fillId="9" borderId="89" applyNumberFormat="0" applyFont="0" applyAlignment="0" applyProtection="0"/>
    <xf numFmtId="238" fontId="17" fillId="0" borderId="101" applyFont="0" applyFill="0" applyBorder="0" applyAlignment="0" applyProtection="0"/>
    <xf numFmtId="190" fontId="40" fillId="0" borderId="103"/>
    <xf numFmtId="10" fontId="17" fillId="39" borderId="112" applyNumberFormat="0" applyBorder="0" applyAlignment="0" applyProtection="0"/>
    <xf numFmtId="10" fontId="17" fillId="39" borderId="101" applyNumberFormat="0" applyBorder="0" applyAlignment="0" applyProtection="0"/>
    <xf numFmtId="4" fontId="73" fillId="44" borderId="101" applyNumberFormat="0" applyProtection="0">
      <alignment horizontal="right" vertical="center"/>
    </xf>
    <xf numFmtId="220" fontId="76" fillId="0" borderId="0">
      <protection locked="0"/>
    </xf>
    <xf numFmtId="0" fontId="11" fillId="0" borderId="0"/>
    <xf numFmtId="0" fontId="66" fillId="0" borderId="116" applyNumberFormat="0" applyFill="0" applyAlignment="0" applyProtection="0"/>
    <xf numFmtId="6" fontId="82" fillId="0" borderId="0">
      <protection locked="0"/>
    </xf>
    <xf numFmtId="0" fontId="11" fillId="9" borderId="108" applyNumberFormat="0" applyFont="0" applyAlignment="0" applyProtection="0"/>
    <xf numFmtId="0" fontId="38" fillId="18" borderId="0" applyNumberFormat="0" applyBorder="0" applyAlignment="0" applyProtection="0"/>
    <xf numFmtId="0" fontId="11" fillId="9" borderId="84" applyNumberFormat="0" applyFont="0" applyAlignment="0" applyProtection="0"/>
    <xf numFmtId="4" fontId="11" fillId="41" borderId="112" applyNumberFormat="0" applyProtection="0">
      <alignment vertical="center"/>
    </xf>
    <xf numFmtId="0" fontId="30" fillId="5" borderId="107" applyNumberFormat="0" applyAlignment="0" applyProtection="0"/>
    <xf numFmtId="6" fontId="82" fillId="0" borderId="0">
      <protection locked="0"/>
    </xf>
    <xf numFmtId="6" fontId="82" fillId="0" borderId="0">
      <protection locked="0"/>
    </xf>
    <xf numFmtId="237" fontId="50" fillId="0" borderId="93">
      <protection locked="0"/>
    </xf>
    <xf numFmtId="0" fontId="38" fillId="21" borderId="0" applyNumberFormat="0" applyBorder="0" applyAlignment="0" applyProtection="0"/>
    <xf numFmtId="9" fontId="11" fillId="0" borderId="0" applyFont="0" applyFill="0" applyBorder="0" applyAlignment="0" applyProtection="0"/>
    <xf numFmtId="0" fontId="11" fillId="0" borderId="0"/>
    <xf numFmtId="4" fontId="11" fillId="0" borderId="101" applyNumberFormat="0" applyProtection="0">
      <alignment horizontal="right" vertical="center"/>
    </xf>
    <xf numFmtId="4" fontId="73" fillId="44" borderId="101" applyNumberFormat="0" applyProtection="0">
      <alignment horizontal="right" vertical="center"/>
    </xf>
    <xf numFmtId="0" fontId="38" fillId="21" borderId="0" applyNumberFormat="0" applyBorder="0" applyAlignment="0" applyProtection="0"/>
    <xf numFmtId="4" fontId="11" fillId="41" borderId="112" applyNumberFormat="0" applyProtection="0">
      <alignment vertical="center"/>
    </xf>
    <xf numFmtId="0" fontId="11" fillId="9" borderId="89" applyNumberFormat="0" applyFont="0" applyAlignment="0" applyProtection="0"/>
    <xf numFmtId="0" fontId="66" fillId="0" borderId="105" applyNumberFormat="0" applyFill="0" applyAlignment="0" applyProtection="0"/>
    <xf numFmtId="0" fontId="11" fillId="9" borderId="89" applyNumberFormat="0" applyFont="0" applyAlignment="0" applyProtection="0"/>
    <xf numFmtId="4" fontId="153" fillId="72" borderId="94" applyNumberFormat="0" applyProtection="0">
      <alignment horizontal="right" vertical="center"/>
    </xf>
    <xf numFmtId="4" fontId="153" fillId="9" borderId="94" applyNumberFormat="0" applyProtection="0">
      <alignment vertical="center"/>
    </xf>
    <xf numFmtId="0" fontId="129" fillId="72" borderId="94" applyNumberFormat="0" applyProtection="0">
      <alignment horizontal="left" vertical="center" indent="1"/>
    </xf>
    <xf numFmtId="0" fontId="11" fillId="15" borderId="94" applyNumberFormat="0" applyProtection="0">
      <alignment horizontal="left" vertical="top" indent="1"/>
    </xf>
    <xf numFmtId="0" fontId="11" fillId="69" borderId="94" applyNumberFormat="0" applyProtection="0">
      <alignment horizontal="left" vertical="center" indent="1"/>
    </xf>
    <xf numFmtId="0" fontId="11" fillId="22" borderId="94" applyNumberFormat="0" applyProtection="0">
      <alignment horizontal="left" vertical="center" indent="1"/>
    </xf>
    <xf numFmtId="4" fontId="73" fillId="70" borderId="94" applyNumberFormat="0" applyProtection="0">
      <alignment horizontal="right" vertical="center"/>
    </xf>
    <xf numFmtId="4" fontId="73" fillId="17" borderId="94" applyNumberFormat="0" applyProtection="0">
      <alignment horizontal="right" vertical="center"/>
    </xf>
    <xf numFmtId="4" fontId="101" fillId="2" borderId="94" applyNumberFormat="0" applyProtection="0">
      <alignment vertical="center"/>
    </xf>
    <xf numFmtId="0" fontId="38" fillId="29" borderId="0" applyNumberFormat="0" applyBorder="0" applyAlignment="0" applyProtection="0"/>
    <xf numFmtId="0" fontId="11" fillId="9" borderId="89" applyNumberFormat="0" applyFont="0" applyAlignment="0" applyProtection="0"/>
    <xf numFmtId="235" fontId="50" fillId="0" borderId="104">
      <protection locked="0"/>
    </xf>
    <xf numFmtId="0" fontId="66" fillId="0" borderId="105" applyNumberFormat="0" applyFill="0" applyAlignment="0" applyProtection="0"/>
    <xf numFmtId="220" fontId="76" fillId="0" borderId="0">
      <protection locked="0"/>
    </xf>
    <xf numFmtId="0" fontId="11" fillId="9" borderId="84" applyNumberFormat="0" applyFont="0" applyAlignment="0" applyProtection="0"/>
    <xf numFmtId="0" fontId="30" fillId="5" borderId="107" applyNumberFormat="0" applyAlignment="0" applyProtection="0"/>
    <xf numFmtId="0" fontId="11" fillId="0" borderId="0"/>
    <xf numFmtId="237" fontId="50" fillId="0" borderId="115">
      <protection locked="0"/>
    </xf>
    <xf numFmtId="0" fontId="30" fillId="5" borderId="88" applyNumberFormat="0" applyAlignment="0" applyProtection="0"/>
    <xf numFmtId="0" fontId="11" fillId="9" borderId="108" applyNumberFormat="0" applyFont="0" applyAlignment="0" applyProtection="0"/>
    <xf numFmtId="0" fontId="66" fillId="0" borderId="105" applyNumberFormat="0" applyFill="0" applyAlignment="0" applyProtection="0"/>
    <xf numFmtId="0" fontId="11" fillId="0" borderId="0"/>
    <xf numFmtId="0" fontId="38" fillId="24" borderId="0" applyNumberFormat="0" applyBorder="0" applyAlignment="0" applyProtection="0"/>
    <xf numFmtId="0" fontId="66" fillId="0" borderId="117" applyNumberFormat="0" applyFill="0" applyAlignment="0" applyProtection="0"/>
    <xf numFmtId="4" fontId="74" fillId="0" borderId="87" applyFont="0" applyFill="0" applyBorder="0" applyAlignment="0">
      <alignment horizontal="center" vertical="center"/>
    </xf>
    <xf numFmtId="0" fontId="11" fillId="9" borderId="97" applyNumberFormat="0" applyFont="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237" fontId="50" fillId="0" borderId="104">
      <protection locked="0"/>
    </xf>
    <xf numFmtId="0" fontId="11" fillId="9" borderId="108"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1" fontId="84" fillId="37" borderId="111" applyNumberFormat="0" applyBorder="0" applyAlignment="0">
      <alignment horizontal="centerContinuous" vertical="center"/>
      <protection locked="0"/>
    </xf>
    <xf numFmtId="0" fontId="11" fillId="9" borderId="97" applyNumberFormat="0" applyFont="0" applyAlignment="0" applyProtection="0"/>
    <xf numFmtId="220" fontId="76" fillId="0" borderId="0">
      <protection locked="0"/>
    </xf>
    <xf numFmtId="0" fontId="30" fillId="5" borderId="107" applyNumberFormat="0" applyAlignment="0" applyProtection="0"/>
    <xf numFmtId="0" fontId="30" fillId="5" borderId="107" applyNumberFormat="0" applyAlignment="0" applyProtection="0"/>
    <xf numFmtId="238" fontId="17" fillId="0" borderId="101" applyFont="0" applyFill="0" applyBorder="0" applyAlignment="0" applyProtection="0"/>
    <xf numFmtId="4" fontId="11" fillId="0" borderId="112" applyNumberFormat="0" applyProtection="0">
      <alignment horizontal="right" vertical="center"/>
    </xf>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0" borderId="0"/>
    <xf numFmtId="9" fontId="9" fillId="0" borderId="0" applyFont="0" applyFill="0" applyBorder="0" applyAlignment="0" applyProtection="0"/>
    <xf numFmtId="49" fontId="50" fillId="0" borderId="104">
      <protection locked="0"/>
    </xf>
    <xf numFmtId="49" fontId="50" fillId="0" borderId="101">
      <alignment vertical="top"/>
      <protection locked="0"/>
    </xf>
    <xf numFmtId="220" fontId="76" fillId="0" borderId="0">
      <protection locked="0"/>
    </xf>
    <xf numFmtId="0" fontId="38" fillId="21" borderId="0" applyNumberFormat="0" applyBorder="0" applyAlignment="0" applyProtection="0"/>
    <xf numFmtId="0" fontId="38" fillId="29" borderId="0" applyNumberFormat="0" applyBorder="0" applyAlignment="0" applyProtection="0"/>
    <xf numFmtId="0" fontId="11" fillId="9" borderId="97" applyNumberFormat="0" applyFont="0" applyAlignment="0" applyProtection="0"/>
    <xf numFmtId="220" fontId="76" fillId="0" borderId="0">
      <protection locked="0"/>
    </xf>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6" fontId="82" fillId="0" borderId="0">
      <protection locked="0"/>
    </xf>
    <xf numFmtId="0" fontId="30" fillId="5" borderId="107" applyNumberFormat="0" applyAlignment="0" applyProtection="0"/>
    <xf numFmtId="0" fontId="66" fillId="0" borderId="117" applyNumberFormat="0" applyFill="0" applyAlignment="0" applyProtection="0"/>
    <xf numFmtId="0" fontId="11" fillId="9" borderId="97" applyNumberFormat="0" applyFont="0" applyAlignment="0" applyProtection="0"/>
    <xf numFmtId="0" fontId="38" fillId="25" borderId="0" applyNumberFormat="0" applyBorder="0" applyAlignment="0" applyProtection="0"/>
    <xf numFmtId="0" fontId="66" fillId="0" borderId="92" applyNumberFormat="0" applyFill="0" applyAlignment="0" applyProtection="0"/>
    <xf numFmtId="0" fontId="11" fillId="9" borderId="108" applyNumberFormat="0" applyFont="0" applyAlignment="0" applyProtection="0"/>
    <xf numFmtId="4" fontId="11" fillId="41" borderId="101" applyNumberFormat="0" applyProtection="0">
      <alignment vertical="center"/>
    </xf>
    <xf numFmtId="0" fontId="38" fillId="29" borderId="0" applyNumberFormat="0" applyBorder="0" applyAlignment="0" applyProtection="0"/>
    <xf numFmtId="0" fontId="30" fillId="5" borderId="107" applyNumberFormat="0" applyAlignment="0" applyProtection="0"/>
    <xf numFmtId="0" fontId="11" fillId="9" borderId="97" applyNumberFormat="0" applyFont="0" applyAlignment="0" applyProtection="0"/>
    <xf numFmtId="0" fontId="11" fillId="9" borderId="97" applyNumberFormat="0" applyFont="0" applyAlignment="0" applyProtection="0"/>
    <xf numFmtId="0" fontId="66" fillId="0" borderId="92" applyNumberFormat="0" applyFill="0" applyAlignment="0" applyProtection="0"/>
    <xf numFmtId="0" fontId="66" fillId="0" borderId="92" applyNumberFormat="0" applyFill="0" applyAlignment="0" applyProtection="0"/>
    <xf numFmtId="6" fontId="82" fillId="0" borderId="0">
      <protection locked="0"/>
    </xf>
    <xf numFmtId="0" fontId="38" fillId="18" borderId="0" applyNumberFormat="0" applyBorder="0" applyAlignment="0" applyProtection="0"/>
    <xf numFmtId="0" fontId="38" fillId="29" borderId="0" applyNumberFormat="0" applyBorder="0" applyAlignment="0" applyProtection="0"/>
    <xf numFmtId="4" fontId="74" fillId="0" borderId="95" applyFont="0" applyFill="0" applyBorder="0" applyAlignment="0">
      <alignment horizontal="center" vertical="center"/>
    </xf>
    <xf numFmtId="0" fontId="30" fillId="5" borderId="96" applyNumberFormat="0" applyAlignment="0" applyProtection="0"/>
    <xf numFmtId="9" fontId="11" fillId="0" borderId="0" applyFont="0" applyFill="0" applyBorder="0" applyAlignment="0" applyProtection="0"/>
    <xf numFmtId="0" fontId="38" fillId="29" borderId="0" applyNumberFormat="0" applyBorder="0" applyAlignment="0" applyProtection="0"/>
    <xf numFmtId="0" fontId="38" fillId="18" borderId="0" applyNumberFormat="0" applyBorder="0" applyAlignment="0" applyProtection="0"/>
    <xf numFmtId="0" fontId="66" fillId="0" borderId="118" applyNumberFormat="0" applyFill="0" applyAlignment="0" applyProtection="0"/>
    <xf numFmtId="4" fontId="99" fillId="0" borderId="102" applyBorder="0">
      <alignment horizontal="right" wrapText="1"/>
    </xf>
    <xf numFmtId="4" fontId="11" fillId="41" borderId="101" applyNumberFormat="0" applyProtection="0">
      <alignment vertical="center"/>
    </xf>
    <xf numFmtId="4" fontId="11" fillId="0" borderId="101" applyNumberFormat="0" applyProtection="0">
      <alignment horizontal="right" vertical="center"/>
    </xf>
    <xf numFmtId="9" fontId="11" fillId="0" borderId="0" applyFont="0" applyFill="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66" fillId="0" borderId="92" applyNumberFormat="0" applyFill="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20" fontId="76" fillId="0" borderId="0">
      <protection locked="0"/>
    </xf>
    <xf numFmtId="0" fontId="66" fillId="0" borderId="116" applyNumberFormat="0" applyFill="0" applyAlignment="0" applyProtection="0"/>
    <xf numFmtId="0" fontId="66" fillId="0" borderId="118" applyNumberFormat="0" applyFill="0" applyAlignment="0" applyProtection="0"/>
    <xf numFmtId="0" fontId="11" fillId="9" borderId="108" applyNumberFormat="0" applyFont="0" applyAlignment="0" applyProtection="0"/>
    <xf numFmtId="0" fontId="32" fillId="14" borderId="88" applyNumberFormat="0" applyAlignment="0" applyProtection="0"/>
    <xf numFmtId="0" fontId="30" fillId="5" borderId="88" applyNumberFormat="0" applyAlignment="0" applyProtection="0"/>
    <xf numFmtId="0" fontId="38" fillId="27" borderId="0" applyNumberFormat="0" applyBorder="0" applyAlignment="0" applyProtection="0"/>
    <xf numFmtId="0" fontId="11" fillId="9" borderId="89" applyNumberFormat="0" applyFont="0" applyAlignment="0" applyProtection="0"/>
    <xf numFmtId="0" fontId="31" fillId="14" borderId="90" applyNumberFormat="0" applyAlignment="0" applyProtection="0"/>
    <xf numFmtId="0" fontId="37" fillId="0" borderId="91" applyNumberFormat="0" applyFill="0" applyAlignment="0" applyProtection="0"/>
    <xf numFmtId="4" fontId="20" fillId="72" borderId="94" applyNumberFormat="0" applyProtection="0">
      <alignment horizontal="right" vertical="center"/>
    </xf>
    <xf numFmtId="0" fontId="38" fillId="27" borderId="0" applyNumberFormat="0" applyBorder="0" applyAlignment="0" applyProtection="0"/>
    <xf numFmtId="0" fontId="38" fillId="24" borderId="0" applyNumberFormat="0" applyBorder="0" applyAlignment="0" applyProtection="0"/>
    <xf numFmtId="0" fontId="11" fillId="9" borderId="108" applyNumberFormat="0" applyFont="0" applyAlignment="0" applyProtection="0"/>
    <xf numFmtId="0" fontId="11" fillId="0" borderId="0"/>
    <xf numFmtId="0" fontId="38" fillId="27" borderId="0" applyNumberFormat="0" applyBorder="0" applyAlignment="0" applyProtection="0"/>
    <xf numFmtId="0" fontId="11" fillId="9" borderId="108" applyNumberFormat="0" applyFont="0" applyAlignment="0" applyProtection="0"/>
    <xf numFmtId="0" fontId="11" fillId="9" borderId="97" applyNumberFormat="0" applyFont="0" applyAlignment="0" applyProtection="0"/>
    <xf numFmtId="0" fontId="32" fillId="14" borderId="96" applyNumberFormat="0" applyAlignment="0" applyProtection="0"/>
    <xf numFmtId="0" fontId="11" fillId="9" borderId="97" applyNumberFormat="0" applyFont="0" applyAlignment="0" applyProtection="0"/>
    <xf numFmtId="0" fontId="66" fillId="0" borderId="105" applyNumberFormat="0" applyFill="0" applyAlignment="0" applyProtection="0"/>
    <xf numFmtId="0" fontId="11" fillId="9" borderId="97" applyNumberFormat="0" applyFont="0" applyAlignment="0" applyProtection="0"/>
    <xf numFmtId="0" fontId="30" fillId="5" borderId="96" applyNumberFormat="0" applyAlignment="0" applyProtection="0"/>
    <xf numFmtId="0" fontId="38" fillId="24" borderId="0" applyNumberFormat="0" applyBorder="0" applyAlignment="0" applyProtection="0"/>
    <xf numFmtId="0" fontId="11" fillId="9" borderId="97" applyNumberFormat="0" applyFont="0" applyAlignment="0" applyProtection="0"/>
    <xf numFmtId="0" fontId="31" fillId="14" borderId="98" applyNumberFormat="0" applyAlignment="0" applyProtection="0"/>
    <xf numFmtId="0" fontId="37" fillId="0" borderId="99" applyNumberFormat="0" applyFill="0" applyAlignment="0" applyProtection="0"/>
    <xf numFmtId="0" fontId="38" fillId="21" borderId="0" applyNumberFormat="0" applyBorder="0" applyAlignment="0" applyProtection="0"/>
    <xf numFmtId="9" fontId="11" fillId="0" borderId="0" applyFont="0" applyFill="0" applyBorder="0" applyAlignment="0" applyProtection="0"/>
    <xf numFmtId="0" fontId="11" fillId="0" borderId="0"/>
    <xf numFmtId="190" fontId="40" fillId="0" borderId="114"/>
    <xf numFmtId="235" fontId="50" fillId="0" borderId="115">
      <protection locked="0"/>
    </xf>
    <xf numFmtId="49" fontId="50" fillId="0" borderId="112">
      <alignment vertical="top"/>
      <protection locked="0"/>
    </xf>
    <xf numFmtId="49" fontId="50" fillId="0" borderId="115">
      <protection locked="0"/>
    </xf>
    <xf numFmtId="9" fontId="11" fillId="0" borderId="0" applyFont="0" applyFill="0" applyBorder="0" applyAlignment="0" applyProtection="0"/>
    <xf numFmtId="0" fontId="11" fillId="3" borderId="101" applyNumberFormat="0">
      <protection locked="0"/>
    </xf>
    <xf numFmtId="0" fontId="11" fillId="9" borderId="108" applyNumberFormat="0" applyFont="0" applyAlignment="0" applyProtection="0"/>
    <xf numFmtId="0" fontId="38" fillId="18" borderId="0" applyNumberFormat="0" applyBorder="0" applyAlignment="0" applyProtection="0"/>
    <xf numFmtId="0" fontId="38" fillId="27" borderId="0" applyNumberFormat="0" applyBorder="0" applyAlignment="0" applyProtection="0"/>
    <xf numFmtId="0" fontId="11" fillId="3" borderId="112" applyNumberFormat="0">
      <protection locked="0"/>
    </xf>
    <xf numFmtId="9" fontId="11" fillId="0" borderId="0" applyFont="0" applyFill="0" applyBorder="0" applyAlignment="0" applyProtection="0"/>
    <xf numFmtId="238" fontId="17" fillId="0" borderId="112"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9" fontId="11" fillId="0" borderId="0" applyFont="0" applyFill="0" applyBorder="0" applyAlignment="0" applyProtection="0"/>
    <xf numFmtId="0" fontId="38" fillId="21" borderId="0" applyNumberFormat="0" applyBorder="0" applyAlignment="0" applyProtection="0"/>
    <xf numFmtId="9" fontId="11" fillId="0" borderId="0" applyFont="0" applyFill="0" applyBorder="0" applyAlignment="0" applyProtection="0"/>
    <xf numFmtId="220" fontId="76" fillId="0" borderId="0">
      <protection locked="0"/>
    </xf>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6" fillId="0" borderId="117" applyNumberFormat="0" applyFill="0" applyAlignment="0" applyProtection="0"/>
    <xf numFmtId="0" fontId="32" fillId="14" borderId="107" applyNumberFormat="0" applyAlignment="0" applyProtection="0"/>
    <xf numFmtId="0" fontId="30" fillId="5" borderId="107" applyNumberFormat="0" applyAlignment="0" applyProtection="0"/>
    <xf numFmtId="4" fontId="11" fillId="0" borderId="112" applyNumberFormat="0" applyProtection="0">
      <alignment horizontal="right" vertical="center"/>
    </xf>
    <xf numFmtId="0" fontId="11" fillId="9" borderId="108" applyNumberFormat="0" applyFont="0" applyAlignment="0" applyProtection="0"/>
    <xf numFmtId="0" fontId="31" fillId="14" borderId="109" applyNumberFormat="0" applyAlignment="0" applyProtection="0"/>
    <xf numFmtId="0" fontId="37" fillId="0" borderId="110" applyNumberFormat="0" applyFill="0" applyAlignment="0" applyProtection="0"/>
    <xf numFmtId="0" fontId="11" fillId="0" borderId="0"/>
    <xf numFmtId="0" fontId="38" fillId="18" borderId="0" applyNumberFormat="0" applyBorder="0" applyAlignment="0" applyProtection="0"/>
    <xf numFmtId="0" fontId="38" fillId="21" borderId="0" applyNumberFormat="0" applyBorder="0" applyAlignment="0" applyProtection="0"/>
    <xf numFmtId="0" fontId="66" fillId="0" borderId="116" applyNumberFormat="0" applyFill="0" applyAlignment="0" applyProtection="0"/>
    <xf numFmtId="0" fontId="66" fillId="0" borderId="117" applyNumberFormat="0" applyFill="0" applyAlignment="0" applyProtection="0"/>
    <xf numFmtId="0" fontId="38" fillId="29" borderId="0" applyNumberFormat="0" applyBorder="0" applyAlignment="0" applyProtection="0"/>
    <xf numFmtId="0" fontId="66" fillId="0" borderId="11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0" fillId="5" borderId="137" applyNumberFormat="0" applyAlignment="0" applyProtection="0"/>
    <xf numFmtId="238" fontId="17" fillId="0" borderId="128" applyFont="0" applyFill="0" applyBorder="0" applyAlignment="0" applyProtection="0"/>
    <xf numFmtId="4" fontId="101" fillId="2" borderId="146" applyNumberFormat="0" applyProtection="0">
      <alignment vertical="center"/>
    </xf>
    <xf numFmtId="0" fontId="11" fillId="9" borderId="138" applyNumberFormat="0" applyFont="0" applyAlignment="0" applyProtection="0"/>
    <xf numFmtId="4" fontId="11" fillId="41" borderId="128" applyNumberFormat="0" applyProtection="0">
      <alignment vertical="center"/>
    </xf>
    <xf numFmtId="10" fontId="17" fillId="39" borderId="142" applyNumberFormat="0" applyBorder="0" applyAlignment="0" applyProtection="0"/>
    <xf numFmtId="0" fontId="73" fillId="9" borderId="146" applyNumberFormat="0" applyProtection="0">
      <alignment horizontal="left" vertical="top" indent="1"/>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4" fontId="73" fillId="44" borderId="142" applyNumberFormat="0" applyProtection="0">
      <alignment horizontal="right" vertical="center"/>
    </xf>
    <xf numFmtId="0" fontId="32" fillId="14" borderId="137" applyNumberFormat="0" applyAlignment="0" applyProtection="0"/>
    <xf numFmtId="0" fontId="11" fillId="69" borderId="146" applyNumberFormat="0" applyProtection="0">
      <alignment horizontal="left" vertical="center" indent="1"/>
    </xf>
    <xf numFmtId="0" fontId="11" fillId="69" borderId="146" applyNumberFormat="0" applyProtection="0">
      <alignment horizontal="left" vertical="top" indent="1"/>
    </xf>
    <xf numFmtId="235" fontId="50" fillId="0" borderId="145">
      <protection locked="0"/>
    </xf>
    <xf numFmtId="0" fontId="11" fillId="9" borderId="138" applyNumberFormat="0" applyFont="0" applyAlignment="0" applyProtection="0"/>
    <xf numFmtId="0" fontId="11" fillId="9" borderId="138" applyNumberFormat="0" applyFont="0" applyAlignment="0" applyProtection="0"/>
    <xf numFmtId="4" fontId="73" fillId="27" borderId="146" applyNumberFormat="0" applyProtection="0">
      <alignment horizontal="right" vertical="center"/>
    </xf>
    <xf numFmtId="4" fontId="11" fillId="41" borderId="142" applyNumberFormat="0" applyProtection="0">
      <alignment vertical="center"/>
    </xf>
    <xf numFmtId="4" fontId="11" fillId="0" borderId="142" applyNumberFormat="0" applyProtection="0">
      <alignment horizontal="right" vertical="center"/>
    </xf>
    <xf numFmtId="238" fontId="17" fillId="0" borderId="128" applyFont="0" applyFill="0" applyBorder="0" applyAlignment="0" applyProtection="0"/>
    <xf numFmtId="0" fontId="11" fillId="15" borderId="146" applyNumberFormat="0" applyProtection="0">
      <alignment horizontal="left" vertical="center" indent="1"/>
    </xf>
    <xf numFmtId="0" fontId="11" fillId="69" borderId="146" applyNumberFormat="0" applyProtection="0">
      <alignment horizontal="left" vertical="top" indent="1"/>
    </xf>
    <xf numFmtId="238" fontId="17" fillId="0" borderId="142" applyFont="0" applyFill="0" applyBorder="0" applyAlignment="0" applyProtection="0"/>
    <xf numFmtId="4" fontId="11" fillId="0" borderId="142" applyNumberFormat="0" applyProtection="0">
      <alignment horizontal="right" vertical="center"/>
    </xf>
    <xf numFmtId="237" fontId="50" fillId="0" borderId="145">
      <protection locked="0"/>
    </xf>
    <xf numFmtId="49" fontId="50" fillId="0" borderId="145">
      <protection locked="0"/>
    </xf>
    <xf numFmtId="0" fontId="73" fillId="9" borderId="146" applyNumberFormat="0" applyProtection="0">
      <alignment horizontal="left" vertical="top" indent="1"/>
    </xf>
    <xf numFmtId="4" fontId="73" fillId="44" borderId="142" applyNumberFormat="0" applyProtection="0">
      <alignment horizontal="right" vertical="center"/>
    </xf>
    <xf numFmtId="4" fontId="73" fillId="69" borderId="146" applyNumberFormat="0" applyProtection="0">
      <alignment horizontal="left" vertical="center" indent="1"/>
    </xf>
    <xf numFmtId="0" fontId="30" fillId="5" borderId="137" applyNumberFormat="0" applyAlignment="0" applyProtection="0"/>
    <xf numFmtId="0" fontId="62" fillId="0" borderId="135" applyNumberFormat="0" applyFill="0" applyAlignment="0" applyProtection="0"/>
    <xf numFmtId="0" fontId="37" fillId="0" borderId="134" applyNumberFormat="0" applyFill="0" applyAlignment="0" applyProtection="0"/>
    <xf numFmtId="0" fontId="133" fillId="3" borderId="107" applyNumberFormat="0" applyAlignment="0" applyProtection="0"/>
    <xf numFmtId="0" fontId="45" fillId="12" borderId="107" applyNumberFormat="0" applyAlignment="0" applyProtection="0"/>
    <xf numFmtId="197" fontId="11" fillId="0" borderId="0" applyFont="0" applyFill="0" applyBorder="0" applyAlignment="0" applyProtection="0"/>
    <xf numFmtId="41"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201" fontId="11" fillId="0" borderId="0" applyFont="0" applyFill="0" applyBorder="0" applyAlignment="0" applyProtection="0"/>
    <xf numFmtId="0" fontId="62" fillId="12" borderId="125" applyNumberFormat="0" applyAlignment="0" applyProtection="0"/>
    <xf numFmtId="0" fontId="11" fillId="9" borderId="123" applyNumberFormat="0" applyFont="0" applyAlignment="0" applyProtection="0"/>
    <xf numFmtId="223" fontId="11" fillId="0" borderId="0">
      <protection locked="0"/>
    </xf>
    <xf numFmtId="0" fontId="73" fillId="9" borderId="124" applyNumberFormat="0" applyFon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202" fontId="50" fillId="0" borderId="112">
      <protection locked="0"/>
    </xf>
    <xf numFmtId="0" fontId="137" fillId="2"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30"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7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30"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58" fillId="5" borderId="123" applyNumberFormat="0" applyAlignment="0" applyProtection="0"/>
    <xf numFmtId="0" fontId="137" fillId="2"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11" fillId="0" borderId="0"/>
    <xf numFmtId="0" fontId="73" fillId="9" borderId="108" applyNumberFormat="0" applyFont="0" applyAlignment="0" applyProtection="0"/>
    <xf numFmtId="0" fontId="11" fillId="9" borderId="107" applyNumberFormat="0" applyFont="0" applyAlignment="0" applyProtection="0"/>
    <xf numFmtId="0" fontId="130" fillId="3" borderId="119" applyNumberFormat="0" applyAlignment="0" applyProtection="0"/>
    <xf numFmtId="0" fontId="62" fillId="12" borderId="10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5" fillId="12" borderId="123" applyNumberFormat="0" applyAlignment="0" applyProtection="0"/>
    <xf numFmtId="0" fontId="133" fillId="3" borderId="123" applyNumberFormat="0" applyAlignment="0" applyProtection="0"/>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37" fillId="0" borderId="120" applyNumberFormat="0" applyFill="0" applyAlignment="0" applyProtection="0"/>
    <xf numFmtId="0" fontId="62" fillId="0" borderId="121" applyNumberFormat="0" applyFill="0" applyAlignment="0" applyProtection="0"/>
    <xf numFmtId="0" fontId="11" fillId="16" borderId="0" applyNumberFormat="0" applyBorder="0" applyAlignment="0" applyProtection="0"/>
    <xf numFmtId="209" fontId="11" fillId="0" borderId="0" applyFont="0" applyFill="0" applyBorder="0" applyAlignment="0" applyProtection="0"/>
    <xf numFmtId="0" fontId="58" fillId="5" borderId="123" applyNumberFormat="0" applyAlignment="0" applyProtection="0"/>
    <xf numFmtId="0" fontId="30" fillId="5" borderId="123" applyNumberFormat="0" applyAlignment="0" applyProtection="0"/>
    <xf numFmtId="4" fontId="73" fillId="69" borderId="132" applyNumberFormat="0" applyProtection="0">
      <alignment horizontal="left" vertical="center" indent="1"/>
    </xf>
    <xf numFmtId="0" fontId="11" fillId="15" borderId="132" applyNumberFormat="0" applyProtection="0">
      <alignment horizontal="left" vertical="top" indent="1"/>
    </xf>
    <xf numFmtId="4" fontId="73" fillId="44" borderId="128" applyNumberFormat="0" applyProtection="0">
      <alignment horizontal="right" vertical="center"/>
    </xf>
    <xf numFmtId="0" fontId="66" fillId="0" borderId="118" applyNumberFormat="0" applyFill="0" applyAlignment="0" applyProtection="0"/>
    <xf numFmtId="0" fontId="129" fillId="72"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73" fillId="69" borderId="132" applyNumberFormat="0" applyProtection="0">
      <alignment horizontal="right" vertical="center"/>
    </xf>
    <xf numFmtId="4" fontId="73" fillId="44" borderId="128" applyNumberFormat="0" applyProtection="0">
      <alignment horizontal="right" vertical="center"/>
    </xf>
    <xf numFmtId="4" fontId="153" fillId="9" borderId="132" applyNumberFormat="0" applyProtection="0">
      <alignment vertical="center"/>
    </xf>
    <xf numFmtId="4" fontId="73" fillId="23" borderId="132" applyNumberFormat="0" applyProtection="0">
      <alignment horizontal="right" vertical="center"/>
    </xf>
    <xf numFmtId="0" fontId="11" fillId="22" borderId="132" applyNumberFormat="0" applyProtection="0">
      <alignment horizontal="left" vertical="center" indent="1"/>
    </xf>
    <xf numFmtId="0" fontId="66" fillId="0" borderId="118" applyNumberFormat="0" applyFill="0" applyAlignment="0" applyProtection="0"/>
    <xf numFmtId="0" fontId="73" fillId="69" borderId="132" applyNumberFormat="0" applyProtection="0">
      <alignment horizontal="left" vertical="top" indent="1"/>
    </xf>
    <xf numFmtId="0" fontId="11" fillId="22" borderId="132" applyNumberFormat="0" applyProtection="0">
      <alignment horizontal="left" vertical="center" indent="1"/>
    </xf>
    <xf numFmtId="0" fontId="73" fillId="9" borderId="132" applyNumberFormat="0" applyProtection="0">
      <alignment horizontal="left" vertical="top" indent="1"/>
    </xf>
    <xf numFmtId="49" fontId="50" fillId="0" borderId="131">
      <protection locked="0"/>
    </xf>
    <xf numFmtId="237" fontId="50" fillId="0" borderId="131">
      <protection locked="0"/>
    </xf>
    <xf numFmtId="235" fontId="50" fillId="0" borderId="131">
      <protection locked="0"/>
    </xf>
    <xf numFmtId="4" fontId="11" fillId="41" borderId="128" applyNumberFormat="0" applyProtection="0">
      <alignment vertical="center"/>
    </xf>
    <xf numFmtId="0" fontId="66" fillId="0" borderId="118" applyNumberFormat="0" applyFill="0" applyAlignment="0" applyProtection="0"/>
    <xf numFmtId="0" fontId="30" fillId="5" borderId="137" applyNumberFormat="0" applyAlignment="0" applyProtection="0"/>
    <xf numFmtId="0" fontId="30" fillId="5" borderId="107" applyNumberFormat="0" applyAlignment="0" applyProtection="0"/>
    <xf numFmtId="10" fontId="17" fillId="39" borderId="112" applyNumberFormat="0" applyBorder="0" applyAlignment="0" applyProtection="0"/>
    <xf numFmtId="0" fontId="73" fillId="69" borderId="146" applyNumberFormat="0" applyProtection="0">
      <alignment horizontal="left" vertical="top" indent="1"/>
    </xf>
    <xf numFmtId="4" fontId="11" fillId="0" borderId="128" applyNumberFormat="0" applyProtection="0">
      <alignment horizontal="right" vertical="center"/>
    </xf>
    <xf numFmtId="190" fontId="40" fillId="0" borderId="130"/>
    <xf numFmtId="0" fontId="30" fillId="5" borderId="123" applyNumberFormat="0" applyAlignment="0" applyProtection="0"/>
    <xf numFmtId="0" fontId="66" fillId="0" borderId="118" applyNumberFormat="0" applyFill="0" applyAlignment="0" applyProtection="0"/>
    <xf numFmtId="4" fontId="20" fillId="72" borderId="132" applyNumberFormat="0" applyProtection="0">
      <alignment horizontal="right" vertical="center"/>
    </xf>
    <xf numFmtId="4" fontId="11" fillId="41" borderId="112" applyNumberFormat="0" applyProtection="0">
      <alignment vertical="center"/>
    </xf>
    <xf numFmtId="4" fontId="11" fillId="0" borderId="112" applyNumberFormat="0" applyProtection="0">
      <alignment horizontal="right" vertical="center"/>
    </xf>
    <xf numFmtId="10" fontId="17" fillId="39" borderId="128" applyNumberFormat="0" applyBorder="0" applyAlignment="0" applyProtection="0"/>
    <xf numFmtId="0" fontId="30" fillId="5" borderId="123" applyNumberFormat="0" applyAlignment="0" applyProtection="0"/>
    <xf numFmtId="49" fontId="50" fillId="0" borderId="128">
      <alignment vertical="top"/>
      <protection locked="0"/>
    </xf>
    <xf numFmtId="238" fontId="17" fillId="0" borderId="128" applyFont="0" applyFill="0" applyBorder="0" applyAlignment="0" applyProtection="0"/>
    <xf numFmtId="0" fontId="11" fillId="69" borderId="132" applyNumberFormat="0" applyProtection="0">
      <alignment horizontal="left" vertical="top" indent="1"/>
    </xf>
    <xf numFmtId="4" fontId="74" fillId="0" borderId="122" applyFont="0" applyFill="0" applyBorder="0" applyAlignment="0">
      <alignment horizontal="center" vertical="center"/>
    </xf>
    <xf numFmtId="4" fontId="74" fillId="0" borderId="122" applyFont="0" applyFill="0" applyBorder="0" applyAlignment="0">
      <alignment horizontal="center" vertical="center"/>
    </xf>
    <xf numFmtId="0" fontId="11" fillId="9" borderId="124" applyNumberFormat="0" applyFont="0" applyAlignment="0" applyProtection="0"/>
    <xf numFmtId="4" fontId="153" fillId="9" borderId="146" applyNumberFormat="0" applyProtection="0">
      <alignment vertical="center"/>
    </xf>
    <xf numFmtId="4" fontId="151" fillId="2" borderId="132" applyNumberFormat="0" applyProtection="0">
      <alignment vertical="center"/>
    </xf>
    <xf numFmtId="0" fontId="11" fillId="15" borderId="132" applyNumberFormat="0" applyProtection="0">
      <alignment horizontal="left" vertical="center" indent="1"/>
    </xf>
    <xf numFmtId="0" fontId="11" fillId="15" borderId="132" applyNumberFormat="0" applyProtection="0">
      <alignment horizontal="left" vertical="center" indent="1"/>
    </xf>
    <xf numFmtId="238" fontId="17" fillId="0" borderId="112" applyFont="0" applyFill="0" applyBorder="0" applyAlignment="0" applyProtection="0"/>
    <xf numFmtId="0" fontId="11" fillId="72" borderId="146" applyNumberFormat="0" applyProtection="0">
      <alignment horizontal="left" vertical="top" indent="1"/>
    </xf>
    <xf numFmtId="4" fontId="11" fillId="0" borderId="128" applyNumberFormat="0" applyProtection="0">
      <alignment horizontal="right" vertical="center"/>
    </xf>
    <xf numFmtId="4" fontId="11" fillId="41" borderId="128" applyNumberFormat="0" applyProtection="0">
      <alignment vertical="center"/>
    </xf>
    <xf numFmtId="4" fontId="11" fillId="0" borderId="128" applyNumberFormat="0" applyProtection="0">
      <alignment horizontal="right" vertical="center"/>
    </xf>
    <xf numFmtId="0" fontId="66" fillId="0" borderId="118" applyNumberFormat="0" applyFill="0" applyAlignment="0" applyProtection="0"/>
    <xf numFmtId="0" fontId="66" fillId="0" borderId="118" applyNumberFormat="0" applyFill="0" applyAlignment="0" applyProtection="0"/>
    <xf numFmtId="4" fontId="73" fillId="27" borderId="132" applyNumberFormat="0" applyProtection="0">
      <alignment horizontal="right" vertical="center"/>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0" fontId="66" fillId="0" borderId="118" applyNumberFormat="0" applyFill="0" applyAlignment="0" applyProtection="0"/>
    <xf numFmtId="235" fontId="50" fillId="0" borderId="131">
      <protection locked="0"/>
    </xf>
    <xf numFmtId="0" fontId="11" fillId="69" borderId="132" applyNumberFormat="0" applyProtection="0">
      <alignment horizontal="left" vertical="top" indent="1"/>
    </xf>
    <xf numFmtId="0" fontId="11" fillId="69" borderId="132" applyNumberFormat="0" applyProtection="0">
      <alignment horizontal="left" vertical="center" indent="1"/>
    </xf>
    <xf numFmtId="0" fontId="66" fillId="0" borderId="118" applyNumberFormat="0" applyFill="0" applyAlignment="0" applyProtection="0"/>
    <xf numFmtId="0" fontId="130" fillId="3" borderId="133" applyNumberFormat="0" applyAlignment="0" applyProtection="0"/>
    <xf numFmtId="10" fontId="17" fillId="39" borderId="112" applyNumberFormat="0" applyBorder="0" applyAlignment="0" applyProtection="0"/>
    <xf numFmtId="0" fontId="32" fillId="14" borderId="123" applyNumberFormat="0" applyAlignment="0" applyProtection="0"/>
    <xf numFmtId="4" fontId="73" fillId="44" borderId="128" applyNumberFormat="0" applyProtection="0">
      <alignment horizontal="right" vertical="center"/>
    </xf>
    <xf numFmtId="4" fontId="11" fillId="41" borderId="128" applyNumberFormat="0" applyProtection="0">
      <alignment vertical="center"/>
    </xf>
    <xf numFmtId="4" fontId="99" fillId="0" borderId="129" applyBorder="0">
      <alignment horizontal="right" wrapText="1"/>
    </xf>
    <xf numFmtId="0" fontId="11" fillId="9" borderId="108" applyNumberFormat="0" applyFont="0" applyAlignment="0" applyProtection="0"/>
    <xf numFmtId="0" fontId="11" fillId="9" borderId="108" applyNumberFormat="0" applyFont="0" applyAlignment="0" applyProtection="0"/>
    <xf numFmtId="0" fontId="66" fillId="0" borderId="118" applyNumberFormat="0" applyFill="0" applyAlignment="0" applyProtection="0"/>
    <xf numFmtId="0" fontId="73" fillId="9" borderId="132" applyNumberFormat="0" applyProtection="0">
      <alignment horizontal="left" vertical="top" indent="1"/>
    </xf>
    <xf numFmtId="10" fontId="17" fillId="39" borderId="128" applyNumberFormat="0" applyBorder="0" applyAlignment="0" applyProtection="0"/>
    <xf numFmtId="4" fontId="11" fillId="41" borderId="112" applyNumberFormat="0" applyProtection="0">
      <alignment vertical="center"/>
    </xf>
    <xf numFmtId="4" fontId="11" fillId="0" borderId="112" applyNumberFormat="0" applyProtection="0">
      <alignment horizontal="right" vertical="center"/>
    </xf>
    <xf numFmtId="0" fontId="66" fillId="0" borderId="118" applyNumberFormat="0" applyFill="0" applyAlignment="0" applyProtection="0"/>
    <xf numFmtId="0" fontId="11" fillId="72" borderId="132" applyNumberFormat="0" applyProtection="0">
      <alignment horizontal="left" vertical="top" indent="1"/>
    </xf>
    <xf numFmtId="0" fontId="11" fillId="9" borderId="124" applyNumberFormat="0" applyFont="0" applyAlignment="0" applyProtection="0"/>
    <xf numFmtId="4" fontId="101" fillId="2" borderId="132" applyNumberFormat="0" applyProtection="0">
      <alignment vertical="center"/>
    </xf>
    <xf numFmtId="0" fontId="11" fillId="72" borderId="132" applyNumberFormat="0" applyProtection="0">
      <alignment horizontal="left" vertical="top" indent="1"/>
    </xf>
    <xf numFmtId="0" fontId="66" fillId="0" borderId="118" applyNumberFormat="0" applyFill="0" applyAlignment="0" applyProtection="0"/>
    <xf numFmtId="4" fontId="73" fillId="69" borderId="146" applyNumberFormat="0" applyProtection="0">
      <alignment horizontal="right" vertical="center"/>
    </xf>
    <xf numFmtId="0" fontId="11" fillId="22" borderId="146" applyNumberFormat="0" applyProtection="0">
      <alignment horizontal="left" vertical="center" indent="1"/>
    </xf>
    <xf numFmtId="238" fontId="17" fillId="0" borderId="112" applyFont="0" applyFill="0" applyBorder="0" applyAlignment="0" applyProtection="0"/>
    <xf numFmtId="0" fontId="30" fillId="5" borderId="123" applyNumberFormat="0" applyAlignment="0" applyProtection="0"/>
    <xf numFmtId="0" fontId="11" fillId="72" borderId="146" applyNumberFormat="0" applyProtection="0">
      <alignment horizontal="left" vertical="top" indent="1"/>
    </xf>
    <xf numFmtId="4" fontId="99" fillId="0" borderId="143" applyBorder="0">
      <alignment horizontal="right" wrapText="1"/>
    </xf>
    <xf numFmtId="0" fontId="66" fillId="0" borderId="118" applyNumberFormat="0" applyFill="0" applyAlignment="0" applyProtection="0"/>
    <xf numFmtId="10" fontId="17" fillId="39" borderId="128" applyNumberFormat="0" applyBorder="0" applyAlignment="0" applyProtection="0"/>
    <xf numFmtId="238" fontId="17" fillId="0" borderId="128" applyFont="0" applyFill="0" applyBorder="0" applyAlignment="0" applyProtection="0"/>
    <xf numFmtId="1" fontId="84" fillId="37" borderId="127" applyNumberFormat="0" applyBorder="0" applyAlignment="0">
      <alignment horizontal="centerContinuous" vertical="center"/>
      <protection locked="0"/>
    </xf>
    <xf numFmtId="0" fontId="11" fillId="72" borderId="132" applyNumberFormat="0" applyProtection="0">
      <alignment horizontal="left" vertical="center" indent="1"/>
    </xf>
    <xf numFmtId="0" fontId="129" fillId="72" borderId="132" applyNumberFormat="0" applyProtection="0">
      <alignment horizontal="left" vertical="center" indent="1"/>
    </xf>
    <xf numFmtId="49" fontId="50" fillId="0" borderId="131">
      <protection locked="0"/>
    </xf>
    <xf numFmtId="49" fontId="50" fillId="0" borderId="142">
      <alignment vertical="top"/>
      <protection locked="0"/>
    </xf>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0" fontId="30" fillId="5" borderId="123" applyNumberFormat="0" applyAlignment="0" applyProtection="0"/>
    <xf numFmtId="9" fontId="8" fillId="0" borderId="0" applyFont="0" applyFill="0" applyBorder="0" applyAlignment="0" applyProtection="0"/>
    <xf numFmtId="0" fontId="11" fillId="15" borderId="146" applyNumberFormat="0" applyProtection="0">
      <alignment horizontal="left" vertical="center" indent="1"/>
    </xf>
    <xf numFmtId="4" fontId="151" fillId="2" borderId="146" applyNumberFormat="0" applyProtection="0">
      <alignment vertical="center"/>
    </xf>
    <xf numFmtId="4" fontId="11" fillId="41" borderId="128" applyNumberFormat="0" applyProtection="0">
      <alignment vertical="center"/>
    </xf>
    <xf numFmtId="4" fontId="20" fillId="72" borderId="146" applyNumberFormat="0" applyProtection="0">
      <alignment horizontal="right" vertical="center"/>
    </xf>
    <xf numFmtId="10" fontId="17" fillId="39" borderId="142" applyNumberFormat="0" applyBorder="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202" fontId="50" fillId="0" borderId="128">
      <protection locked="0"/>
    </xf>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35" fontId="50" fillId="0" borderId="145">
      <protection locked="0"/>
    </xf>
    <xf numFmtId="0" fontId="30" fillId="5" borderId="123" applyNumberFormat="0" applyAlignment="0" applyProtection="0"/>
    <xf numFmtId="0" fontId="32" fillId="14" borderId="123" applyNumberFormat="0" applyAlignment="0" applyProtection="0"/>
    <xf numFmtId="49" fontId="50" fillId="0" borderId="128">
      <alignment vertical="top"/>
      <protection locked="0"/>
    </xf>
    <xf numFmtId="190" fontId="40" fillId="0" borderId="13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30" fillId="5" borderId="123" applyNumberFormat="0" applyAlignment="0" applyProtection="0"/>
    <xf numFmtId="0" fontId="30" fillId="5" borderId="123" applyNumberFormat="0" applyAlignment="0" applyProtection="0"/>
    <xf numFmtId="4" fontId="151" fillId="2" borderId="132" applyNumberFormat="0" applyProtection="0">
      <alignment vertical="center"/>
    </xf>
    <xf numFmtId="4" fontId="73" fillId="23" borderId="146" applyNumberFormat="0" applyProtection="0">
      <alignment horizontal="right" vertical="center"/>
    </xf>
    <xf numFmtId="4" fontId="73" fillId="69" borderId="132" applyNumberFormat="0" applyProtection="0">
      <alignment horizontal="left" vertical="center" indent="1"/>
    </xf>
    <xf numFmtId="4" fontId="73" fillId="29" borderId="132" applyNumberFormat="0" applyProtection="0">
      <alignment horizontal="right" vertical="center"/>
    </xf>
    <xf numFmtId="238" fontId="17" fillId="0" borderId="128" applyFont="0" applyFill="0" applyBorder="0" applyAlignment="0" applyProtection="0"/>
    <xf numFmtId="4" fontId="20" fillId="72" borderId="132" applyNumberFormat="0" applyProtection="0">
      <alignment horizontal="right" vertical="center"/>
    </xf>
    <xf numFmtId="4" fontId="73" fillId="7" borderId="132" applyNumberFormat="0" applyProtection="0">
      <alignment horizontal="right" vertical="center"/>
    </xf>
    <xf numFmtId="0" fontId="11" fillId="72" borderId="132" applyNumberFormat="0" applyProtection="0">
      <alignment horizontal="left" vertical="center" indent="1"/>
    </xf>
    <xf numFmtId="0" fontId="30" fillId="5" borderId="123" applyNumberFormat="0" applyAlignment="0" applyProtection="0"/>
    <xf numFmtId="4" fontId="73" fillId="16" borderId="132" applyNumberFormat="0" applyProtection="0">
      <alignment horizontal="right" vertical="center"/>
    </xf>
    <xf numFmtId="0" fontId="11" fillId="15" borderId="132" applyNumberFormat="0" applyProtection="0">
      <alignment horizontal="left" vertical="center" indent="1"/>
    </xf>
    <xf numFmtId="1" fontId="84" fillId="37" borderId="127" applyNumberFormat="0" applyBorder="0" applyAlignment="0">
      <alignment horizontal="centerContinuous" vertical="center"/>
      <protection locked="0"/>
    </xf>
    <xf numFmtId="0" fontId="66" fillId="0" borderId="118" applyNumberFormat="0" applyFill="0" applyAlignment="0" applyProtection="0"/>
    <xf numFmtId="0" fontId="11" fillId="69" borderId="132" applyNumberFormat="0" applyProtection="0">
      <alignment horizontal="left" vertical="center" indent="1"/>
    </xf>
    <xf numFmtId="0" fontId="66" fillId="0" borderId="118" applyNumberFormat="0" applyFill="0" applyAlignment="0" applyProtection="0"/>
    <xf numFmtId="0" fontId="11" fillId="9" borderId="124" applyNumberFormat="0" applyFont="0" applyAlignment="0" applyProtection="0"/>
    <xf numFmtId="0" fontId="11" fillId="22" borderId="146" applyNumberFormat="0" applyProtection="0">
      <alignment horizontal="left" vertical="center" indent="1"/>
    </xf>
    <xf numFmtId="4" fontId="73" fillId="9" borderId="132" applyNumberFormat="0" applyProtection="0">
      <alignment vertical="center"/>
    </xf>
    <xf numFmtId="4" fontId="101" fillId="2" borderId="132" applyNumberFormat="0" applyProtection="0">
      <alignment vertical="center"/>
    </xf>
    <xf numFmtId="0" fontId="66" fillId="0" borderId="118" applyNumberFormat="0" applyFill="0" applyAlignment="0" applyProtection="0"/>
    <xf numFmtId="0" fontId="66" fillId="0" borderId="118" applyNumberFormat="0" applyFill="0" applyAlignment="0" applyProtection="0"/>
    <xf numFmtId="4" fontId="73" fillId="16" borderId="132" applyNumberFormat="0" applyProtection="0">
      <alignment horizontal="right" vertical="center"/>
    </xf>
    <xf numFmtId="0" fontId="11" fillId="9" borderId="124" applyNumberFormat="0" applyFont="0" applyAlignment="0" applyProtection="0"/>
    <xf numFmtId="190" fontId="40" fillId="0" borderId="144"/>
    <xf numFmtId="4" fontId="73" fillId="69" borderId="132" applyNumberFormat="0" applyProtection="0">
      <alignment horizontal="right" vertical="center"/>
    </xf>
    <xf numFmtId="0" fontId="66" fillId="0" borderId="118" applyNumberFormat="0" applyFill="0" applyAlignment="0" applyProtection="0"/>
    <xf numFmtId="4" fontId="73" fillId="8" borderId="132" applyNumberFormat="0" applyProtection="0">
      <alignment horizontal="right" vertical="center"/>
    </xf>
    <xf numFmtId="0" fontId="66" fillId="0" borderId="118" applyNumberFormat="0" applyFill="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30" fillId="5" borderId="123" applyNumberFormat="0" applyAlignment="0" applyProtection="0"/>
    <xf numFmtId="10" fontId="17" fillId="39" borderId="128" applyNumberFormat="0" applyBorder="0" applyAlignment="0" applyProtection="0"/>
    <xf numFmtId="0" fontId="66" fillId="0" borderId="118" applyNumberFormat="0" applyFill="0" applyAlignment="0" applyProtection="0"/>
    <xf numFmtId="0" fontId="11" fillId="9" borderId="124" applyNumberFormat="0" applyFont="0" applyAlignment="0" applyProtection="0"/>
    <xf numFmtId="0" fontId="66" fillId="0" borderId="118" applyNumberFormat="0" applyFill="0" applyAlignment="0" applyProtection="0"/>
    <xf numFmtId="0" fontId="11" fillId="15" borderId="132" applyNumberFormat="0" applyProtection="0">
      <alignment horizontal="left" vertical="top" indent="1"/>
    </xf>
    <xf numFmtId="4" fontId="73" fillId="17" borderId="132" applyNumberFormat="0" applyProtection="0">
      <alignment horizontal="right" vertical="center"/>
    </xf>
    <xf numFmtId="4" fontId="73" fillId="29" borderId="132" applyNumberFormat="0" applyProtection="0">
      <alignment horizontal="right" vertical="center"/>
    </xf>
    <xf numFmtId="4" fontId="73" fillId="70" borderId="132" applyNumberFormat="0" applyProtection="0">
      <alignment horizontal="right" vertical="center"/>
    </xf>
    <xf numFmtId="0" fontId="30" fillId="5" borderId="123" applyNumberFormat="0" applyAlignment="0" applyProtection="0"/>
    <xf numFmtId="0" fontId="30" fillId="5" borderId="123" applyNumberFormat="0" applyAlignment="0" applyProtection="0"/>
    <xf numFmtId="238" fontId="17" fillId="0" borderId="128" applyFont="0" applyFill="0" applyBorder="0" applyAlignment="0" applyProtection="0"/>
    <xf numFmtId="4" fontId="73" fillId="72" borderId="132" applyNumberFormat="0" applyProtection="0">
      <alignment horizontal="right" vertical="center"/>
    </xf>
    <xf numFmtId="0" fontId="11" fillId="72" borderId="132" applyNumberFormat="0" applyProtection="0">
      <alignment horizontal="left" vertical="center" indent="1"/>
    </xf>
    <xf numFmtId="4" fontId="73" fillId="7" borderId="132" applyNumberFormat="0" applyProtection="0">
      <alignment horizontal="right" vertical="center"/>
    </xf>
    <xf numFmtId="4" fontId="73" fillId="44" borderId="128" applyNumberFormat="0" applyProtection="0">
      <alignment horizontal="right" vertical="center"/>
    </xf>
    <xf numFmtId="0" fontId="11" fillId="22" borderId="132" applyNumberFormat="0" applyProtection="0">
      <alignment horizontal="left" vertical="top" indent="1"/>
    </xf>
    <xf numFmtId="4" fontId="153" fillId="72" borderId="132" applyNumberFormat="0" applyProtection="0">
      <alignment horizontal="right" vertical="center"/>
    </xf>
    <xf numFmtId="0" fontId="11" fillId="9" borderId="124" applyNumberFormat="0" applyFont="0" applyAlignment="0" applyProtection="0"/>
    <xf numFmtId="4" fontId="73" fillId="44" borderId="142" applyNumberFormat="0" applyProtection="0">
      <alignment horizontal="right" vertical="center"/>
    </xf>
    <xf numFmtId="0" fontId="11" fillId="72" borderId="132" applyNumberFormat="0" applyProtection="0">
      <alignment horizontal="left" vertical="center" indent="1"/>
    </xf>
    <xf numFmtId="0" fontId="66" fillId="0" borderId="118" applyNumberFormat="0" applyFill="0" applyAlignment="0" applyProtection="0"/>
    <xf numFmtId="0" fontId="30" fillId="5" borderId="123" applyNumberFormat="0" applyAlignment="0" applyProtection="0"/>
    <xf numFmtId="0" fontId="11" fillId="72" borderId="132" applyNumberFormat="0" applyProtection="0">
      <alignment horizontal="left" vertical="center" indent="1"/>
    </xf>
    <xf numFmtId="4" fontId="153" fillId="72" borderId="132" applyNumberFormat="0" applyProtection="0">
      <alignment horizontal="right" vertical="center"/>
    </xf>
    <xf numFmtId="0" fontId="11" fillId="9" borderId="124" applyNumberFormat="0" applyFont="0" applyAlignment="0" applyProtection="0"/>
    <xf numFmtId="4" fontId="11" fillId="41" borderId="128" applyNumberFormat="0" applyProtection="0">
      <alignment vertical="center"/>
    </xf>
    <xf numFmtId="0" fontId="66" fillId="0" borderId="118" applyNumberFormat="0" applyFill="0" applyAlignment="0" applyProtection="0"/>
    <xf numFmtId="0" fontId="73" fillId="69" borderId="132" applyNumberFormat="0" applyProtection="0">
      <alignment horizontal="left" vertical="top" indent="1"/>
    </xf>
    <xf numFmtId="4" fontId="73" fillId="23" borderId="132" applyNumberFormat="0" applyProtection="0">
      <alignment horizontal="right" vertical="center"/>
    </xf>
    <xf numFmtId="0" fontId="66" fillId="0" borderId="118" applyNumberFormat="0" applyFill="0" applyAlignment="0" applyProtection="0"/>
    <xf numFmtId="0" fontId="11" fillId="3" borderId="128" applyNumberFormat="0">
      <protection locked="0"/>
    </xf>
    <xf numFmtId="4" fontId="73" fillId="25" borderId="132" applyNumberFormat="0" applyProtection="0">
      <alignment horizontal="right" vertical="center"/>
    </xf>
    <xf numFmtId="0" fontId="30" fillId="5" borderId="123" applyNumberFormat="0" applyAlignment="0" applyProtection="0"/>
    <xf numFmtId="4" fontId="11" fillId="0" borderId="128" applyNumberFormat="0" applyProtection="0">
      <alignment horizontal="right" vertical="center"/>
    </xf>
    <xf numFmtId="0" fontId="11" fillId="15" borderId="132" applyNumberFormat="0" applyProtection="0">
      <alignment horizontal="left" vertical="center" indent="1"/>
    </xf>
    <xf numFmtId="4" fontId="73" fillId="72" borderId="132" applyNumberFormat="0" applyProtection="0">
      <alignment horizontal="right" vertical="center"/>
    </xf>
    <xf numFmtId="0" fontId="66" fillId="0" borderId="118" applyNumberFormat="0" applyFill="0" applyAlignment="0" applyProtection="0"/>
    <xf numFmtId="0" fontId="129" fillId="72" borderId="146" applyNumberFormat="0" applyProtection="0">
      <alignment horizontal="left" vertical="center" indent="1"/>
    </xf>
    <xf numFmtId="4" fontId="101" fillId="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0" fontId="11" fillId="22" borderId="132" applyNumberFormat="0" applyProtection="0">
      <alignment horizontal="left" vertical="top" indent="1"/>
    </xf>
    <xf numFmtId="4" fontId="73" fillId="25" borderId="132" applyNumberFormat="0" applyProtection="0">
      <alignment horizontal="right" vertical="center"/>
    </xf>
    <xf numFmtId="4" fontId="73" fillId="9" borderId="132" applyNumberFormat="0" applyProtection="0">
      <alignment horizontal="left" vertical="center" indent="1"/>
    </xf>
    <xf numFmtId="0" fontId="11" fillId="69"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101" fillId="2" borderId="132" applyNumberFormat="0" applyProtection="0">
      <alignment horizontal="left" vertical="center" indent="1"/>
    </xf>
    <xf numFmtId="0" fontId="11" fillId="15" borderId="146" applyNumberFormat="0" applyProtection="0">
      <alignment horizontal="left" vertical="top" indent="1"/>
    </xf>
    <xf numFmtId="0" fontId="11" fillId="9" borderId="124" applyNumberFormat="0" applyFont="0" applyAlignment="0" applyProtection="0"/>
    <xf numFmtId="0" fontId="11" fillId="22" borderId="132" applyNumberFormat="0" applyProtection="0">
      <alignment horizontal="left" vertical="center" indent="1"/>
    </xf>
    <xf numFmtId="237" fontId="50" fillId="0" borderId="131">
      <protection locked="0"/>
    </xf>
    <xf numFmtId="4" fontId="73" fillId="70" borderId="132" applyNumberFormat="0" applyProtection="0">
      <alignment horizontal="right" vertical="center"/>
    </xf>
    <xf numFmtId="10" fontId="17" fillId="39" borderId="142" applyNumberFormat="0" applyBorder="0" applyAlignment="0" applyProtection="0"/>
    <xf numFmtId="0" fontId="11" fillId="9" borderId="124" applyNumberFormat="0" applyFont="0" applyAlignment="0" applyProtection="0"/>
    <xf numFmtId="0" fontId="101" fillId="2" borderId="132" applyNumberFormat="0" applyProtection="0">
      <alignment horizontal="left" vertical="top" indent="1"/>
    </xf>
    <xf numFmtId="0" fontId="66" fillId="0" borderId="118" applyNumberFormat="0" applyFill="0" applyAlignment="0" applyProtection="0"/>
    <xf numFmtId="4" fontId="73" fillId="9" borderId="132" applyNumberFormat="0" applyProtection="0">
      <alignment vertical="center"/>
    </xf>
    <xf numFmtId="0" fontId="66" fillId="0" borderId="118" applyNumberFormat="0" applyFill="0" applyAlignment="0" applyProtection="0"/>
    <xf numFmtId="4" fontId="11" fillId="0" borderId="128" applyNumberFormat="0" applyProtection="0">
      <alignment horizontal="right" vertical="center"/>
    </xf>
    <xf numFmtId="0" fontId="30" fillId="5" borderId="137" applyNumberFormat="0" applyAlignment="0" applyProtection="0"/>
    <xf numFmtId="4" fontId="73" fillId="8" borderId="132" applyNumberFormat="0" applyProtection="0">
      <alignment horizontal="right" vertical="center"/>
    </xf>
    <xf numFmtId="4" fontId="73" fillId="27" borderId="132" applyNumberFormat="0" applyProtection="0">
      <alignment horizontal="right" vertical="center"/>
    </xf>
    <xf numFmtId="0" fontId="11" fillId="9" borderId="124" applyNumberFormat="0" applyFont="0" applyAlignment="0" applyProtection="0"/>
    <xf numFmtId="4" fontId="73" fillId="9" borderId="132" applyNumberFormat="0" applyProtection="0">
      <alignment horizontal="left" vertical="center" indent="1"/>
    </xf>
    <xf numFmtId="0" fontId="66" fillId="0" borderId="118" applyNumberFormat="0" applyFill="0" applyAlignment="0" applyProtection="0"/>
    <xf numFmtId="4" fontId="99" fillId="0" borderId="129" applyBorder="0">
      <alignment horizontal="right" wrapText="1"/>
    </xf>
    <xf numFmtId="4" fontId="153" fillId="9" borderId="132" applyNumberFormat="0" applyProtection="0">
      <alignment vertical="center"/>
    </xf>
    <xf numFmtId="0" fontId="11" fillId="9" borderId="138" applyNumberFormat="0" applyFont="0" applyAlignment="0" applyProtection="0"/>
    <xf numFmtId="4" fontId="74" fillId="0" borderId="136" applyFont="0" applyFill="0" applyBorder="0" applyAlignment="0">
      <alignment horizontal="center" vertical="center"/>
    </xf>
    <xf numFmtId="0" fontId="11" fillId="22" borderId="132" applyNumberFormat="0" applyProtection="0">
      <alignment horizontal="left" vertical="center" indent="1"/>
    </xf>
    <xf numFmtId="0" fontId="30" fillId="5" borderId="123" applyNumberFormat="0" applyAlignment="0" applyProtection="0"/>
    <xf numFmtId="4" fontId="73" fillId="17" borderId="132" applyNumberFormat="0" applyProtection="0">
      <alignment horizontal="right" vertical="center"/>
    </xf>
    <xf numFmtId="0" fontId="101" fillId="2" borderId="132" applyNumberFormat="0" applyProtection="0">
      <alignment horizontal="left" vertical="top" indent="1"/>
    </xf>
    <xf numFmtId="4" fontId="74" fillId="0" borderId="136" applyFont="0" applyFill="0" applyBorder="0" applyAlignment="0">
      <alignment horizontal="center" vertical="center"/>
    </xf>
    <xf numFmtId="0" fontId="11" fillId="9" borderId="124" applyNumberFormat="0" applyFont="0" applyAlignment="0" applyProtection="0"/>
    <xf numFmtId="0" fontId="11" fillId="69" borderId="132" applyNumberFormat="0" applyProtection="0">
      <alignment horizontal="left" vertical="center" indent="1"/>
    </xf>
    <xf numFmtId="0" fontId="11" fillId="7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4" fontId="11" fillId="0" borderId="128" applyNumberFormat="0" applyProtection="0">
      <alignment horizontal="right" vertical="center"/>
    </xf>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11" fillId="3" borderId="128" applyNumberFormat="0">
      <protection locked="0"/>
    </xf>
    <xf numFmtId="0" fontId="32" fillId="14" borderId="123" applyNumberFormat="0" applyAlignment="0" applyProtection="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238" fontId="17" fillId="0" borderId="142" applyFont="0" applyFill="0" applyBorder="0" applyAlignment="0" applyProtection="0"/>
    <xf numFmtId="1" fontId="84" fillId="37" borderId="141" applyNumberFormat="0" applyBorder="0" applyAlignment="0">
      <alignment horizontal="centerContinuous" vertical="center"/>
      <protection locked="0"/>
    </xf>
    <xf numFmtId="0" fontId="11" fillId="72" borderId="146" applyNumberFormat="0" applyProtection="0">
      <alignment horizontal="left" vertical="center" indent="1"/>
    </xf>
    <xf numFmtId="0" fontId="129" fillId="72" borderId="146" applyNumberFormat="0" applyProtection="0">
      <alignment horizontal="left" vertical="center" indent="1"/>
    </xf>
    <xf numFmtId="49" fontId="50" fillId="0" borderId="145">
      <protection locked="0"/>
    </xf>
    <xf numFmtId="0" fontId="11" fillId="9" borderId="124" applyNumberFormat="0" applyFont="0" applyAlignment="0" applyProtection="0"/>
    <xf numFmtId="0" fontId="11" fillId="9" borderId="124" applyNumberFormat="0" applyFont="0" applyAlignment="0" applyProtection="0"/>
    <xf numFmtId="0" fontId="30" fillId="5" borderId="137" applyNumberFormat="0" applyAlignment="0" applyProtection="0"/>
    <xf numFmtId="0" fontId="30" fillId="5" borderId="137" applyNumberFormat="0" applyAlignment="0" applyProtection="0"/>
    <xf numFmtId="0" fontId="32" fillId="14" borderId="137" applyNumberFormat="0" applyAlignment="0" applyProtection="0"/>
    <xf numFmtId="49" fontId="50" fillId="0" borderId="142">
      <alignment vertical="top"/>
      <protection locked="0"/>
    </xf>
    <xf numFmtId="190" fontId="40" fillId="0" borderId="144"/>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30" fillId="5" borderId="137" applyNumberFormat="0" applyAlignment="0" applyProtection="0"/>
    <xf numFmtId="4" fontId="151" fillId="2" borderId="146" applyNumberFormat="0" applyProtection="0">
      <alignment vertical="center"/>
    </xf>
    <xf numFmtId="4" fontId="73" fillId="69" borderId="146" applyNumberFormat="0" applyProtection="0">
      <alignment horizontal="left" vertical="center" indent="1"/>
    </xf>
    <xf numFmtId="4" fontId="73" fillId="29" borderId="146" applyNumberFormat="0" applyProtection="0">
      <alignment horizontal="right" vertical="center"/>
    </xf>
    <xf numFmtId="238" fontId="17" fillId="0" borderId="142" applyFont="0" applyFill="0" applyBorder="0" applyAlignment="0" applyProtection="0"/>
    <xf numFmtId="4" fontId="20" fillId="72" borderId="146" applyNumberFormat="0" applyProtection="0">
      <alignment horizontal="right" vertical="center"/>
    </xf>
    <xf numFmtId="4" fontId="73" fillId="7" borderId="146" applyNumberFormat="0" applyProtection="0">
      <alignment horizontal="right" vertical="center"/>
    </xf>
    <xf numFmtId="0" fontId="11" fillId="72" borderId="146" applyNumberFormat="0" applyProtection="0">
      <alignment horizontal="left" vertical="center" indent="1"/>
    </xf>
    <xf numFmtId="0" fontId="30" fillId="5" borderId="137" applyNumberFormat="0" applyAlignment="0" applyProtection="0"/>
    <xf numFmtId="4" fontId="73" fillId="16" borderId="146" applyNumberFormat="0" applyProtection="0">
      <alignment horizontal="right" vertical="center"/>
    </xf>
    <xf numFmtId="0" fontId="11" fillId="15" borderId="146" applyNumberFormat="0" applyProtection="0">
      <alignment horizontal="left" vertical="center" indent="1"/>
    </xf>
    <xf numFmtId="1" fontId="84" fillId="37" borderId="141" applyNumberFormat="0" applyBorder="0" applyAlignment="0">
      <alignment horizontal="centerContinuous" vertical="center"/>
      <protection locked="0"/>
    </xf>
    <xf numFmtId="0" fontId="11" fillId="69" borderId="146" applyNumberFormat="0" applyProtection="0">
      <alignment horizontal="left" vertical="center" indent="1"/>
    </xf>
    <xf numFmtId="0" fontId="11" fillId="9" borderId="138" applyNumberFormat="0" applyFont="0" applyAlignment="0" applyProtection="0"/>
    <xf numFmtId="4" fontId="73" fillId="9" borderId="146" applyNumberFormat="0" applyProtection="0">
      <alignment vertical="center"/>
    </xf>
    <xf numFmtId="4" fontId="101" fillId="2" borderId="146" applyNumberFormat="0" applyProtection="0">
      <alignment vertical="center"/>
    </xf>
    <xf numFmtId="4" fontId="73" fillId="16" borderId="146" applyNumberFormat="0" applyProtection="0">
      <alignment horizontal="right" vertical="center"/>
    </xf>
    <xf numFmtId="0" fontId="11" fillId="9" borderId="138" applyNumberFormat="0" applyFont="0" applyAlignment="0" applyProtection="0"/>
    <xf numFmtId="4" fontId="73" fillId="69" borderId="146" applyNumberFormat="0" applyProtection="0">
      <alignment horizontal="right" vertical="center"/>
    </xf>
    <xf numFmtId="4" fontId="73" fillId="8" borderId="146" applyNumberFormat="0" applyProtection="0">
      <alignment horizontal="right" vertical="center"/>
    </xf>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30" fillId="5" borderId="137" applyNumberFormat="0" applyAlignment="0" applyProtection="0"/>
    <xf numFmtId="0" fontId="11" fillId="9" borderId="138" applyNumberFormat="0" applyFont="0" applyAlignment="0" applyProtection="0"/>
    <xf numFmtId="0" fontId="11" fillId="15" borderId="146" applyNumberFormat="0" applyProtection="0">
      <alignment horizontal="left" vertical="top" indent="1"/>
    </xf>
    <xf numFmtId="4" fontId="73" fillId="17" borderId="146" applyNumberFormat="0" applyProtection="0">
      <alignment horizontal="right" vertical="center"/>
    </xf>
    <xf numFmtId="4" fontId="73" fillId="29" borderId="146" applyNumberFormat="0" applyProtection="0">
      <alignment horizontal="right" vertical="center"/>
    </xf>
    <xf numFmtId="4" fontId="73" fillId="70" borderId="146" applyNumberFormat="0" applyProtection="0">
      <alignment horizontal="right" vertical="center"/>
    </xf>
    <xf numFmtId="0" fontId="30" fillId="5" borderId="137" applyNumberFormat="0" applyAlignment="0" applyProtection="0"/>
    <xf numFmtId="0" fontId="30" fillId="5" borderId="137" applyNumberFormat="0" applyAlignment="0" applyProtection="0"/>
    <xf numFmtId="238" fontId="17" fillId="0" borderId="142" applyFont="0" applyFill="0" applyBorder="0" applyAlignment="0" applyProtection="0"/>
    <xf numFmtId="4" fontId="73" fillId="72" borderId="146" applyNumberFormat="0" applyProtection="0">
      <alignment horizontal="right" vertical="center"/>
    </xf>
    <xf numFmtId="0" fontId="11" fillId="72" borderId="146" applyNumberFormat="0" applyProtection="0">
      <alignment horizontal="left" vertical="center" indent="1"/>
    </xf>
    <xf numFmtId="4" fontId="73" fillId="7" borderId="146" applyNumberFormat="0" applyProtection="0">
      <alignment horizontal="right" vertical="center"/>
    </xf>
    <xf numFmtId="4" fontId="73" fillId="44" borderId="142" applyNumberFormat="0" applyProtection="0">
      <alignment horizontal="right" vertical="center"/>
    </xf>
    <xf numFmtId="0" fontId="11" fillId="22" borderId="146" applyNumberFormat="0" applyProtection="0">
      <alignment horizontal="left" vertical="top" indent="1"/>
    </xf>
    <xf numFmtId="4" fontId="153" fillId="72" borderId="146" applyNumberFormat="0" applyProtection="0">
      <alignment horizontal="right" vertical="center"/>
    </xf>
    <xf numFmtId="0" fontId="11" fillId="9" borderId="138" applyNumberFormat="0" applyFont="0" applyAlignment="0" applyProtection="0"/>
    <xf numFmtId="0" fontId="11" fillId="72" borderId="146" applyNumberFormat="0" applyProtection="0">
      <alignment horizontal="left" vertical="center" indent="1"/>
    </xf>
    <xf numFmtId="0" fontId="30" fillId="5" borderId="137" applyNumberFormat="0" applyAlignment="0" applyProtection="0"/>
    <xf numFmtId="0" fontId="11" fillId="72" borderId="146" applyNumberFormat="0" applyProtection="0">
      <alignment horizontal="left" vertical="center" indent="1"/>
    </xf>
    <xf numFmtId="4" fontId="153" fillId="72" borderId="146" applyNumberFormat="0" applyProtection="0">
      <alignment horizontal="right" vertical="center"/>
    </xf>
    <xf numFmtId="0" fontId="11" fillId="9" borderId="138" applyNumberFormat="0" applyFont="0" applyAlignment="0" applyProtection="0"/>
    <xf numFmtId="4" fontId="11" fillId="41" borderId="142" applyNumberFormat="0" applyProtection="0">
      <alignment vertical="center"/>
    </xf>
    <xf numFmtId="0" fontId="73" fillId="69" borderId="146" applyNumberFormat="0" applyProtection="0">
      <alignment horizontal="left" vertical="top" indent="1"/>
    </xf>
    <xf numFmtId="4" fontId="73" fillId="23" borderId="146" applyNumberFormat="0" applyProtection="0">
      <alignment horizontal="right" vertical="center"/>
    </xf>
    <xf numFmtId="0" fontId="11" fillId="3" borderId="142" applyNumberFormat="0">
      <protection locked="0"/>
    </xf>
    <xf numFmtId="4" fontId="73" fillId="25" borderId="146" applyNumberFormat="0" applyProtection="0">
      <alignment horizontal="right" vertical="center"/>
    </xf>
    <xf numFmtId="0" fontId="30" fillId="5" borderId="137" applyNumberFormat="0" applyAlignment="0" applyProtection="0"/>
    <xf numFmtId="4" fontId="11" fillId="0" borderId="142" applyNumberFormat="0" applyProtection="0">
      <alignment horizontal="right" vertical="center"/>
    </xf>
    <xf numFmtId="0" fontId="11" fillId="15" borderId="146" applyNumberFormat="0" applyProtection="0">
      <alignment horizontal="left" vertical="center" indent="1"/>
    </xf>
    <xf numFmtId="4" fontId="73" fillId="72" borderId="146" applyNumberFormat="0" applyProtection="0">
      <alignment horizontal="right" vertical="center"/>
    </xf>
    <xf numFmtId="4" fontId="101" fillId="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0" fontId="11" fillId="22" borderId="146" applyNumberFormat="0" applyProtection="0">
      <alignment horizontal="left" vertical="top" indent="1"/>
    </xf>
    <xf numFmtId="4" fontId="73" fillId="25" borderId="146" applyNumberFormat="0" applyProtection="0">
      <alignment horizontal="right" vertical="center"/>
    </xf>
    <xf numFmtId="4" fontId="73" fillId="9" borderId="146" applyNumberFormat="0" applyProtection="0">
      <alignment horizontal="left" vertical="center" indent="1"/>
    </xf>
    <xf numFmtId="0" fontId="11" fillId="69" borderId="146" applyNumberFormat="0" applyProtection="0">
      <alignment horizontal="left" vertical="center" indent="1"/>
    </xf>
    <xf numFmtId="10" fontId="17" fillId="39" borderId="142" applyNumberFormat="0" applyBorder="0" applyAlignment="0" applyProtection="0"/>
    <xf numFmtId="4" fontId="101" fillId="2" borderId="146" applyNumberFormat="0" applyProtection="0">
      <alignment horizontal="left" vertical="center" indent="1"/>
    </xf>
    <xf numFmtId="0" fontId="11" fillId="9" borderId="138" applyNumberFormat="0" applyFont="0" applyAlignment="0" applyProtection="0"/>
    <xf numFmtId="0" fontId="11" fillId="22" borderId="146" applyNumberFormat="0" applyProtection="0">
      <alignment horizontal="left" vertical="center" indent="1"/>
    </xf>
    <xf numFmtId="237" fontId="50" fillId="0" borderId="145">
      <protection locked="0"/>
    </xf>
    <xf numFmtId="4" fontId="73" fillId="70" borderId="146" applyNumberFormat="0" applyProtection="0">
      <alignment horizontal="right" vertical="center"/>
    </xf>
    <xf numFmtId="0" fontId="11" fillId="9" borderId="138" applyNumberFormat="0" applyFont="0" applyAlignment="0" applyProtection="0"/>
    <xf numFmtId="0" fontId="101" fillId="2" borderId="146" applyNumberFormat="0" applyProtection="0">
      <alignment horizontal="left" vertical="top" indent="1"/>
    </xf>
    <xf numFmtId="4" fontId="73" fillId="9" borderId="146" applyNumberFormat="0" applyProtection="0">
      <alignment vertical="center"/>
    </xf>
    <xf numFmtId="4" fontId="73" fillId="8" borderId="146" applyNumberFormat="0" applyProtection="0">
      <alignment horizontal="right" vertical="center"/>
    </xf>
    <xf numFmtId="4" fontId="73" fillId="27" borderId="146" applyNumberFormat="0" applyProtection="0">
      <alignment horizontal="right" vertical="center"/>
    </xf>
    <xf numFmtId="0" fontId="11" fillId="9" borderId="138" applyNumberFormat="0" applyFont="0" applyAlignment="0" applyProtection="0"/>
    <xf numFmtId="4" fontId="73" fillId="9" borderId="146" applyNumberFormat="0" applyProtection="0">
      <alignment horizontal="left" vertical="center" indent="1"/>
    </xf>
    <xf numFmtId="4" fontId="99" fillId="0" borderId="143" applyBorder="0">
      <alignment horizontal="right" wrapText="1"/>
    </xf>
    <xf numFmtId="4" fontId="153" fillId="9" borderId="146" applyNumberFormat="0" applyProtection="0">
      <alignment vertical="center"/>
    </xf>
    <xf numFmtId="0" fontId="11" fillId="22" borderId="146" applyNumberFormat="0" applyProtection="0">
      <alignment horizontal="left" vertical="center" indent="1"/>
    </xf>
    <xf numFmtId="0" fontId="30" fillId="5" borderId="137" applyNumberFormat="0" applyAlignment="0" applyProtection="0"/>
    <xf numFmtId="4" fontId="73" fillId="17" borderId="146" applyNumberFormat="0" applyProtection="0">
      <alignment horizontal="right" vertical="center"/>
    </xf>
    <xf numFmtId="0" fontId="101" fillId="2" borderId="146" applyNumberFormat="0" applyProtection="0">
      <alignment horizontal="left" vertical="top" indent="1"/>
    </xf>
    <xf numFmtId="0" fontId="11" fillId="9" borderId="138" applyNumberFormat="0" applyFont="0" applyAlignment="0" applyProtection="0"/>
    <xf numFmtId="0" fontId="11" fillId="69" borderId="146" applyNumberFormat="0" applyProtection="0">
      <alignment horizontal="left" vertical="center" indent="1"/>
    </xf>
    <xf numFmtId="0" fontId="11" fillId="7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4" fontId="11" fillId="0" borderId="142" applyNumberFormat="0" applyProtection="0">
      <alignment horizontal="right" vertical="center"/>
    </xf>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1" fillId="3" borderId="142" applyNumberFormat="0">
      <protection locked="0"/>
    </xf>
    <xf numFmtId="0" fontId="32" fillId="14" borderId="137" applyNumberFormat="0" applyAlignment="0" applyProtection="0"/>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33" fillId="3" borderId="137" applyNumberFormat="0" applyAlignment="0" applyProtection="0"/>
    <xf numFmtId="0" fontId="45" fillId="1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9" borderId="138" applyNumberFormat="0" applyFont="0" applyAlignment="0" applyProtection="0"/>
    <xf numFmtId="0" fontId="11" fillId="9" borderId="137" applyNumberFormat="0" applyFont="0" applyAlignment="0" applyProtection="0"/>
    <xf numFmtId="0" fontId="62" fillId="12" borderId="139" applyNumberFormat="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48" fillId="0" borderId="0"/>
    <xf numFmtId="244" fontId="148" fillId="0" borderId="0" applyFont="0" applyFill="0" applyBorder="0" applyAlignment="0" applyProtection="0"/>
    <xf numFmtId="9" fontId="148" fillId="0" borderId="0" applyFont="0" applyFill="0" applyBorder="0" applyAlignment="0" applyProtection="0"/>
    <xf numFmtId="243" fontId="11" fillId="0" borderId="0" applyFont="0" applyFill="0" applyBorder="0" applyAlignment="0" applyProtection="0"/>
    <xf numFmtId="0" fontId="6" fillId="0" borderId="0"/>
    <xf numFmtId="9" fontId="6" fillId="0" borderId="0" applyFont="0" applyFill="0" applyBorder="0" applyAlignment="0" applyProtection="0"/>
    <xf numFmtId="246" fontId="11" fillId="0" borderId="0" applyFont="0" applyFill="0" applyBorder="0" applyAlignment="0" applyProtection="0"/>
    <xf numFmtId="0" fontId="148" fillId="0" borderId="0"/>
    <xf numFmtId="0" fontId="161" fillId="72" borderId="146" applyNumberFormat="0" applyProtection="0">
      <alignment horizontal="left" vertical="center" indent="1"/>
    </xf>
    <xf numFmtId="43" fontId="1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44" fillId="74" borderId="0" applyNumberFormat="0" applyBorder="0" applyAlignment="0" applyProtection="0"/>
    <xf numFmtId="0" fontId="144" fillId="74"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80" borderId="0" applyNumberFormat="0" applyBorder="0" applyAlignment="0" applyProtection="0"/>
    <xf numFmtId="0" fontId="144" fillId="80" borderId="0" applyNumberFormat="0" applyBorder="0" applyAlignment="0" applyProtection="0"/>
    <xf numFmtId="0" fontId="144" fillId="83" borderId="0" applyNumberFormat="0" applyBorder="0" applyAlignment="0" applyProtection="0"/>
    <xf numFmtId="0" fontId="144" fillId="83" borderId="0" applyNumberFormat="0" applyBorder="0" applyAlignment="0" applyProtection="0"/>
    <xf numFmtId="0" fontId="144" fillId="86" borderId="0" applyNumberFormat="0" applyBorder="0" applyAlignment="0" applyProtection="0"/>
    <xf numFmtId="0" fontId="144" fillId="86" borderId="0" applyNumberFormat="0" applyBorder="0" applyAlignment="0" applyProtection="0"/>
    <xf numFmtId="0" fontId="144" fillId="89" borderId="0" applyNumberFormat="0" applyBorder="0" applyAlignment="0" applyProtection="0"/>
    <xf numFmtId="0" fontId="144" fillId="89" borderId="0" applyNumberFormat="0" applyBorder="0" applyAlignment="0" applyProtection="0"/>
    <xf numFmtId="0" fontId="144" fillId="75" borderId="0" applyNumberFormat="0" applyBorder="0" applyAlignment="0" applyProtection="0"/>
    <xf numFmtId="0" fontId="144" fillId="75" borderId="0" applyNumberFormat="0" applyBorder="0" applyAlignment="0" applyProtection="0"/>
    <xf numFmtId="0" fontId="144" fillId="78" borderId="0" applyNumberFormat="0" applyBorder="0" applyAlignment="0" applyProtection="0"/>
    <xf numFmtId="0" fontId="144" fillId="78" borderId="0" applyNumberFormat="0" applyBorder="0" applyAlignment="0" applyProtection="0"/>
    <xf numFmtId="0" fontId="144" fillId="81" borderId="0" applyNumberFormat="0" applyBorder="0" applyAlignment="0" applyProtection="0"/>
    <xf numFmtId="0" fontId="144" fillId="81" borderId="0" applyNumberFormat="0" applyBorder="0" applyAlignment="0" applyProtection="0"/>
    <xf numFmtId="0" fontId="144" fillId="84" borderId="0" applyNumberFormat="0" applyBorder="0" applyAlignment="0" applyProtection="0"/>
    <xf numFmtId="0" fontId="144" fillId="84" borderId="0" applyNumberFormat="0" applyBorder="0" applyAlignment="0" applyProtection="0"/>
    <xf numFmtId="0" fontId="144" fillId="87" borderId="0" applyNumberFormat="0" applyBorder="0" applyAlignment="0" applyProtection="0"/>
    <xf numFmtId="0" fontId="144" fillId="87" borderId="0" applyNumberFormat="0" applyBorder="0" applyAlignment="0" applyProtection="0"/>
    <xf numFmtId="0" fontId="144" fillId="90" borderId="0" applyNumberFormat="0" applyBorder="0" applyAlignment="0" applyProtection="0"/>
    <xf numFmtId="0" fontId="144" fillId="90"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9" borderId="0" applyNumberFormat="0" applyBorder="0" applyAlignment="0" applyProtection="0"/>
    <xf numFmtId="0" fontId="162" fillId="79"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5" borderId="0" applyNumberFormat="0" applyBorder="0" applyAlignment="0" applyProtection="0"/>
    <xf numFmtId="0" fontId="162" fillId="85" borderId="0" applyNumberFormat="0" applyBorder="0" applyAlignment="0" applyProtection="0"/>
    <xf numFmtId="0" fontId="162" fillId="88" borderId="0" applyNumberFormat="0" applyBorder="0" applyAlignment="0" applyProtection="0"/>
    <xf numFmtId="0" fontId="162" fillId="88" borderId="0" applyNumberFormat="0" applyBorder="0" applyAlignment="0" applyProtection="0"/>
    <xf numFmtId="0" fontId="162" fillId="91" borderId="0" applyNumberFormat="0" applyBorder="0" applyAlignment="0" applyProtection="0"/>
    <xf numFmtId="0" fontId="162" fillId="91" borderId="0" applyNumberFormat="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245" fontId="148" fillId="0" borderId="0" applyFont="0" applyFill="0" applyBorder="0" applyAlignment="0" applyProtection="0"/>
    <xf numFmtId="257" fontId="11" fillId="0" borderId="0" applyFont="0" applyFill="0" applyBorder="0" applyAlignment="0" applyProtection="0"/>
    <xf numFmtId="257" fontId="11" fillId="0" borderId="0" applyFont="0" applyFill="0" applyBorder="0" applyAlignment="0" applyProtection="0"/>
    <xf numFmtId="243" fontId="148" fillId="0" borderId="0" applyFont="0" applyFill="0" applyBorder="0" applyAlignment="0" applyProtection="0"/>
    <xf numFmtId="258" fontId="11"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8" fillId="0" borderId="0"/>
    <xf numFmtId="0" fontId="148" fillId="0" borderId="0"/>
    <xf numFmtId="0" fontId="11" fillId="64" borderId="138" applyNumberFormat="0" applyFont="0" applyAlignment="0" applyProtection="0"/>
    <xf numFmtId="0" fontId="11" fillId="64" borderId="138" applyNumberFormat="0" applyFont="0" applyAlignment="0" applyProtection="0"/>
    <xf numFmtId="4" fontId="164" fillId="2" borderId="146" applyNumberFormat="0" applyProtection="0">
      <alignment vertical="center"/>
    </xf>
    <xf numFmtId="4" fontId="164" fillId="2" borderId="146" applyNumberFormat="0" applyProtection="0">
      <alignment horizontal="left" vertical="center" indent="1"/>
    </xf>
    <xf numFmtId="4" fontId="164" fillId="69" borderId="0" applyNumberFormat="0" applyProtection="0">
      <alignment horizontal="left" vertical="center" wrapText="1" indent="1"/>
    </xf>
    <xf numFmtId="4" fontId="165"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165" fillId="72" borderId="146" applyNumberFormat="0" applyProtection="0">
      <alignment horizontal="right" vertical="center"/>
    </xf>
    <xf numFmtId="4" fontId="165" fillId="69" borderId="146" applyNumberFormat="0" applyProtection="0">
      <alignment horizontal="left" vertical="center" indent="1"/>
    </xf>
    <xf numFmtId="0" fontId="5" fillId="0" borderId="0"/>
    <xf numFmtId="244" fontId="5" fillId="0" borderId="0" applyFont="0" applyFill="0" applyBorder="0" applyAlignment="0" applyProtection="0"/>
    <xf numFmtId="9" fontId="5" fillId="0" borderId="0" applyFont="0" applyFill="0" applyBorder="0" applyAlignment="0" applyProtection="0"/>
    <xf numFmtId="0" fontId="5" fillId="0" borderId="0"/>
    <xf numFmtId="0" fontId="167" fillId="0" borderId="0"/>
    <xf numFmtId="0" fontId="170" fillId="0" borderId="0" applyNumberFormat="0" applyFill="0" applyBorder="0" applyAlignment="0" applyProtection="0"/>
    <xf numFmtId="0" fontId="171" fillId="0" borderId="153" applyNumberFormat="0" applyFill="0" applyAlignment="0" applyProtection="0"/>
    <xf numFmtId="0" fontId="172" fillId="0" borderId="154" applyNumberFormat="0" applyFill="0" applyAlignment="0" applyProtection="0"/>
    <xf numFmtId="0" fontId="173" fillId="0" borderId="155" applyNumberFormat="0" applyFill="0" applyAlignment="0" applyProtection="0"/>
    <xf numFmtId="0" fontId="173" fillId="0" borderId="0" applyNumberFormat="0" applyFill="0" applyBorder="0" applyAlignment="0" applyProtection="0"/>
    <xf numFmtId="0" fontId="174" fillId="92" borderId="0" applyNumberFormat="0" applyBorder="0" applyAlignment="0" applyProtection="0"/>
    <xf numFmtId="0" fontId="175" fillId="93" borderId="0" applyNumberFormat="0" applyBorder="0" applyAlignment="0" applyProtection="0"/>
    <xf numFmtId="0" fontId="176" fillId="94" borderId="0" applyNumberFormat="0" applyBorder="0" applyAlignment="0" applyProtection="0"/>
    <xf numFmtId="0" fontId="177" fillId="95" borderId="156" applyNumberFormat="0" applyAlignment="0" applyProtection="0"/>
    <xf numFmtId="0" fontId="178" fillId="96" borderId="157" applyNumberFormat="0" applyAlignment="0" applyProtection="0"/>
    <xf numFmtId="0" fontId="179" fillId="96" borderId="156" applyNumberFormat="0" applyAlignment="0" applyProtection="0"/>
    <xf numFmtId="0" fontId="180" fillId="0" borderId="158" applyNumberFormat="0" applyFill="0" applyAlignment="0" applyProtection="0"/>
    <xf numFmtId="0" fontId="181" fillId="97" borderId="159" applyNumberFormat="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4" fillId="0" borderId="160" applyNumberFormat="0" applyFill="0" applyAlignment="0" applyProtection="0"/>
    <xf numFmtId="0" fontId="185" fillId="98"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85" fillId="76" borderId="0" applyNumberFormat="0" applyBorder="0" applyAlignment="0" applyProtection="0"/>
    <xf numFmtId="0" fontId="185" fillId="9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85" fillId="79" borderId="0" applyNumberFormat="0" applyBorder="0" applyAlignment="0" applyProtection="0"/>
    <xf numFmtId="0" fontId="185" fillId="10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85" fillId="82" borderId="0" applyNumberFormat="0" applyBorder="0" applyAlignment="0" applyProtection="0"/>
    <xf numFmtId="0" fontId="185" fillId="101"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85" fillId="85" borderId="0" applyNumberFormat="0" applyBorder="0" applyAlignment="0" applyProtection="0"/>
    <xf numFmtId="0" fontId="185" fillId="102"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85" fillId="88" borderId="0" applyNumberFormat="0" applyBorder="0" applyAlignment="0" applyProtection="0"/>
    <xf numFmtId="0" fontId="185" fillId="103" borderId="0" applyNumberFormat="0" applyBorder="0" applyAlignment="0" applyProtection="0"/>
    <xf numFmtId="0" fontId="4" fillId="89" borderId="0" applyNumberFormat="0" applyBorder="0" applyAlignment="0" applyProtection="0"/>
    <xf numFmtId="0" fontId="4" fillId="90" borderId="0" applyNumberFormat="0" applyBorder="0" applyAlignment="0" applyProtection="0"/>
    <xf numFmtId="0" fontId="185" fillId="91" borderId="0" applyNumberFormat="0" applyBorder="0" applyAlignment="0" applyProtection="0"/>
    <xf numFmtId="0" fontId="4" fillId="0" borderId="0"/>
    <xf numFmtId="0" fontId="4" fillId="0" borderId="0"/>
    <xf numFmtId="0" fontId="73" fillId="0" borderId="0">
      <alignment vertical="top"/>
    </xf>
    <xf numFmtId="0" fontId="4" fillId="0" borderId="0"/>
    <xf numFmtId="0" fontId="4" fillId="55" borderId="49" applyNumberFormat="0" applyFont="0" applyAlignment="0" applyProtection="0"/>
    <xf numFmtId="0" fontId="11" fillId="0" borderId="0"/>
    <xf numFmtId="0" fontId="39" fillId="4" borderId="0" applyNumberFormat="0" applyBorder="0" applyAlignment="0" applyProtection="0"/>
    <xf numFmtId="0" fontId="4" fillId="74" borderId="0" applyNumberFormat="0" applyBorder="0" applyAlignment="0" applyProtection="0"/>
    <xf numFmtId="0" fontId="1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4" fillId="77"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 fillId="80" borderId="0" applyNumberFormat="0" applyBorder="0" applyAlignment="0" applyProtection="0"/>
    <xf numFmtId="0" fontId="39" fillId="11" borderId="0" applyNumberFormat="0" applyBorder="0" applyAlignment="0" applyProtection="0"/>
    <xf numFmtId="0" fontId="4" fillId="83" borderId="0" applyNumberFormat="0" applyBorder="0" applyAlignment="0" applyProtection="0"/>
    <xf numFmtId="0" fontId="39" fillId="13" borderId="0" applyNumberFormat="0" applyBorder="0" applyAlignment="0" applyProtection="0"/>
    <xf numFmtId="0" fontId="4" fillId="86"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4" fillId="89" borderId="0" applyNumberFormat="0" applyBorder="0" applyAlignment="0" applyProtection="0"/>
    <xf numFmtId="0" fontId="39" fillId="15" borderId="0" applyNumberFormat="0" applyBorder="0" applyAlignment="0" applyProtection="0"/>
    <xf numFmtId="0" fontId="4" fillId="7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4" fillId="78" borderId="0" applyNumberFormat="0" applyBorder="0" applyAlignment="0" applyProtection="0"/>
    <xf numFmtId="0" fontId="39" fillId="16" borderId="0" applyNumberFormat="0" applyBorder="0" applyAlignment="0" applyProtection="0"/>
    <xf numFmtId="0" fontId="4" fillId="81" borderId="0" applyNumberFormat="0" applyBorder="0" applyAlignment="0" applyProtection="0"/>
    <xf numFmtId="0" fontId="39" fillId="11" borderId="0" applyNumberFormat="0" applyBorder="0" applyAlignment="0" applyProtection="0"/>
    <xf numFmtId="0" fontId="4" fillId="84"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5" borderId="0" applyNumberFormat="0" applyBorder="0" applyAlignment="0" applyProtection="0"/>
    <xf numFmtId="0" fontId="4" fillId="87" borderId="0" applyNumberFormat="0" applyBorder="0" applyAlignment="0" applyProtection="0"/>
    <xf numFmtId="0" fontId="39" fillId="17" borderId="0" applyNumberFormat="0" applyBorder="0" applyAlignment="0" applyProtection="0"/>
    <xf numFmtId="0" fontId="4" fillId="90"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5"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32" fillId="3" borderId="137" applyNumberFormat="0" applyAlignment="0" applyProtection="0"/>
    <xf numFmtId="0" fontId="32" fillId="3" borderId="137" applyNumberFormat="0" applyAlignment="0" applyProtection="0"/>
    <xf numFmtId="0" fontId="34" fillId="12" borderId="6" applyNumberFormat="0" applyAlignment="0" applyProtection="0"/>
    <xf numFmtId="43" fontId="1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20" fontId="76" fillId="0" borderId="0">
      <protection locked="0"/>
    </xf>
    <xf numFmtId="44" fontId="149" fillId="0" borderId="0" applyFont="0" applyFill="0" applyBorder="0" applyAlignment="0" applyProtection="0"/>
    <xf numFmtId="44" fontId="149" fillId="0" borderId="0" applyFont="0" applyFill="0" applyBorder="0" applyAlignment="0" applyProtection="0"/>
    <xf numFmtId="6" fontId="82" fillId="0" borderId="0">
      <protection locked="0"/>
    </xf>
    <xf numFmtId="9" fontId="4" fillId="0" borderId="0" applyFont="0" applyFill="0" applyBorder="0" applyAlignment="0" applyProtection="0"/>
    <xf numFmtId="0" fontId="4" fillId="0" borderId="0"/>
    <xf numFmtId="0" fontId="36" fillId="0" borderId="0" applyNumberFormat="0" applyFill="0" applyBorder="0" applyAlignment="0" applyProtection="0"/>
    <xf numFmtId="9" fontId="4" fillId="0" borderId="0" applyFont="0" applyFill="0" applyBorder="0" applyAlignment="0" applyProtection="0"/>
    <xf numFmtId="0" fontId="28" fillId="10" borderId="0" applyNumberFormat="0" applyBorder="0" applyAlignment="0" applyProtection="0"/>
    <xf numFmtId="0" fontId="186" fillId="0" borderId="161" applyNumberFormat="0" applyFill="0" applyAlignment="0" applyProtection="0"/>
    <xf numFmtId="0" fontId="186" fillId="0" borderId="161" applyNumberFormat="0" applyFill="0" applyAlignment="0" applyProtection="0"/>
    <xf numFmtId="0" fontId="187" fillId="0" borderId="162" applyNumberFormat="0" applyFill="0" applyAlignment="0" applyProtection="0"/>
    <xf numFmtId="0" fontId="187" fillId="0" borderId="162"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9" fontId="4" fillId="0" borderId="0" applyFont="0" applyFill="0" applyBorder="0" applyAlignment="0" applyProtection="0"/>
    <xf numFmtId="0" fontId="4" fillId="0" borderId="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3" fillId="0" borderId="21" applyNumberFormat="0" applyFill="0" applyAlignment="0" applyProtection="0"/>
    <xf numFmtId="0" fontId="29" fillId="2" borderId="0" applyNumberFormat="0" applyBorder="0" applyAlignment="0" applyProtection="0"/>
    <xf numFmtId="0" fontId="73" fillId="0" borderId="0"/>
    <xf numFmtId="0" fontId="73" fillId="0" borderId="0"/>
    <xf numFmtId="0" fontId="11" fillId="0" borderId="0"/>
    <xf numFmtId="0" fontId="4" fillId="0" borderId="0"/>
    <xf numFmtId="0" fontId="4" fillId="0" borderId="0"/>
    <xf numFmtId="175" fontId="12" fillId="0" borderId="0"/>
    <xf numFmtId="0" fontId="4" fillId="0" borderId="0"/>
    <xf numFmtId="0" fontId="39" fillId="0" borderId="0"/>
    <xf numFmtId="0" fontId="149" fillId="0" borderId="0"/>
    <xf numFmtId="0" fontId="4" fillId="0" borderId="0"/>
    <xf numFmtId="0" fontId="149" fillId="0" borderId="0"/>
    <xf numFmtId="0" fontId="149" fillId="0" borderId="0"/>
    <xf numFmtId="0" fontId="149" fillId="0" borderId="0"/>
    <xf numFmtId="0" fontId="149" fillId="0" borderId="0"/>
    <xf numFmtId="0" fontId="11" fillId="0" borderId="0"/>
    <xf numFmtId="0" fontId="149" fillId="0" borderId="0"/>
    <xf numFmtId="0" fontId="11" fillId="0" borderId="0"/>
    <xf numFmtId="0" fontId="11" fillId="0" borderId="0"/>
    <xf numFmtId="0" fontId="11" fillId="0" borderId="0"/>
    <xf numFmtId="0" fontId="11" fillId="0" borderId="0"/>
    <xf numFmtId="0" fontId="39" fillId="0" borderId="0"/>
    <xf numFmtId="0" fontId="4" fillId="0" borderId="0"/>
    <xf numFmtId="0" fontId="39" fillId="0" borderId="0"/>
    <xf numFmtId="0" fontId="4" fillId="0" borderId="0"/>
    <xf numFmtId="0" fontId="11" fillId="2" borderId="138" applyNumberFormat="0" applyFont="0" applyAlignment="0" applyProtection="0"/>
    <xf numFmtId="0" fontId="11" fillId="2" borderId="138" applyNumberFormat="0" applyFont="0" applyAlignment="0" applyProtection="0"/>
    <xf numFmtId="0" fontId="39" fillId="9" borderId="138" applyNumberFormat="0" applyFont="0" applyAlignment="0" applyProtection="0"/>
    <xf numFmtId="0" fontId="4" fillId="55" borderId="49" applyNumberFormat="0" applyFont="0" applyAlignment="0" applyProtection="0"/>
    <xf numFmtId="0" fontId="4" fillId="55" borderId="49" applyNumberFormat="0" applyFont="0" applyAlignment="0" applyProtection="0"/>
    <xf numFmtId="0" fontId="31" fillId="3" borderId="139" applyNumberFormat="0" applyAlignment="0" applyProtection="0"/>
    <xf numFmtId="0" fontId="31" fillId="3" borderId="139" applyNumberFormat="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0" fontId="188" fillId="0" borderId="0"/>
    <xf numFmtId="0" fontId="188" fillId="0" borderId="0"/>
    <xf numFmtId="9" fontId="188" fillId="0" borderId="0" applyFont="0" applyFill="0" applyBorder="0" applyAlignment="0" applyProtection="0"/>
    <xf numFmtId="9" fontId="188" fillId="0" borderId="0" applyFont="0" applyFill="0" applyBorder="0" applyAlignment="0" applyProtection="0"/>
    <xf numFmtId="9" fontId="18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37" fillId="0" borderId="164" applyNumberFormat="0" applyFill="0" applyAlignment="0" applyProtection="0"/>
    <xf numFmtId="0" fontId="37" fillId="0" borderId="164" applyNumberFormat="0" applyFill="0" applyAlignment="0" applyProtection="0"/>
    <xf numFmtId="0" fontId="35" fillId="0" borderId="0" applyNumberFormat="0" applyFill="0" applyBorder="0" applyAlignment="0" applyProtection="0"/>
    <xf numFmtId="0" fontId="4" fillId="0" borderId="0"/>
    <xf numFmtId="0" fontId="188" fillId="0" borderId="0"/>
    <xf numFmtId="0" fontId="4" fillId="0" borderId="0"/>
    <xf numFmtId="0" fontId="11" fillId="0" borderId="0"/>
    <xf numFmtId="0" fontId="11" fillId="0" borderId="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133" fillId="3" borderId="137" applyNumberFormat="0" applyAlignment="0" applyProtection="0"/>
    <xf numFmtId="0" fontId="133" fillId="3"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45" fillId="12" borderId="137" applyNumberFormat="0" applyAlignment="0" applyProtection="0"/>
    <xf numFmtId="0" fontId="45" fillId="12" borderId="137" applyNumberFormat="0" applyAlignment="0" applyProtection="0"/>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137" fillId="2"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202" fontId="50" fillId="0" borderId="142">
      <protection locked="0"/>
    </xf>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 fillId="0" borderId="0"/>
    <xf numFmtId="0" fontId="3"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9" borderId="138" applyNumberFormat="0" applyFont="0" applyAlignment="0" applyProtection="0"/>
    <xf numFmtId="0" fontId="73"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7" applyNumberFormat="0" applyFont="0" applyAlignment="0" applyProtection="0"/>
    <xf numFmtId="0" fontId="11" fillId="9" borderId="137" applyNumberFormat="0" applyFont="0" applyAlignment="0" applyProtection="0"/>
    <xf numFmtId="0" fontId="130" fillId="3" borderId="133"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62" fillId="12" borderId="139" applyNumberFormat="0" applyAlignment="0" applyProtection="0"/>
    <xf numFmtId="0" fontId="62" fillId="12" borderId="1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01" fillId="2" borderId="146" applyNumberFormat="0" applyProtection="0">
      <alignment horizontal="left" vertical="center" indent="1"/>
    </xf>
    <xf numFmtId="4" fontId="101" fillId="2" borderId="146" applyNumberFormat="0" applyProtection="0">
      <alignment horizontal="left" vertical="center" indent="1"/>
    </xf>
    <xf numFmtId="4" fontId="101" fillId="2" borderId="146" applyNumberFormat="0" applyProtection="0">
      <alignment horizontal="left" vertical="center" indent="1"/>
    </xf>
    <xf numFmtId="0" fontId="101" fillId="2" borderId="146" applyNumberFormat="0" applyProtection="0">
      <alignment horizontal="left" vertical="top" indent="1"/>
    </xf>
    <xf numFmtId="0" fontId="101" fillId="2" borderId="146" applyNumberFormat="0" applyProtection="0">
      <alignment horizontal="left" vertical="top" indent="1"/>
    </xf>
    <xf numFmtId="0" fontId="101" fillId="2" borderId="146" applyNumberFormat="0" applyProtection="0">
      <alignment horizontal="left" vertical="top" indent="1"/>
    </xf>
    <xf numFmtId="4" fontId="73" fillId="7" borderId="146" applyNumberFormat="0" applyProtection="0">
      <alignment horizontal="right" vertical="center"/>
    </xf>
    <xf numFmtId="4" fontId="73" fillId="7" borderId="146" applyNumberFormat="0" applyProtection="0">
      <alignment horizontal="right" vertical="center"/>
    </xf>
    <xf numFmtId="4" fontId="73" fillId="7"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9" borderId="146" applyNumberFormat="0" applyProtection="0">
      <alignment vertical="center"/>
    </xf>
    <xf numFmtId="4" fontId="73" fillId="9" borderId="146" applyNumberFormat="0" applyProtection="0">
      <alignment vertical="center"/>
    </xf>
    <xf numFmtId="4" fontId="7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73" fillId="9" borderId="146" applyNumberFormat="0" applyProtection="0">
      <alignment horizontal="left" vertical="center" indent="1"/>
    </xf>
    <xf numFmtId="4" fontId="73" fillId="9" borderId="146" applyNumberFormat="0" applyProtection="0">
      <alignment horizontal="left" vertical="center" indent="1"/>
    </xf>
    <xf numFmtId="4" fontId="73" fillId="9" borderId="146" applyNumberFormat="0" applyProtection="0">
      <alignment horizontal="left" vertical="center" indent="1"/>
    </xf>
    <xf numFmtId="0" fontId="73" fillId="9" borderId="146" applyNumberFormat="0" applyProtection="0">
      <alignment horizontal="left" vertical="top" indent="1"/>
    </xf>
    <xf numFmtId="0" fontId="73" fillId="9" borderId="146" applyNumberFormat="0" applyProtection="0">
      <alignment horizontal="left" vertical="top" indent="1"/>
    </xf>
    <xf numFmtId="0" fontId="73" fillId="9" borderId="146" applyNumberFormat="0" applyProtection="0">
      <alignment horizontal="left" vertical="top" indent="1"/>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69" borderId="146" applyNumberFormat="0" applyProtection="0">
      <alignment horizontal="left" vertical="center" indent="1"/>
    </xf>
    <xf numFmtId="4" fontId="73" fillId="69" borderId="146" applyNumberFormat="0" applyProtection="0">
      <alignment horizontal="left" vertical="center" indent="1"/>
    </xf>
    <xf numFmtId="4" fontId="73" fillId="69" borderId="146" applyNumberFormat="0" applyProtection="0">
      <alignment horizontal="left" vertical="center" indent="1"/>
    </xf>
    <xf numFmtId="0" fontId="73" fillId="69" borderId="146" applyNumberFormat="0" applyProtection="0">
      <alignment horizontal="left" vertical="top" indent="1"/>
    </xf>
    <xf numFmtId="0" fontId="73" fillId="69" borderId="146" applyNumberFormat="0" applyProtection="0">
      <alignment horizontal="left" vertical="top" indent="1"/>
    </xf>
    <xf numFmtId="0" fontId="73" fillId="69" borderId="146" applyNumberFormat="0" applyProtection="0">
      <alignment horizontal="left" vertical="top" indent="1"/>
    </xf>
    <xf numFmtId="4" fontId="20" fillId="72" borderId="146" applyNumberFormat="0" applyProtection="0">
      <alignment horizontal="right" vertical="center"/>
    </xf>
    <xf numFmtId="4" fontId="20" fillId="72" borderId="146" applyNumberFormat="0" applyProtection="0">
      <alignment horizontal="right" vertical="center"/>
    </xf>
    <xf numFmtId="4" fontId="20" fillId="72" borderId="146" applyNumberFormat="0" applyProtection="0">
      <alignment horizontal="right" vertical="center"/>
    </xf>
    <xf numFmtId="0" fontId="37" fillId="0" borderId="134"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62" fillId="0" borderId="135" applyNumberFormat="0" applyFill="0" applyAlignment="0" applyProtection="0"/>
    <xf numFmtId="190" fontId="40" fillId="0" borderId="144"/>
    <xf numFmtId="190" fontId="40" fillId="0" borderId="144"/>
    <xf numFmtId="190" fontId="40" fillId="0" borderId="144"/>
    <xf numFmtId="190" fontId="40" fillId="0" borderId="144"/>
    <xf numFmtId="235" fontId="50" fillId="0" borderId="145">
      <protection locked="0"/>
    </xf>
    <xf numFmtId="235" fontId="50" fillId="0" borderId="145">
      <protection locked="0"/>
    </xf>
    <xf numFmtId="235" fontId="50" fillId="0" borderId="145">
      <protection locked="0"/>
    </xf>
    <xf numFmtId="235" fontId="50" fillId="0" borderId="145">
      <protection locked="0"/>
    </xf>
    <xf numFmtId="235" fontId="50" fillId="0" borderId="145">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44"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0" fontId="146" fillId="0" borderId="0"/>
    <xf numFmtId="0" fontId="191" fillId="0" borderId="0"/>
    <xf numFmtId="43" fontId="39" fillId="0" borderId="0" applyFont="0" applyFill="0" applyBorder="0" applyAlignment="0" applyProtection="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3" fillId="0" borderId="0" applyFont="0" applyFill="0" applyBorder="0" applyAlignment="0" applyProtection="0"/>
    <xf numFmtId="0" fontId="146" fillId="0" borderId="0"/>
    <xf numFmtId="43" fontId="146" fillId="0" borderId="0" applyFont="0" applyFill="0" applyBorder="0" applyAlignment="0" applyProtection="0"/>
    <xf numFmtId="0" fontId="3" fillId="0" borderId="0"/>
    <xf numFmtId="0" fontId="146" fillId="0" borderId="0"/>
    <xf numFmtId="0" fontId="146" fillId="0" borderId="0"/>
    <xf numFmtId="0" fontId="190" fillId="0" borderId="0"/>
    <xf numFmtId="0" fontId="146" fillId="0" borderId="0"/>
    <xf numFmtId="0" fontId="146" fillId="0" borderId="0"/>
    <xf numFmtId="0" fontId="146" fillId="0" borderId="0"/>
    <xf numFmtId="9" fontId="146" fillId="0" borderId="0" applyFont="0" applyFill="0" applyBorder="0" applyAlignment="0" applyProtection="0"/>
    <xf numFmtId="0" fontId="50" fillId="0" borderId="0" applyNumberFormat="0" applyFill="0" applyAlignment="0" applyProtection="0">
      <alignment vertical="top"/>
      <protection locked="0"/>
    </xf>
    <xf numFmtId="9" fontId="148"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89" fillId="0" borderId="0"/>
    <xf numFmtId="43" fontId="12" fillId="0" borderId="0" applyFont="0" applyFill="0" applyBorder="0" applyAlignment="0" applyProtection="0"/>
    <xf numFmtId="44" fontId="12" fillId="0" borderId="0" applyFont="0" applyFill="0" applyBorder="0" applyAlignment="0" applyProtection="0"/>
    <xf numFmtId="43" fontId="146" fillId="0" borderId="0" applyFont="0" applyFill="0" applyBorder="0" applyAlignment="0" applyProtection="0"/>
    <xf numFmtId="0" fontId="38" fillId="107" borderId="0" applyNumberFormat="0" applyBorder="0" applyAlignment="0" applyProtection="0"/>
    <xf numFmtId="0" fontId="38" fillId="109"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7"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8" borderId="0" applyNumberFormat="0" applyBorder="0" applyAlignment="0" applyProtection="0"/>
    <xf numFmtId="0" fontId="73" fillId="8"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7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2" fillId="0" borderId="0"/>
    <xf numFmtId="0" fontId="2" fillId="0" borderId="0"/>
    <xf numFmtId="0" fontId="73" fillId="7" borderId="0" applyNumberFormat="0" applyBorder="0" applyAlignment="0" applyProtection="0"/>
    <xf numFmtId="0" fontId="73" fillId="7" borderId="0" applyNumberFormat="0" applyBorder="0" applyAlignment="0" applyProtection="0"/>
    <xf numFmtId="0" fontId="2" fillId="89"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2" fillId="86" borderId="0" applyNumberFormat="0" applyBorder="0" applyAlignment="0" applyProtection="0"/>
    <xf numFmtId="0" fontId="73" fillId="15" borderId="0" applyNumberFormat="0" applyBorder="0" applyAlignment="0" applyProtection="0"/>
    <xf numFmtId="0" fontId="2" fillId="0" borderId="0"/>
    <xf numFmtId="0" fontId="39" fillId="1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2" fillId="55" borderId="49" applyNumberFormat="0" applyFont="0" applyAlignment="0" applyProtection="0"/>
    <xf numFmtId="0" fontId="2" fillId="55" borderId="49" applyNumberFormat="0" applyFont="0" applyAlignment="0" applyProtection="0"/>
    <xf numFmtId="0" fontId="73" fillId="3" borderId="0" applyNumberFormat="0" applyBorder="0" applyAlignment="0" applyProtection="0"/>
    <xf numFmtId="0" fontId="2" fillId="8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2" fillId="8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2" fillId="7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4" borderId="0" applyNumberFormat="0" applyBorder="0" applyAlignment="0" applyProtection="0"/>
    <xf numFmtId="0" fontId="11" fillId="0" borderId="0"/>
    <xf numFmtId="0" fontId="192" fillId="0" borderId="0"/>
    <xf numFmtId="0" fontId="7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85" fillId="8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85" fillId="8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185" fillId="91"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244"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218" fontId="69" fillId="31" borderId="3">
      <alignment horizontal="center" vertical="center"/>
    </xf>
    <xf numFmtId="0" fontId="35" fillId="0" borderId="0" applyNumberFormat="0" applyFill="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70" fillId="7"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75" fillId="93"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53" fillId="0" borderId="0" applyNumberFormat="0" applyFill="0" applyBorder="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79" fillId="96" borderId="156"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0" borderId="21" applyNumberFormat="0" applyFill="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12" borderId="6" applyNumberFormat="0" applyAlignment="0" applyProtection="0"/>
    <xf numFmtId="0" fontId="34" fillId="61" borderId="6" applyNumberFormat="0" applyAlignment="0" applyProtection="0"/>
    <xf numFmtId="0" fontId="181" fillId="97" borderId="159"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6"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85" fillId="0" borderId="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65" fontId="12" fillId="0" borderId="0" applyFont="0" applyFill="0" applyBorder="0" applyAlignment="0" applyProtection="0"/>
    <xf numFmtId="44" fontId="1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265" fontId="12" fillId="0" borderId="0" applyFont="0" applyFill="0" applyBorder="0" applyAlignment="0" applyProtection="0"/>
    <xf numFmtId="258"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75" fillId="0" borderId="0" applyFont="0" applyFill="0" applyBorder="0" applyAlignment="0" applyProtection="0">
      <alignment horizontal="right"/>
    </xf>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30" fillId="5" borderId="137"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8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198" fillId="0" borderId="0">
      <protection locked="0"/>
    </xf>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0" fontId="76" fillId="0" borderId="0">
      <protection locked="0"/>
    </xf>
    <xf numFmtId="0" fontId="198" fillId="0" borderId="0">
      <protection locked="0"/>
    </xf>
    <xf numFmtId="2" fontId="11" fillId="0" borderId="0" applyFont="0" applyFill="0" applyBorder="0" applyAlignment="0" applyProtection="0"/>
    <xf numFmtId="267" fontId="76" fillId="0" borderId="0">
      <protection locked="0"/>
    </xf>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4" fillId="9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71" fillId="0" borderId="15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72" fillId="0" borderId="154"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73" fillId="0" borderId="15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7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99" fillId="0" borderId="0">
      <protection locked="0"/>
    </xf>
    <xf numFmtId="0" fontId="11" fillId="0" borderId="0">
      <protection locked="0"/>
    </xf>
    <xf numFmtId="0" fontId="199" fillId="0" borderId="0">
      <protection locked="0"/>
    </xf>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177" fillId="95" borderId="156" applyNumberFormat="0" applyAlignment="0" applyProtection="0"/>
    <xf numFmtId="0" fontId="30" fillId="5" borderId="137"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70" fillId="7" borderId="0" applyNumberFormat="0" applyBorder="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3" fillId="0" borderId="21"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180" fillId="0" borderId="158"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268" fontId="202" fillId="0" borderId="0"/>
    <xf numFmtId="231" fontId="69" fillId="0" borderId="0"/>
    <xf numFmtId="0" fontId="206" fillId="0" borderId="0"/>
    <xf numFmtId="0" fontId="2" fillId="0" borderId="0"/>
    <xf numFmtId="0" fontId="2" fillId="0" borderId="0"/>
    <xf numFmtId="0" fontId="2"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44" fillId="0" borderId="0"/>
    <xf numFmtId="0" fontId="144" fillId="0" borderId="0"/>
    <xf numFmtId="0" fontId="144" fillId="0" borderId="0"/>
    <xf numFmtId="0" fontId="2" fillId="0" borderId="0"/>
    <xf numFmtId="0" fontId="2"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1" fillId="0" borderId="0"/>
    <xf numFmtId="244"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8" fillId="10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2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4" fillId="61" borderId="6" applyNumberFormat="0" applyAlignment="0" applyProtection="0"/>
    <xf numFmtId="43" fontId="39" fillId="0" borderId="0" applyFont="0" applyFill="0" applyBorder="0" applyAlignment="0" applyProtection="0"/>
    <xf numFmtId="0" fontId="196" fillId="60" borderId="0" applyNumberFormat="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4" fillId="61" borderId="6" applyNumberFormat="0" applyAlignment="0" applyProtection="0"/>
    <xf numFmtId="0" fontId="11" fillId="9" borderId="138" applyNumberFormat="0" applyFont="0" applyAlignment="0" applyProtection="0"/>
    <xf numFmtId="0" fontId="38" fillId="106" borderId="0" applyNumberFormat="0" applyBorder="0" applyAlignment="0" applyProtection="0"/>
    <xf numFmtId="0" fontId="38" fillId="10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39" fillId="16"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6" fontId="82" fillId="0" borderId="0">
      <protection locked="0"/>
    </xf>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220" fontId="76" fillId="0" borderId="0">
      <protection locked="0"/>
    </xf>
    <xf numFmtId="0" fontId="2" fillId="8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9" fillId="17"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7" borderId="0" applyNumberFormat="0" applyBorder="0" applyAlignment="0" applyProtection="0"/>
    <xf numFmtId="0" fontId="185" fillId="7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89"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43" fillId="8" borderId="0" applyNumberFormat="0" applyBorder="0" applyAlignment="0" applyProtection="0"/>
    <xf numFmtId="0" fontId="2" fillId="86"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2" fillId="8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85" fillId="79" borderId="0" applyNumberFormat="0" applyBorder="0" applyAlignment="0" applyProtection="0"/>
    <xf numFmtId="0" fontId="2" fillId="8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 fillId="7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85" fillId="8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3" fillId="7"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2" fillId="89" borderId="0" applyNumberFormat="0" applyBorder="0" applyAlignment="0" applyProtection="0"/>
    <xf numFmtId="0" fontId="73" fillId="22" borderId="0" applyNumberFormat="0" applyBorder="0" applyAlignment="0" applyProtection="0"/>
    <xf numFmtId="0" fontId="38" fillId="21" borderId="0" applyNumberFormat="0" applyBorder="0" applyAlignment="0" applyProtection="0"/>
    <xf numFmtId="0" fontId="2" fillId="87" borderId="0" applyNumberFormat="0" applyBorder="0" applyAlignment="0" applyProtection="0"/>
    <xf numFmtId="0" fontId="2" fillId="86"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2" fillId="83"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2" fillId="80"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78" borderId="0" applyNumberFormat="0" applyBorder="0" applyAlignment="0" applyProtection="0"/>
    <xf numFmtId="0" fontId="2" fillId="77" borderId="0" applyNumberFormat="0" applyBorder="0" applyAlignment="0" applyProtection="0"/>
    <xf numFmtId="0" fontId="39" fillId="17" borderId="0" applyNumberFormat="0" applyBorder="0" applyAlignment="0" applyProtection="0"/>
    <xf numFmtId="0" fontId="43" fillId="22" borderId="0" applyNumberFormat="0" applyBorder="0" applyAlignment="0" applyProtection="0"/>
    <xf numFmtId="0" fontId="2" fillId="75" borderId="0" applyNumberFormat="0" applyBorder="0" applyAlignment="0" applyProtection="0"/>
    <xf numFmtId="0" fontId="2" fillId="74" borderId="0" applyNumberFormat="0" applyBorder="0" applyAlignment="0" applyProtection="0"/>
    <xf numFmtId="0" fontId="73" fillId="5" borderId="0" applyNumberFormat="0" applyBorder="0" applyAlignment="0" applyProtection="0"/>
    <xf numFmtId="0" fontId="39" fillId="11" borderId="0" applyNumberFormat="0" applyBorder="0" applyAlignment="0" applyProtection="0"/>
    <xf numFmtId="0" fontId="73" fillId="27" borderId="0" applyNumberFormat="0" applyBorder="0" applyAlignment="0" applyProtection="0"/>
    <xf numFmtId="0" fontId="2" fillId="55" borderId="49" applyNumberFormat="0" applyFont="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3"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7"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6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46" fillId="0" borderId="0"/>
    <xf numFmtId="0" fontId="2" fillId="0" borderId="0"/>
    <xf numFmtId="0" fontId="144" fillId="0" borderId="0"/>
    <xf numFmtId="0" fontId="146" fillId="0" borderId="0"/>
    <xf numFmtId="0" fontId="11"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146" fillId="0" borderId="0"/>
    <xf numFmtId="0" fontId="148"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07" fillId="0" borderId="0"/>
    <xf numFmtId="0" fontId="11" fillId="0" borderId="0">
      <alignment wrapText="1"/>
    </xf>
    <xf numFmtId="0" fontId="39" fillId="0" borderId="0"/>
    <xf numFmtId="0" fontId="2" fillId="0" borderId="0"/>
    <xf numFmtId="0" fontId="2" fillId="0" borderId="0"/>
    <xf numFmtId="0" fontId="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alignment wrapText="1"/>
    </xf>
    <xf numFmtId="0" fontId="11" fillId="0" borderId="0">
      <alignment wrapText="1"/>
    </xf>
    <xf numFmtId="0" fontId="207" fillId="0" borderId="0"/>
    <xf numFmtId="0" fontId="12" fillId="0" borderId="0"/>
    <xf numFmtId="0" fontId="144"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8" fillId="0" borderId="0"/>
    <xf numFmtId="0" fontId="2" fillId="0" borderId="0"/>
    <xf numFmtId="0" fontId="2" fillId="0" borderId="0"/>
    <xf numFmtId="0" fontId="11" fillId="0" borderId="0"/>
    <xf numFmtId="0" fontId="208" fillId="0" borderId="0"/>
    <xf numFmtId="0" fontId="11" fillId="0" borderId="0"/>
    <xf numFmtId="0" fontId="2" fillId="0" borderId="0"/>
    <xf numFmtId="0" fontId="2"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48" fillId="0" borderId="0"/>
    <xf numFmtId="0" fontId="144" fillId="0" borderId="0"/>
    <xf numFmtId="0" fontId="11" fillId="0" borderId="0"/>
    <xf numFmtId="0" fontId="11" fillId="0" borderId="0">
      <alignment wrapText="1"/>
    </xf>
    <xf numFmtId="0" fontId="11" fillId="0" borderId="0"/>
    <xf numFmtId="0" fontId="39" fillId="0" borderId="0"/>
    <xf numFmtId="0" fontId="12" fillId="0" borderId="0"/>
    <xf numFmtId="0" fontId="2" fillId="0" borderId="0"/>
    <xf numFmtId="0" fontId="207" fillId="0" borderId="0"/>
    <xf numFmtId="0" fontId="2" fillId="0" borderId="0"/>
    <xf numFmtId="0" fontId="146" fillId="0" borderId="0"/>
    <xf numFmtId="0" fontId="2" fillId="0" borderId="0"/>
    <xf numFmtId="0" fontId="146" fillId="0" borderId="0"/>
    <xf numFmtId="0" fontId="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11"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178" fillId="96" borderId="157"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85" fillId="0" borderId="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10" fontId="12" fillId="0" borderId="0" applyFill="0" applyBorder="0" applyProtection="0">
      <alignment horizontal="center"/>
    </xf>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0" fontId="190" fillId="0" borderId="0" applyNumberFormat="0" applyFont="0" applyFill="0" applyBorder="0" applyAlignment="0" applyProtection="0">
      <alignment horizontal="left"/>
    </xf>
    <xf numFmtId="15" fontId="190" fillId="0" borderId="0" applyFont="0" applyFill="0" applyBorder="0" applyAlignment="0" applyProtection="0"/>
    <xf numFmtId="15" fontId="190" fillId="0" borderId="0" applyFont="0" applyFill="0" applyBorder="0" applyAlignment="0" applyProtection="0"/>
    <xf numFmtId="4"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0" fontId="194" fillId="0" borderId="8">
      <alignment horizontal="center"/>
    </xf>
    <xf numFmtId="3" fontId="190" fillId="0" borderId="0" applyFont="0" applyFill="0" applyBorder="0" applyAlignment="0" applyProtection="0"/>
    <xf numFmtId="3" fontId="190" fillId="0" borderId="0" applyFont="0" applyFill="0" applyBorder="0" applyAlignment="0" applyProtection="0"/>
    <xf numFmtId="0" fontId="190" fillId="111" borderId="0" applyNumberFormat="0" applyFont="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42" borderId="0" applyNumberFormat="0" applyProtection="0">
      <alignment horizontal="left" vertical="center" indent="1"/>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2" fillId="43" borderId="0" applyNumberFormat="0" applyProtection="0">
      <alignment vertical="center"/>
    </xf>
    <xf numFmtId="4" fontId="101" fillId="0"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203" fillId="72" borderId="146" applyNumberFormat="0" applyProtection="0">
      <alignment horizontal="left" vertical="center" indent="1"/>
    </xf>
    <xf numFmtId="0" fontId="203"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17" fillId="0" borderId="170" applyNumberFormat="0" applyProtection="0">
      <alignment horizontal="right" vertical="center"/>
    </xf>
    <xf numFmtId="4" fontId="11" fillId="0" borderId="142"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11" fillId="45" borderId="0" applyNumberFormat="0" applyProtection="0">
      <alignment horizontal="left" vertical="center"/>
    </xf>
    <xf numFmtId="4" fontId="73" fillId="0" borderId="146"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0" fontId="28" fillId="10" borderId="0" applyNumberFormat="0" applyBorder="0" applyAlignment="0" applyProtection="0"/>
    <xf numFmtId="0" fontId="31" fillId="14" borderId="139" applyNumberFormat="0" applyAlignment="0" applyProtection="0"/>
    <xf numFmtId="49" fontId="11" fillId="0" borderId="0" applyFont="0" applyFill="0" applyBorder="0" applyAlignment="0" applyProtection="0"/>
    <xf numFmtId="0" fontId="143" fillId="0" borderId="0" applyNumberFormat="0" applyFont="0" applyFill="0" applyBorder="0" applyProtection="0">
      <alignment horizontal="center" wrapText="1"/>
    </xf>
    <xf numFmtId="0" fontId="36" fillId="0" borderId="0" applyNumberFormat="0" applyFill="0" applyBorder="0" applyAlignment="0" applyProtection="0"/>
    <xf numFmtId="40" fontId="204"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184" fillId="0" borderId="16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37" fontId="17" fillId="38" borderId="0" applyNumberFormat="0" applyBorder="0" applyAlignment="0" applyProtection="0"/>
    <xf numFmtId="0" fontId="34" fillId="12"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210" fillId="112" borderId="0"/>
    <xf numFmtId="251" fontId="11" fillId="0" borderId="0"/>
    <xf numFmtId="251" fontId="11" fillId="0" borderId="0"/>
    <xf numFmtId="251" fontId="11" fillId="0" borderId="0"/>
    <xf numFmtId="251" fontId="11" fillId="0" borderId="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211" fillId="39" borderId="171">
      <alignment horizontal="center" wrapText="1"/>
    </xf>
    <xf numFmtId="270" fontId="212" fillId="0" borderId="0">
      <alignment horizontal="left"/>
    </xf>
    <xf numFmtId="43" fontId="11" fillId="0" borderId="0" applyFont="0" applyFill="0" applyBorder="0" applyAlignment="0" applyProtection="0"/>
    <xf numFmtId="43" fontId="69" fillId="0" borderId="0" applyFont="0" applyFill="0" applyBorder="0" applyAlignment="0" applyProtection="0"/>
    <xf numFmtId="43" fontId="11" fillId="0" borderId="0" applyFont="0" applyFill="0" applyBorder="0" applyAlignment="0" applyProtection="0"/>
    <xf numFmtId="246" fontId="11"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244" fontId="148" fillId="0" borderId="0" applyFont="0" applyFill="0" applyBorder="0" applyAlignment="0" applyProtection="0"/>
    <xf numFmtId="244"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244" fontId="148"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244" fontId="148"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44" fontId="195"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64" fontId="12"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8" fontId="17" fillId="0" borderId="0">
      <alignment horizontal="right"/>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20" fontId="76" fillId="0" borderId="0">
      <protection locked="0"/>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21" fontId="76" fillId="0" borderId="0">
      <protection locked="0"/>
    </xf>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11" fillId="0" borderId="0" applyFont="0" applyFill="0" applyBorder="0" applyAlignment="0" applyProtection="0"/>
    <xf numFmtId="0" fontId="11" fillId="0" borderId="0" applyFont="0" applyFill="0" applyBorder="0" applyAlignment="0" applyProtection="0"/>
    <xf numFmtId="6" fontId="82" fillId="0" borderId="0">
      <protection locked="0"/>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267" fontId="76" fillId="0" borderId="0">
      <protection locked="0"/>
    </xf>
    <xf numFmtId="2" fontId="11" fillId="0" borderId="0" applyFont="0" applyFill="0" applyBorder="0" applyAlignment="0" applyProtection="0"/>
    <xf numFmtId="223"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1" fillId="0" borderId="0">
      <protection locked="0"/>
    </xf>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272" fontId="11" fillId="0" borderId="0" applyFont="0" applyFill="0" applyBorder="0" applyAlignment="0" applyProtection="0"/>
    <xf numFmtId="273"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268" fontId="202" fillId="0" borderId="0"/>
    <xf numFmtId="276" fontId="66" fillId="0" borderId="31" applyFont="0" applyFill="0" applyBorder="0" applyAlignment="0" applyProtection="0"/>
    <xf numFmtId="0" fontId="144" fillId="0" borderId="0"/>
    <xf numFmtId="0" fontId="20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8"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46" fillId="0" borderId="0"/>
    <xf numFmtId="0" fontId="146"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46" fillId="0" borderId="0"/>
    <xf numFmtId="0" fontId="146"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1" fillId="0" borderId="0">
      <alignment vertical="top"/>
    </xf>
    <xf numFmtId="0" fontId="148"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7"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2" fillId="0" borderId="0"/>
    <xf numFmtId="0" fontId="11" fillId="0" borderId="0">
      <alignment wrapText="1"/>
    </xf>
    <xf numFmtId="0" fontId="11" fillId="0" borderId="0">
      <alignment wrapText="1"/>
    </xf>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11"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44"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2" fillId="0" borderId="0"/>
    <xf numFmtId="0" fontId="39" fillId="0" borderId="0"/>
    <xf numFmtId="0" fontId="11" fillId="0" borderId="0"/>
    <xf numFmtId="0" fontId="11" fillId="0" borderId="0"/>
    <xf numFmtId="0" fontId="11" fillId="0" borderId="0"/>
    <xf numFmtId="0" fontId="11" fillId="0" borderId="0"/>
    <xf numFmtId="0" fontId="69" fillId="0" borderId="0"/>
    <xf numFmtId="0" fontId="146" fillId="0" borderId="0"/>
    <xf numFmtId="0" fontId="6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40" fontId="213" fillId="54" borderId="0">
      <alignment horizontal="right"/>
    </xf>
    <xf numFmtId="0" fontId="214" fillId="54" borderId="0">
      <alignment horizontal="right"/>
    </xf>
    <xf numFmtId="0" fontId="215" fillId="54" borderId="44"/>
    <xf numFmtId="0" fontId="215" fillId="0" borderId="0" applyBorder="0">
      <alignment horizontal="centerContinuous"/>
    </xf>
    <xf numFmtId="0" fontId="216" fillId="0" borderId="0" applyBorder="0">
      <alignment horizontal="centerContinuous"/>
    </xf>
    <xf numFmtId="9" fontId="69"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73" fillId="0" borderId="146" applyNumberFormat="0" applyProtection="0">
      <alignment horizontal="right" vertical="center"/>
    </xf>
    <xf numFmtId="4" fontId="73" fillId="0" borderId="146" applyNumberFormat="0" applyProtection="0">
      <alignment horizontal="left" vertical="center" indent="1"/>
    </xf>
    <xf numFmtId="0" fontId="73" fillId="0" borderId="0">
      <alignment vertical="top"/>
    </xf>
    <xf numFmtId="0" fontId="155" fillId="0" borderId="0"/>
    <xf numFmtId="0" fontId="143" fillId="0" borderId="0" applyNumberFormat="0" applyFont="0" applyFill="0" applyBorder="0" applyProtection="0">
      <alignment horizontal="center" wrapText="1"/>
    </xf>
    <xf numFmtId="277" fontId="69" fillId="0" borderId="0"/>
    <xf numFmtId="0" fontId="27" fillId="0" borderId="0" applyNumberFormat="0" applyFill="0" applyBorder="0" applyAlignment="0" applyProtection="0"/>
    <xf numFmtId="0" fontId="37" fillId="0" borderId="13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5" fontId="148" fillId="0" borderId="0" applyFont="0" applyFill="0" applyBorder="0" applyAlignment="0" applyProtection="0"/>
    <xf numFmtId="0" fontId="2" fillId="0" borderId="0"/>
    <xf numFmtId="245" fontId="148"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12" fillId="0" borderId="0"/>
    <xf numFmtId="4" fontId="101" fillId="2" borderId="146" applyNumberFormat="0" applyProtection="0">
      <alignment vertical="center"/>
    </xf>
    <xf numFmtId="0" fontId="2" fillId="55" borderId="49" applyNumberFormat="0" applyFont="0" applyAlignment="0" applyProtection="0"/>
    <xf numFmtId="0" fontId="2" fillId="55" borderId="49" applyNumberFormat="0" applyFont="0" applyAlignment="0" applyProtection="0"/>
    <xf numFmtId="4" fontId="101" fillId="69" borderId="0" applyNumberFormat="0" applyProtection="0">
      <alignment horizontal="left" vertical="center" indent="1"/>
    </xf>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4" fontId="73" fillId="72" borderId="146" applyNumberFormat="0" applyProtection="0">
      <alignment horizontal="right" vertical="center"/>
    </xf>
    <xf numFmtId="4" fontId="153" fillId="72" borderId="146" applyNumberFormat="0" applyProtection="0">
      <alignment horizontal="right" vertical="center"/>
    </xf>
    <xf numFmtId="4" fontId="73" fillId="69" borderId="146" applyNumberFormat="0" applyProtection="0">
      <alignment horizontal="left" vertical="center" indent="1"/>
    </xf>
    <xf numFmtId="0" fontId="209" fillId="55" borderId="49" applyNumberFormat="0" applyFont="0" applyAlignment="0" applyProtection="0"/>
    <xf numFmtId="0" fontId="13" fillId="0" borderId="0" applyFill="0" applyBorder="0" applyProtection="0">
      <alignment horizontal="centerContinuous" wrapText="1"/>
    </xf>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43" fontId="146" fillId="0" borderId="0" applyFont="0" applyFill="0" applyBorder="0" applyAlignment="0" applyProtection="0"/>
    <xf numFmtId="0" fontId="146" fillId="0" borderId="0"/>
    <xf numFmtId="0" fontId="146" fillId="0" borderId="0"/>
    <xf numFmtId="0" fontId="148" fillId="0" borderId="0"/>
    <xf numFmtId="9" fontId="148" fillId="0" borderId="0" applyFont="0" applyFill="0" applyBorder="0" applyAlignment="0" applyProtection="0"/>
    <xf numFmtId="43" fontId="2" fillId="0" borderId="0" applyFont="0" applyFill="0" applyBorder="0" applyAlignment="0" applyProtection="0"/>
    <xf numFmtId="0" fontId="146" fillId="0" borderId="0"/>
    <xf numFmtId="0" fontId="11" fillId="0" borderId="0"/>
    <xf numFmtId="44" fontId="73" fillId="0" borderId="0" applyFont="0" applyFill="0" applyBorder="0" applyAlignment="0" applyProtection="0"/>
    <xf numFmtId="0" fontId="73" fillId="0" borderId="0"/>
    <xf numFmtId="0" fontId="11"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61" fillId="72" borderId="146" applyNumberFormat="0" applyProtection="0">
      <alignment horizontal="left" vertical="center" indent="1"/>
    </xf>
    <xf numFmtId="0" fontId="38" fillId="18"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2" fillId="14" borderId="137" applyNumberFormat="0" applyAlignment="0" applyProtection="0"/>
    <xf numFmtId="0" fontId="34" fillId="12" borderId="6" applyNumberFormat="0" applyAlignment="0" applyProtection="0"/>
    <xf numFmtId="0" fontId="34" fillId="12"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4"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9"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269" fontId="11" fillId="0" borderId="0">
      <alignment horizontal="left" wrapText="1"/>
    </xf>
    <xf numFmtId="43" fontId="11" fillId="0" borderId="0" applyFont="0" applyFill="0" applyBorder="0" applyAlignment="0" applyProtection="0"/>
    <xf numFmtId="0" fontId="2" fillId="0" borderId="0"/>
    <xf numFmtId="0" fontId="144" fillId="0" borderId="0"/>
    <xf numFmtId="0" fontId="11" fillId="0" borderId="0"/>
    <xf numFmtId="0" fontId="11" fillId="0" borderId="0"/>
    <xf numFmtId="9" fontId="11" fillId="0" borderId="0" applyFont="0" applyFill="0" applyBorder="0" applyAlignment="0" applyProtection="0"/>
    <xf numFmtId="277" fontId="69" fillId="0" borderId="0"/>
    <xf numFmtId="0" fontId="85" fillId="0" borderId="0"/>
    <xf numFmtId="9" fontId="11" fillId="0" borderId="0" applyFont="0" applyFill="0" applyBorder="0" applyAlignment="0" applyProtection="0"/>
    <xf numFmtId="0" fontId="11" fillId="0" borderId="0"/>
    <xf numFmtId="9" fontId="2" fillId="0" borderId="0" applyFont="0" applyFill="0" applyBorder="0" applyAlignment="0" applyProtection="0"/>
    <xf numFmtId="0" fontId="69" fillId="0" borderId="0"/>
    <xf numFmtId="43" fontId="11" fillId="0" borderId="0" applyFont="0" applyFill="0" applyBorder="0" applyAlignment="0" applyProtection="0"/>
    <xf numFmtId="0" fontId="38" fillId="25" borderId="0" applyNumberFormat="0" applyBorder="0" applyAlignment="0" applyProtection="0"/>
    <xf numFmtId="43" fontId="149" fillId="0" borderId="0" applyFont="0" applyFill="0" applyBorder="0" applyAlignment="0" applyProtection="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44"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75" fillId="93" borderId="0" applyNumberFormat="0" applyBorder="0" applyAlignment="0" applyProtection="0"/>
    <xf numFmtId="0" fontId="73" fillId="7" borderId="0" applyNumberFormat="0" applyBorder="0" applyAlignment="0" applyProtection="0"/>
    <xf numFmtId="0" fontId="73" fillId="69" borderId="0" applyNumberFormat="0" applyBorder="0" applyAlignment="0" applyProtection="0"/>
    <xf numFmtId="0" fontId="69" fillId="0" borderId="0"/>
    <xf numFmtId="44"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0" fillId="5" borderId="137"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9" borderId="138" applyNumberFormat="0" applyFont="0" applyAlignment="0" applyProtection="0"/>
    <xf numFmtId="0" fontId="146" fillId="9" borderId="138" applyNumberFormat="0" applyFont="0" applyAlignment="0" applyProtection="0"/>
    <xf numFmtId="0" fontId="31" fillId="14" borderId="139" applyNumberFormat="0" applyAlignment="0" applyProtection="0"/>
    <xf numFmtId="0" fontId="31" fillId="14" borderId="139" applyNumberForma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0" fontId="148" fillId="0" borderId="0"/>
    <xf numFmtId="9"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9" fontId="2" fillId="0" borderId="0" applyFont="0" applyFill="0" applyBorder="0" applyAlignment="0" applyProtection="0"/>
    <xf numFmtId="0" fontId="208" fillId="0" borderId="0"/>
    <xf numFmtId="43" fontId="2" fillId="0" borderId="0" applyFont="0" applyFill="0" applyBorder="0" applyAlignment="0" applyProtection="0"/>
    <xf numFmtId="244" fontId="208"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12" fillId="0" borderId="0"/>
    <xf numFmtId="0" fontId="148" fillId="0" borderId="0"/>
    <xf numFmtId="0" fontId="148" fillId="0" borderId="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1" fillId="0" borderId="0"/>
    <xf numFmtId="44" fontId="11" fillId="0" borderId="0" applyFont="0" applyFill="0" applyBorder="0" applyAlignment="0" applyProtection="0"/>
    <xf numFmtId="0" fontId="148"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 fillId="0" borderId="0"/>
    <xf numFmtId="0" fontId="2" fillId="0" borderId="0"/>
    <xf numFmtId="0" fontId="2" fillId="0" borderId="0"/>
    <xf numFmtId="0" fontId="2" fillId="0" borderId="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03" fillId="72" borderId="146" applyNumberFormat="0" applyProtection="0">
      <alignment horizontal="left" vertical="center" indent="1"/>
    </xf>
    <xf numFmtId="43" fontId="11" fillId="0" borderId="0" applyFont="0" applyFill="0" applyBorder="0" applyAlignment="0" applyProtection="0"/>
    <xf numFmtId="44"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220" fontId="76" fillId="0" borderId="0">
      <protection locked="0"/>
    </xf>
    <xf numFmtId="44" fontId="2" fillId="0" borderId="0" applyFont="0" applyFill="0" applyBorder="0" applyAlignment="0" applyProtection="0"/>
    <xf numFmtId="6" fontId="82" fillId="0" borderId="0">
      <protection locked="0"/>
    </xf>
    <xf numFmtId="43" fontId="2" fillId="0" borderId="0" applyFont="0" applyFill="0" applyBorder="0" applyAlignment="0" applyProtection="0"/>
    <xf numFmtId="220" fontId="76" fillId="0" borderId="0">
      <protection locked="0"/>
    </xf>
    <xf numFmtId="44" fontId="2" fillId="0" borderId="0" applyFont="0" applyFill="0" applyBorder="0" applyAlignment="0" applyProtection="0"/>
    <xf numFmtId="220" fontId="76" fillId="0" borderId="0">
      <protection locked="0"/>
    </xf>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6" fontId="82" fillId="0" borderId="0">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6" fontId="82" fillId="0" borderId="0">
      <protection locked="0"/>
    </xf>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0" fontId="2" fillId="0" borderId="0"/>
    <xf numFmtId="6" fontId="82" fillId="0" borderId="0">
      <protection locked="0"/>
    </xf>
    <xf numFmtId="9" fontId="2" fillId="0" borderId="0" applyFont="0" applyFill="0" applyBorder="0" applyAlignment="0" applyProtection="0"/>
    <xf numFmtId="220" fontId="76" fillId="0" borderId="0">
      <protection locked="0"/>
    </xf>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6" fontId="82" fillId="0" borderId="0">
      <protection locked="0"/>
    </xf>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6" fontId="82" fillId="0" borderId="0">
      <protection locked="0"/>
    </xf>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6" fontId="82" fillId="0" borderId="0">
      <protection locked="0"/>
    </xf>
    <xf numFmtId="0" fontId="2" fillId="0" borderId="0"/>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220" fontId="76" fillId="0" borderId="0">
      <protection locked="0"/>
    </xf>
    <xf numFmtId="9" fontId="2" fillId="0" borderId="0" applyFont="0" applyFill="0" applyBorder="0" applyAlignment="0" applyProtection="0"/>
    <xf numFmtId="43" fontId="2" fillId="0" borderId="0" applyFont="0" applyFill="0" applyBorder="0" applyAlignment="0" applyProtection="0"/>
    <xf numFmtId="220" fontId="76" fillId="0" borderId="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6" fontId="82" fillId="0" borderId="0">
      <protection locked="0"/>
    </xf>
    <xf numFmtId="0" fontId="2" fillId="0" borderId="0"/>
    <xf numFmtId="220" fontId="76" fillId="0" borderId="0">
      <protection locked="0"/>
    </xf>
    <xf numFmtId="0" fontId="2" fillId="0" borderId="0"/>
    <xf numFmtId="0" fontId="2" fillId="0" borderId="0"/>
    <xf numFmtId="43" fontId="11" fillId="0" borderId="0" applyFont="0" applyFill="0" applyBorder="0" applyAlignment="0" applyProtection="0"/>
    <xf numFmtId="0" fontId="2" fillId="0" borderId="0"/>
    <xf numFmtId="6" fontId="82" fillId="0" borderId="0">
      <protection locked="0"/>
    </xf>
    <xf numFmtId="6" fontId="82" fillId="0" borderId="0">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220" fontId="76" fillId="0" borderId="0">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38" fillId="107" borderId="0" applyNumberFormat="0" applyBorder="0" applyAlignment="0" applyProtection="0"/>
    <xf numFmtId="0" fontId="2" fillId="80" borderId="0" applyNumberFormat="0" applyBorder="0" applyAlignment="0" applyProtection="0"/>
    <xf numFmtId="0" fontId="38" fillId="107"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38" fillId="107"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20" fontId="76" fillId="0" borderId="0">
      <protection locked="0"/>
    </xf>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1" fontId="76" fillId="0" borderId="0">
      <protection locked="0"/>
    </xf>
    <xf numFmtId="0" fontId="76" fillId="0" borderId="0">
      <protection locked="0"/>
    </xf>
    <xf numFmtId="6" fontId="82" fillId="0" borderId="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67" fontId="76" fillId="0" borderId="0">
      <protection locked="0"/>
    </xf>
    <xf numFmtId="223" fontId="11" fillId="0" borderId="0">
      <protection locked="0"/>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06" fillId="0" borderId="0"/>
    <xf numFmtId="0" fontId="11" fillId="0" borderId="0"/>
    <xf numFmtId="0" fontId="148" fillId="0" borderId="0"/>
    <xf numFmtId="0" fontId="148" fillId="0" borderId="0"/>
    <xf numFmtId="0" fontId="2" fillId="0" borderId="0"/>
    <xf numFmtId="0" fontId="144" fillId="0" borderId="0"/>
    <xf numFmtId="0" fontId="144" fillId="0" borderId="0"/>
    <xf numFmtId="0" fontId="144" fillId="0" borderId="0"/>
    <xf numFmtId="0" fontId="144"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6" fillId="0" borderId="0"/>
    <xf numFmtId="0" fontId="146" fillId="0" borderId="0"/>
    <xf numFmtId="0" fontId="11" fillId="0" borderId="0">
      <alignment vertical="top"/>
    </xf>
    <xf numFmtId="0" fontId="148"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39"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07" fillId="0" borderId="0"/>
    <xf numFmtId="0" fontId="11" fillId="0" borderId="0">
      <alignment wrapText="1"/>
    </xf>
    <xf numFmtId="0" fontId="39" fillId="0" borderId="0"/>
    <xf numFmtId="0" fontId="11" fillId="0" borderId="0">
      <alignment wrapText="1"/>
    </xf>
    <xf numFmtId="0" fontId="11" fillId="0" borderId="0">
      <alignment wrapText="1"/>
    </xf>
    <xf numFmtId="0" fontId="207" fillId="0" borderId="0"/>
    <xf numFmtId="0" fontId="144"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8" fillId="0" borderId="0"/>
    <xf numFmtId="0" fontId="207" fillId="0" borderId="0"/>
    <xf numFmtId="0" fontId="39" fillId="0" borderId="0"/>
    <xf numFmtId="0" fontId="2" fillId="0" borderId="0"/>
    <xf numFmtId="0" fontId="11" fillId="0" borderId="0"/>
    <xf numFmtId="0" fontId="148" fillId="0" borderId="0"/>
    <xf numFmtId="0" fontId="11" fillId="0" borderId="0"/>
    <xf numFmtId="0" fontId="144" fillId="0" borderId="0"/>
    <xf numFmtId="0" fontId="12" fillId="0" borderId="0"/>
    <xf numFmtId="0" fontId="11" fillId="0" borderId="0">
      <alignment wrapText="1"/>
    </xf>
    <xf numFmtId="0" fontId="39" fillId="0" borderId="0"/>
    <xf numFmtId="0" fontId="20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94" fillId="0" borderId="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03" fillId="72" borderId="146" applyNumberFormat="0" applyProtection="0">
      <alignment horizontal="left" vertical="center" indent="1"/>
    </xf>
    <xf numFmtId="0" fontId="73" fillId="0" borderId="0">
      <alignment vertical="top"/>
    </xf>
    <xf numFmtId="0" fontId="37" fillId="0" borderId="134" applyNumberFormat="0" applyFill="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6" fontId="82" fillId="0" borderId="0">
      <protection locked="0"/>
    </xf>
    <xf numFmtId="220" fontId="76" fillId="0" borderId="0">
      <protection locked="0"/>
    </xf>
    <xf numFmtId="220" fontId="76" fillId="0" borderId="0">
      <protection locked="0"/>
    </xf>
    <xf numFmtId="6" fontId="82" fillId="0" borderId="0">
      <protection locked="0"/>
    </xf>
    <xf numFmtId="6" fontId="82" fillId="0" borderId="0">
      <protection locked="0"/>
    </xf>
    <xf numFmtId="0" fontId="11" fillId="9" borderId="138" applyNumberFormat="0" applyFont="0" applyAlignment="0" applyProtection="0"/>
    <xf numFmtId="6" fontId="82" fillId="0" borderId="0">
      <protection locked="0"/>
    </xf>
    <xf numFmtId="220" fontId="76" fillId="0" borderId="0">
      <protection locked="0"/>
    </xf>
    <xf numFmtId="0" fontId="2"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1" fontId="76" fillId="0" borderId="0">
      <protection locked="0"/>
    </xf>
    <xf numFmtId="223" fontId="11" fillId="0" borderId="0">
      <protection locked="0"/>
    </xf>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33" fontId="76" fillId="0" borderId="0">
      <protection locked="0"/>
    </xf>
    <xf numFmtId="4" fontId="11" fillId="45" borderId="0" applyNumberFormat="0" applyProtection="0">
      <alignment horizontal="left" vertical="center"/>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6" fontId="82" fillId="0" borderId="0">
      <protection locked="0"/>
    </xf>
    <xf numFmtId="220" fontId="76" fillId="0" borderId="0">
      <protection locked="0"/>
    </xf>
    <xf numFmtId="9" fontId="11" fillId="0" borderId="0" applyFont="0" applyFill="0" applyBorder="0" applyAlignment="0" applyProtection="0"/>
    <xf numFmtId="220" fontId="76" fillId="0" borderId="0">
      <protection locked="0"/>
    </xf>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145" fillId="0" borderId="0"/>
    <xf numFmtId="220" fontId="76" fillId="0" borderId="0">
      <protection locked="0"/>
    </xf>
    <xf numFmtId="220" fontId="76" fillId="0" borderId="0">
      <protection locked="0"/>
    </xf>
    <xf numFmtId="244" fontId="148" fillId="0" borderId="0" applyFont="0" applyFill="0" applyBorder="0" applyAlignment="0" applyProtection="0"/>
    <xf numFmtId="245" fontId="148" fillId="0" borderId="0" applyFont="0" applyFill="0" applyBorder="0" applyAlignment="0" applyProtection="0"/>
    <xf numFmtId="43" fontId="15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2" fillId="0" borderId="0"/>
    <xf numFmtId="0" fontId="2" fillId="0" borderId="0"/>
    <xf numFmtId="0" fontId="145" fillId="0" borderId="0"/>
    <xf numFmtId="0" fontId="145" fillId="0" borderId="0"/>
    <xf numFmtId="0" fontId="145" fillId="0" borderId="0"/>
    <xf numFmtId="247" fontId="11" fillId="0" borderId="0"/>
    <xf numFmtId="0" fontId="145" fillId="0" borderId="0"/>
    <xf numFmtId="0" fontId="12" fillId="0" borderId="0"/>
    <xf numFmtId="0" fontId="144"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2" fillId="0" borderId="0"/>
    <xf numFmtId="9" fontId="73"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220" fontId="76" fillId="0" borderId="0">
      <protection locked="0"/>
    </xf>
    <xf numFmtId="0" fontId="129" fillId="72" borderId="146" applyNumberFormat="0" applyProtection="0">
      <alignment horizontal="left" vertical="center" indent="1"/>
    </xf>
    <xf numFmtId="9" fontId="73" fillId="0" borderId="0" applyFont="0" applyFill="0" applyBorder="0" applyAlignment="0" applyProtection="0"/>
    <xf numFmtId="43" fontId="11" fillId="0" borderId="0" applyFont="0" applyFill="0" applyBorder="0" applyAlignment="0" applyProtection="0"/>
    <xf numFmtId="6" fontId="82" fillId="0" borderId="0">
      <protection locked="0"/>
    </xf>
    <xf numFmtId="220" fontId="76" fillId="0" borderId="0">
      <protection locked="0"/>
    </xf>
    <xf numFmtId="6" fontId="82" fillId="0" borderId="0">
      <protection locked="0"/>
    </xf>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11" fillId="0" borderId="0"/>
    <xf numFmtId="0" fontId="11" fillId="0" borderId="0"/>
    <xf numFmtId="0" fontId="39" fillId="4" borderId="0" applyNumberFormat="0" applyBorder="0" applyAlignment="0" applyProtection="0"/>
    <xf numFmtId="0" fontId="2" fillId="74" borderId="0" applyNumberFormat="0" applyBorder="0" applyAlignment="0" applyProtection="0"/>
    <xf numFmtId="0" fontId="39" fillId="7" borderId="0" applyNumberFormat="0" applyBorder="0" applyAlignment="0" applyProtection="0"/>
    <xf numFmtId="0" fontId="2" fillId="77" borderId="0" applyNumberFormat="0" applyBorder="0" applyAlignment="0" applyProtection="0"/>
    <xf numFmtId="0" fontId="39" fillId="10" borderId="0" applyNumberFormat="0" applyBorder="0" applyAlignment="0" applyProtection="0"/>
    <xf numFmtId="0" fontId="2" fillId="80" borderId="0" applyNumberFormat="0" applyBorder="0" applyAlignment="0" applyProtection="0"/>
    <xf numFmtId="0" fontId="39" fillId="11" borderId="0" applyNumberFormat="0" applyBorder="0" applyAlignment="0" applyProtection="0"/>
    <xf numFmtId="0" fontId="2" fillId="83" borderId="0" applyNumberFormat="0" applyBorder="0" applyAlignment="0" applyProtection="0"/>
    <xf numFmtId="0" fontId="39" fillId="13" borderId="0" applyNumberFormat="0" applyBorder="0" applyAlignment="0" applyProtection="0"/>
    <xf numFmtId="0" fontId="2" fillId="86" borderId="0" applyNumberFormat="0" applyBorder="0" applyAlignment="0" applyProtection="0"/>
    <xf numFmtId="0" fontId="39" fillId="5" borderId="0" applyNumberFormat="0" applyBorder="0" applyAlignment="0" applyProtection="0"/>
    <xf numFmtId="0" fontId="2" fillId="89" borderId="0" applyNumberFormat="0" applyBorder="0" applyAlignment="0" applyProtection="0"/>
    <xf numFmtId="0" fontId="39" fillId="15" borderId="0" applyNumberFormat="0" applyBorder="0" applyAlignment="0" applyProtection="0"/>
    <xf numFmtId="0" fontId="2" fillId="75" borderId="0" applyNumberFormat="0" applyBorder="0" applyAlignment="0" applyProtection="0"/>
    <xf numFmtId="0" fontId="39" fillId="8" borderId="0" applyNumberFormat="0" applyBorder="0" applyAlignment="0" applyProtection="0"/>
    <xf numFmtId="0" fontId="2" fillId="78" borderId="0" applyNumberFormat="0" applyBorder="0" applyAlignment="0" applyProtection="0"/>
    <xf numFmtId="0" fontId="39" fillId="16"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39" fillId="11" borderId="0" applyNumberFormat="0" applyBorder="0" applyAlignment="0" applyProtection="0"/>
    <xf numFmtId="0" fontId="2" fillId="84" borderId="0" applyNumberFormat="0" applyBorder="0" applyAlignment="0" applyProtection="0"/>
    <xf numFmtId="0" fontId="39" fillId="15"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39" fillId="17"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4" fillId="12"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0" fontId="11" fillId="9" borderId="138"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58"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2" fontId="11" fillId="0" borderId="0" applyFont="0" applyFill="0" applyBorder="0" applyAlignment="0" applyProtection="0"/>
    <xf numFmtId="0" fontId="28" fillId="10" borderId="0" applyNumberFormat="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11" fillId="0" borderId="0">
      <protection locked="0"/>
    </xf>
    <xf numFmtId="0" fontId="11" fillId="0" borderId="0">
      <protection locked="0"/>
    </xf>
    <xf numFmtId="0" fontId="33" fillId="0" borderId="21" applyNumberFormat="0" applyFill="0" applyAlignment="0" applyProtection="0"/>
    <xf numFmtId="0" fontId="29"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1" fillId="14" borderId="139"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9" fontId="11" fillId="0" borderId="0" applyFont="0" applyFill="0" applyBorder="0" applyAlignment="0" applyProtection="0"/>
    <xf numFmtId="0" fontId="110" fillId="0" borderId="0" applyNumberFormat="0" applyFill="0" applyBorder="0" applyAlignment="0" applyProtection="0"/>
    <xf numFmtId="0" fontId="37" fillId="0" borderId="140" applyNumberFormat="0" applyFill="0" applyAlignment="0" applyProtection="0"/>
    <xf numFmtId="0" fontId="35" fillId="0" borderId="0" applyNumberFormat="0" applyFill="0" applyBorder="0" applyAlignment="0" applyProtection="0"/>
    <xf numFmtId="0" fontId="39" fillId="16" borderId="0" applyNumberFormat="0" applyBorder="0" applyAlignment="0" applyProtection="0"/>
    <xf numFmtId="0" fontId="39" fillId="1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0" fillId="5" borderId="137" applyNumberFormat="0" applyAlignment="0" applyProtection="0"/>
    <xf numFmtId="0" fontId="146" fillId="9" borderId="1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8" fillId="0" borderId="0"/>
    <xf numFmtId="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44" fontId="2" fillId="0" borderId="0" applyFont="0" applyFill="0" applyBorder="0" applyAlignment="0" applyProtection="0"/>
    <xf numFmtId="43" fontId="2" fillId="0" borderId="0" applyFont="0" applyFill="0" applyBorder="0" applyAlignment="0" applyProtection="0"/>
    <xf numFmtId="0" fontId="2"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11" fillId="0" borderId="0"/>
    <xf numFmtId="44" fontId="11" fillId="0" borderId="0" applyFont="0" applyFill="0" applyBorder="0" applyAlignment="0" applyProtection="0"/>
    <xf numFmtId="269" fontId="11" fillId="0" borderId="0">
      <alignment horizontal="left" wrapText="1"/>
    </xf>
    <xf numFmtId="269" fontId="11" fillId="0" borderId="0">
      <alignment horizontal="left" wrapText="1"/>
    </xf>
    <xf numFmtId="43" fontId="11" fillId="0" borderId="0" applyFont="0" applyFill="0" applyBorder="0" applyAlignment="0" applyProtection="0"/>
    <xf numFmtId="251" fontId="11" fillId="0" borderId="0"/>
    <xf numFmtId="251" fontId="11" fillId="0" borderId="0"/>
    <xf numFmtId="251" fontId="11" fillId="0" borderId="0"/>
    <xf numFmtId="251"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applyNumberFormat="0" applyFill="0" applyBorder="0" applyAlignment="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3" fontId="1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1" fillId="2" borderId="0" applyNumberFormat="0" applyFont="0" applyAlignment="0" applyProtection="0"/>
    <xf numFmtId="216" fontId="11" fillId="0" borderId="0" applyFont="0" applyFill="0" applyBorder="0" applyAlignment="0" applyProtection="0"/>
    <xf numFmtId="217" fontId="11" fillId="0" borderId="0" applyFont="0" applyFill="0" applyBorder="0" applyProtection="0">
      <alignment horizontal="right"/>
    </xf>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2" fillId="0" borderId="0"/>
    <xf numFmtId="43"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246" fontId="11" fillId="0" borderId="0" applyFont="0" applyFill="0" applyBorder="0" applyAlignment="0" applyProtection="0"/>
    <xf numFmtId="246" fontId="11" fillId="0" borderId="0" applyFont="0" applyFill="0" applyBorder="0" applyAlignment="0" applyProtection="0"/>
    <xf numFmtId="0" fontId="148" fillId="0" borderId="0"/>
    <xf numFmtId="0" fontId="2" fillId="0" borderId="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3" fontId="11" fillId="0" borderId="0">
      <protection locked="0"/>
    </xf>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1" fillId="41" borderId="142" applyNumberFormat="0" applyProtection="0">
      <alignment vertical="center"/>
    </xf>
    <xf numFmtId="9" fontId="2" fillId="0" borderId="0" applyFont="0" applyFill="0" applyBorder="0" applyAlignment="0" applyProtection="0"/>
    <xf numFmtId="0" fontId="2" fillId="0" borderId="0"/>
    <xf numFmtId="0" fontId="11" fillId="0" borderId="0" applyFont="0" applyFill="0" applyBorder="0" applyAlignment="0" applyProtection="0"/>
    <xf numFmtId="3" fontId="11" fillId="0" borderId="0" applyFont="0" applyFill="0" applyBorder="0" applyAlignment="0" applyProtection="0"/>
    <xf numFmtId="4" fontId="11" fillId="0" borderId="142" applyNumberFormat="0" applyProtection="0">
      <alignment horizontal="right" vertical="center"/>
    </xf>
    <xf numFmtId="4" fontId="11" fillId="45" borderId="0" applyNumberFormat="0" applyProtection="0">
      <alignment horizontal="left" vertical="center"/>
    </xf>
    <xf numFmtId="0" fontId="11" fillId="0" borderId="3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246"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3" fontId="11" fillId="0" borderId="0">
      <protection locked="0"/>
    </xf>
    <xf numFmtId="2" fontId="11" fillId="0" borderId="0" applyFont="0" applyFill="0" applyBorder="0" applyAlignment="0" applyProtection="0"/>
    <xf numFmtId="0" fontId="11" fillId="0" borderId="0">
      <protection locked="0"/>
    </xf>
    <xf numFmtId="0" fontId="11" fillId="0" borderId="0">
      <protection locked="0"/>
    </xf>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202"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xf numFmtId="3"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0" fontId="194" fillId="0" borderId="8">
      <alignment horizontal="center"/>
    </xf>
    <xf numFmtId="0" fontId="148"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0" fontId="11" fillId="0" borderId="0"/>
    <xf numFmtId="0" fontId="11"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0" fontId="217" fillId="0" borderId="0"/>
    <xf numFmtId="43" fontId="217" fillId="0" borderId="0" applyFont="0" applyFill="0" applyBorder="0" applyAlignment="0" applyProtection="0"/>
    <xf numFmtId="44" fontId="217" fillId="0" borderId="0" applyFont="0" applyFill="0" applyBorder="0" applyAlignment="0" applyProtection="0"/>
    <xf numFmtId="0" fontId="2"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9" borderId="138" applyNumberFormat="0" applyFont="0" applyAlignment="0" applyProtection="0"/>
    <xf numFmtId="0" fontId="11" fillId="9"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0" fontId="11" fillId="0" borderId="0" applyNumberFormat="0" applyFill="0" applyBorder="0" applyAlignment="0"/>
    <xf numFmtId="9" fontId="2" fillId="0" borderId="0" applyFont="0" applyFill="0" applyBorder="0" applyAlignment="0" applyProtection="0"/>
    <xf numFmtId="0" fontId="2" fillId="0" borderId="0"/>
    <xf numFmtId="0" fontId="2" fillId="0" borderId="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220" fontId="76" fillId="0" borderId="0">
      <protection locked="0"/>
    </xf>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xf numFmtId="6" fontId="82" fillId="0" borderId="0">
      <protection locked="0"/>
    </xf>
    <xf numFmtId="6" fontId="82" fillId="0" borderId="0">
      <protection locked="0"/>
    </xf>
    <xf numFmtId="0" fontId="2" fillId="0" borderId="0"/>
    <xf numFmtId="220" fontId="76" fillId="0" borderId="0">
      <protection locked="0"/>
    </xf>
    <xf numFmtId="0" fontId="2" fillId="0" borderId="0"/>
    <xf numFmtId="6" fontId="82" fillId="0" borderId="0">
      <protection locked="0"/>
    </xf>
    <xf numFmtId="43" fontId="2" fillId="0" borderId="0" applyFont="0" applyFill="0" applyBorder="0" applyAlignment="0" applyProtection="0"/>
    <xf numFmtId="0" fontId="11" fillId="0" borderId="0" applyNumberFormat="0" applyFill="0" applyBorder="0" applyAlignment="0"/>
    <xf numFmtId="0" fontId="2" fillId="0" borderId="0"/>
    <xf numFmtId="6" fontId="82" fillId="0" borderId="0">
      <protection locked="0"/>
    </xf>
    <xf numFmtId="6" fontId="82" fillId="0" borderId="0">
      <protection locked="0"/>
    </xf>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0" fontId="11" fillId="0" borderId="0" applyNumberFormat="0" applyFill="0" applyBorder="0" applyAlignme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6" fontId="82" fillId="0" borderId="0">
      <protection locked="0"/>
    </xf>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11" fillId="0" borderId="0" applyNumberFormat="0" applyFill="0" applyBorder="0" applyAlignment="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6" fontId="82" fillId="0" borderId="0">
      <protection locked="0"/>
    </xf>
    <xf numFmtId="0" fontId="11" fillId="0" borderId="0" applyNumberFormat="0" applyFill="0" applyBorder="0" applyAlignment="0"/>
    <xf numFmtId="220" fontId="76" fillId="0" borderId="0">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220" fontId="76" fillId="0" borderId="0">
      <protection locked="0"/>
    </xf>
    <xf numFmtId="0" fontId="2" fillId="0" borderId="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0" fontId="11" fillId="0" borderId="0" applyNumberFormat="0" applyFill="0" applyBorder="0" applyAlignment="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11"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1" fillId="0" borderId="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xf numFmtId="0" fontId="2" fillId="0" borderId="0"/>
    <xf numFmtId="0" fontId="2" fillId="0" borderId="0"/>
    <xf numFmtId="0" fontId="2" fillId="0" borderId="0"/>
    <xf numFmtId="0" fontId="11" fillId="9" borderId="138" applyNumberFormat="0" applyFont="0" applyAlignment="0" applyProtection="0"/>
    <xf numFmtId="0" fontId="2" fillId="0" borderId="0"/>
    <xf numFmtId="223" fontId="11" fillId="0" borderId="0">
      <protection locked="0"/>
    </xf>
    <xf numFmtId="225" fontId="11" fillId="0" borderId="0">
      <protection locked="0"/>
    </xf>
    <xf numFmtId="225" fontId="11" fillId="0" borderId="0">
      <protection locked="0"/>
    </xf>
    <xf numFmtId="0" fontId="11" fillId="0" borderId="0"/>
    <xf numFmtId="232" fontId="11" fillId="0" borderId="0">
      <protection hidden="1"/>
    </xf>
    <xf numFmtId="10" fontId="11" fillId="0" borderId="0" applyFont="0" applyFill="0" applyBorder="0" applyAlignment="0" applyProtection="0"/>
    <xf numFmtId="234" fontId="11" fillId="0" borderId="0"/>
    <xf numFmtId="4" fontId="11" fillId="45" borderId="0" applyNumberFormat="0" applyProtection="0">
      <alignment horizontal="left" vertical="center"/>
    </xf>
    <xf numFmtId="0" fontId="11" fillId="0" borderId="3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23" fontId="11" fillId="0" borderId="0">
      <protection locked="0"/>
    </xf>
    <xf numFmtId="225" fontId="11" fillId="0" borderId="0">
      <protection locked="0"/>
    </xf>
    <xf numFmtId="225" fontId="11" fillId="0" borderId="0">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2" fillId="0" borderId="0"/>
    <xf numFmtId="0" fontId="2" fillId="0" borderId="0"/>
    <xf numFmtId="247" fontId="11" fillId="0" borderId="0"/>
    <xf numFmtId="0" fontId="2" fillId="0" borderId="0"/>
    <xf numFmtId="43" fontId="11"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3" fontId="190"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43" fontId="11" fillId="0" borderId="0" applyFont="0" applyFill="0" applyBorder="0" applyAlignment="0" applyProtection="0"/>
    <xf numFmtId="0" fontId="2" fillId="0" borderId="0"/>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xf numFmtId="0" fontId="194" fillId="0" borderId="8">
      <alignment horizontal="center"/>
    </xf>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3" fontId="11" fillId="0" borderId="0" applyFont="0" applyFill="0" applyBorder="0" applyAlignment="0" applyProtection="0"/>
    <xf numFmtId="9" fontId="11" fillId="0" borderId="0" applyFont="0" applyFill="0" applyBorder="0" applyAlignment="0" applyProtection="0"/>
    <xf numFmtId="0" fontId="11" fillId="0" borderId="0" applyFont="0" applyFill="0" applyBorder="0" applyAlignment="0" applyProtection="0"/>
    <xf numFmtId="0" fontId="218" fillId="0" borderId="0"/>
    <xf numFmtId="44" fontId="219" fillId="0" borderId="0"/>
    <xf numFmtId="44" fontId="219" fillId="0" borderId="0"/>
    <xf numFmtId="44" fontId="219" fillId="0" borderId="0"/>
    <xf numFmtId="0" fontId="218" fillId="0" borderId="0"/>
    <xf numFmtId="0" fontId="218" fillId="0" borderId="0"/>
    <xf numFmtId="9" fontId="219" fillId="0" borderId="0"/>
    <xf numFmtId="44" fontId="219" fillId="0" borderId="0"/>
    <xf numFmtId="0" fontId="218" fillId="0" borderId="0"/>
    <xf numFmtId="0" fontId="218" fillId="0" borderId="0"/>
    <xf numFmtId="0" fontId="218" fillId="0" borderId="0"/>
    <xf numFmtId="9" fontId="219" fillId="0" borderId="0"/>
    <xf numFmtId="44" fontId="219" fillId="0" borderId="0"/>
    <xf numFmtId="9" fontId="219" fillId="0" borderId="0"/>
    <xf numFmtId="44" fontId="219" fillId="0" borderId="0"/>
    <xf numFmtId="9" fontId="219" fillId="0" borderId="0"/>
    <xf numFmtId="9" fontId="219" fillId="0" borderId="0"/>
    <xf numFmtId="9" fontId="219" fillId="0" borderId="0"/>
    <xf numFmtId="0" fontId="128" fillId="0" borderId="0"/>
    <xf numFmtId="44" fontId="219" fillId="0" borderId="0"/>
    <xf numFmtId="9" fontId="219" fillId="0" borderId="0"/>
    <xf numFmtId="0" fontId="11" fillId="0" borderId="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42" fillId="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3" fillId="26" borderId="0" applyNumberFormat="0" applyBorder="0" applyAlignment="0" applyProtection="0"/>
    <xf numFmtId="0" fontId="43" fillId="7" borderId="0" applyNumberFormat="0" applyBorder="0" applyAlignment="0" applyProtection="0"/>
    <xf numFmtId="0" fontId="43" fillId="22" borderId="0" applyNumberFormat="0" applyBorder="0" applyAlignment="0" applyProtection="0"/>
    <xf numFmtId="0" fontId="43" fillId="18" borderId="0" applyNumberFormat="0" applyBorder="0" applyAlignment="0" applyProtection="0"/>
    <xf numFmtId="0" fontId="43" fillId="30" borderId="0" applyNumberFormat="0" applyBorder="0" applyAlignment="0" applyProtection="0"/>
    <xf numFmtId="0" fontId="11"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5" borderId="1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9" borderId="137" applyNumberFormat="0" applyFont="0" applyAlignment="0" applyProtection="0"/>
    <xf numFmtId="9" fontId="11" fillId="0" borderId="0" applyFont="0" applyFill="0" applyBorder="0" applyAlignment="0" applyProtection="0"/>
    <xf numFmtId="0" fontId="1" fillId="0" borderId="0"/>
    <xf numFmtId="166" fontId="11" fillId="0" borderId="0" applyFont="0" applyFill="0" applyBorder="0" applyAlignment="0" applyProtection="0"/>
    <xf numFmtId="41" fontId="11" fillId="0" borderId="0" applyFont="0" applyFill="0" applyBorder="0" applyAlignment="0" applyProtection="0"/>
    <xf numFmtId="0" fontId="1" fillId="0" borderId="0"/>
    <xf numFmtId="9" fontId="1" fillId="0" borderId="0" applyFont="0" applyFill="0" applyBorder="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20" fillId="0" borderId="0"/>
    <xf numFmtId="0" fontId="1" fillId="0" borderId="0"/>
    <xf numFmtId="0" fontId="170" fillId="0" borderId="0" applyNumberFormat="0" applyFill="0" applyBorder="0" applyAlignment="0" applyProtection="0"/>
    <xf numFmtId="0" fontId="177" fillId="95" borderId="156" applyNumberFormat="0" applyAlignment="0" applyProtection="0"/>
    <xf numFmtId="0" fontId="177" fillId="95" borderId="156" applyNumberFormat="0" applyAlignment="0" applyProtection="0"/>
    <xf numFmtId="0" fontId="1" fillId="0" borderId="0"/>
    <xf numFmtId="0" fontId="177" fillId="95" borderId="156" applyNumberFormat="0" applyAlignment="0" applyProtection="0"/>
    <xf numFmtId="0" fontId="1" fillId="0" borderId="0"/>
    <xf numFmtId="0" fontId="1" fillId="55" borderId="49" applyNumberFormat="0" applyFont="0" applyAlignment="0" applyProtection="0"/>
    <xf numFmtId="0" fontId="185" fillId="98"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0" borderId="0"/>
    <xf numFmtId="0" fontId="185" fillId="9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85" fillId="10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85" fillId="101"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85" fillId="102"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77" fillId="95" borderId="156" applyNumberFormat="0" applyAlignment="0" applyProtection="0"/>
    <xf numFmtId="0" fontId="1" fillId="55" borderId="49" applyNumberFormat="0" applyFont="0" applyAlignment="0" applyProtection="0"/>
    <xf numFmtId="0" fontId="185" fillId="98" borderId="0" applyNumberFormat="0" applyBorder="0" applyAlignment="0" applyProtection="0"/>
    <xf numFmtId="0" fontId="185" fillId="101" borderId="0" applyNumberFormat="0" applyBorder="0" applyAlignment="0" applyProtection="0"/>
    <xf numFmtId="0" fontId="185" fillId="99"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85" fillId="10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 fillId="81" borderId="0" applyNumberFormat="0" applyBorder="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102"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cellStyleXfs>
  <cellXfs count="735">
    <xf numFmtId="164" fontId="0" fillId="0" borderId="0" xfId="0"/>
    <xf numFmtId="164" fontId="13" fillId="0" borderId="0" xfId="0" applyFont="1" applyAlignment="1">
      <alignment horizontal="center"/>
    </xf>
    <xf numFmtId="164" fontId="13" fillId="0" borderId="0" xfId="0" applyFont="1"/>
    <xf numFmtId="164" fontId="12" fillId="0" borderId="0" xfId="0" applyFont="1"/>
    <xf numFmtId="164" fontId="12" fillId="0" borderId="0" xfId="0" applyFont="1" applyAlignment="1">
      <alignment horizontal="right"/>
    </xf>
    <xf numFmtId="164" fontId="15" fillId="0" borderId="0" xfId="0" applyFont="1"/>
    <xf numFmtId="164" fontId="15"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3" fillId="0" borderId="0" xfId="0" applyFont="1" applyAlignment="1">
      <alignment vertical="center"/>
    </xf>
    <xf numFmtId="164" fontId="13" fillId="0" borderId="0" xfId="0" applyFont="1" applyAlignment="1">
      <alignment vertical="top"/>
    </xf>
    <xf numFmtId="166" fontId="13" fillId="0" borderId="0" xfId="640" applyFont="1" applyAlignment="1">
      <alignment vertical="center"/>
    </xf>
    <xf numFmtId="166" fontId="13" fillId="0" borderId="38" xfId="640" applyFont="1" applyBorder="1" applyAlignment="1">
      <alignment vertical="top"/>
    </xf>
    <xf numFmtId="167" fontId="13" fillId="0" borderId="0" xfId="328" applyNumberFormat="1" applyFont="1" applyAlignment="1">
      <alignment vertical="center"/>
    </xf>
    <xf numFmtId="167" fontId="13" fillId="0" borderId="38" xfId="328" applyNumberFormat="1" applyFont="1" applyBorder="1" applyAlignment="1">
      <alignment vertical="top"/>
    </xf>
    <xf numFmtId="167" fontId="13" fillId="0" borderId="0" xfId="0" applyNumberFormat="1" applyFont="1" applyAlignment="1">
      <alignment vertical="center"/>
    </xf>
    <xf numFmtId="167" fontId="0" fillId="0" borderId="0" xfId="0" applyNumberFormat="1"/>
    <xf numFmtId="167" fontId="13" fillId="0" borderId="0" xfId="0" applyNumberFormat="1" applyFont="1" applyAlignment="1">
      <alignment vertical="top"/>
    </xf>
    <xf numFmtId="167" fontId="13" fillId="0" borderId="0" xfId="0" applyNumberFormat="1" applyFont="1" applyBorder="1" applyAlignment="1">
      <alignment vertical="center"/>
    </xf>
    <xf numFmtId="165" fontId="12" fillId="0" borderId="0" xfId="0" applyNumberFormat="1" applyFont="1" applyAlignment="1">
      <alignment horizontal="center" vertical="center"/>
    </xf>
    <xf numFmtId="164" fontId="12" fillId="0" borderId="0" xfId="0" applyFont="1" applyAlignment="1">
      <alignment vertical="center"/>
    </xf>
    <xf numFmtId="167" fontId="12" fillId="0" borderId="0" xfId="0" applyNumberFormat="1" applyFont="1" applyAlignment="1">
      <alignment vertical="center"/>
    </xf>
    <xf numFmtId="164" fontId="0" fillId="0" borderId="0" xfId="0" applyAlignment="1"/>
    <xf numFmtId="164" fontId="13" fillId="0" borderId="0" xfId="0" applyFont="1" applyAlignment="1"/>
    <xf numFmtId="167" fontId="13" fillId="0" borderId="9" xfId="328" applyNumberFormat="1" applyFont="1" applyBorder="1" applyAlignment="1"/>
    <xf numFmtId="166" fontId="13" fillId="0" borderId="9" xfId="640" applyFont="1" applyBorder="1" applyAlignment="1"/>
    <xf numFmtId="167" fontId="13" fillId="0" borderId="0" xfId="0" applyNumberFormat="1" applyFont="1" applyAlignment="1"/>
    <xf numFmtId="167" fontId="13" fillId="0" borderId="9" xfId="328" applyNumberFormat="1" applyFont="1" applyBorder="1" applyAlignment="1">
      <alignment vertical="top"/>
    </xf>
    <xf numFmtId="169" fontId="13" fillId="0" borderId="0" xfId="328" applyFont="1" applyAlignment="1">
      <alignment vertical="center"/>
    </xf>
    <xf numFmtId="169" fontId="13" fillId="0" borderId="38" xfId="328" applyFont="1" applyBorder="1" applyAlignment="1">
      <alignment vertical="top"/>
    </xf>
    <xf numFmtId="169" fontId="13" fillId="0" borderId="9" xfId="328" applyFont="1" applyBorder="1" applyAlignment="1"/>
    <xf numFmtId="169" fontId="13" fillId="0" borderId="9" xfId="328" applyFont="1" applyBorder="1" applyAlignment="1">
      <alignment vertical="top"/>
    </xf>
    <xf numFmtId="165" fontId="12" fillId="0" borderId="0" xfId="0" applyNumberFormat="1" applyFont="1" applyAlignment="1">
      <alignment horizontal="center" vertical="top"/>
    </xf>
    <xf numFmtId="164" fontId="12" fillId="0" borderId="0" xfId="0" applyFont="1" applyAlignment="1">
      <alignment vertical="top"/>
    </xf>
    <xf numFmtId="167" fontId="13" fillId="0" borderId="0" xfId="0" applyNumberFormat="1" applyFont="1" applyAlignment="1">
      <alignment horizontal="right" vertical="center"/>
    </xf>
    <xf numFmtId="167" fontId="12" fillId="0" borderId="0" xfId="328" applyNumberFormat="1" applyFont="1" applyAlignment="1"/>
    <xf numFmtId="166" fontId="12" fillId="0" borderId="0" xfId="640" applyFont="1"/>
    <xf numFmtId="169" fontId="12" fillId="0" borderId="0" xfId="328" applyFont="1" applyAlignment="1"/>
    <xf numFmtId="173" fontId="12" fillId="0" borderId="0" xfId="328" applyNumberFormat="1" applyFont="1" applyBorder="1" applyAlignment="1">
      <alignment vertical="center"/>
    </xf>
    <xf numFmtId="173" fontId="12" fillId="0" borderId="0" xfId="328" applyNumberFormat="1" applyFont="1" applyAlignment="1"/>
    <xf numFmtId="173" fontId="12" fillId="0" borderId="0" xfId="174" applyNumberFormat="1" applyFont="1"/>
    <xf numFmtId="169" fontId="12" fillId="0" borderId="0" xfId="328" applyFont="1" applyAlignment="1">
      <alignment vertical="center"/>
    </xf>
    <xf numFmtId="0" fontId="0" fillId="0" borderId="0" xfId="0" applyNumberFormat="1"/>
    <xf numFmtId="0" fontId="13" fillId="0" borderId="31" xfId="0" applyNumberFormat="1" applyFont="1" applyBorder="1" applyAlignment="1">
      <alignment horizontal="centerContinuous"/>
    </xf>
    <xf numFmtId="0" fontId="12" fillId="0" borderId="31" xfId="0" applyNumberFormat="1" applyFont="1" applyBorder="1" applyAlignment="1">
      <alignment horizontal="center" wrapText="1"/>
    </xf>
    <xf numFmtId="0" fontId="12" fillId="0" borderId="0" xfId="0" applyNumberFormat="1" applyFont="1" applyAlignment="1">
      <alignment horizontal="center"/>
    </xf>
    <xf numFmtId="0" fontId="12" fillId="0" borderId="31" xfId="0" applyNumberFormat="1" applyFont="1" applyBorder="1" applyAlignment="1">
      <alignment horizontal="centerContinuous"/>
    </xf>
    <xf numFmtId="0" fontId="12" fillId="0" borderId="39" xfId="0" applyNumberFormat="1" applyFont="1" applyBorder="1" applyAlignment="1">
      <alignment horizontal="center" wrapText="1"/>
    </xf>
    <xf numFmtId="0" fontId="12" fillId="0" borderId="0" xfId="0" applyNumberFormat="1" applyFont="1" applyBorder="1" applyAlignment="1">
      <alignment horizontal="centerContinuous"/>
    </xf>
    <xf numFmtId="173" fontId="12" fillId="0" borderId="0" xfId="174" applyNumberFormat="1" applyFont="1" applyAlignment="1">
      <alignment vertical="center"/>
    </xf>
    <xf numFmtId="169" fontId="13" fillId="0" borderId="0" xfId="328" applyFont="1" applyBorder="1" applyAlignment="1">
      <alignment vertical="top"/>
    </xf>
    <xf numFmtId="172" fontId="12" fillId="0" borderId="0" xfId="328" applyNumberFormat="1" applyFont="1" applyAlignment="1">
      <alignment vertical="center"/>
    </xf>
    <xf numFmtId="173" fontId="13" fillId="0" borderId="0" xfId="174" applyNumberFormat="1" applyFont="1" applyAlignment="1">
      <alignment vertical="top"/>
    </xf>
    <xf numFmtId="164" fontId="0" fillId="0" borderId="0" xfId="0" applyAlignment="1">
      <alignment horizontal="left"/>
    </xf>
    <xf numFmtId="172" fontId="12" fillId="0" borderId="0" xfId="328" applyNumberFormat="1" applyFont="1" applyAlignment="1"/>
    <xf numFmtId="165" fontId="12" fillId="0" borderId="0" xfId="0" applyNumberFormat="1" applyFont="1" applyBorder="1" applyAlignment="1">
      <alignment horizontal="center" vertical="center"/>
    </xf>
    <xf numFmtId="164" fontId="12" fillId="0" borderId="0" xfId="0" applyFont="1" applyBorder="1" applyAlignment="1">
      <alignment vertical="center"/>
    </xf>
    <xf numFmtId="164" fontId="13" fillId="0" borderId="0" xfId="0" applyFont="1" applyBorder="1" applyAlignment="1">
      <alignment vertical="center"/>
    </xf>
    <xf numFmtId="169" fontId="13" fillId="0" borderId="0" xfId="328" applyFont="1" applyBorder="1" applyAlignment="1">
      <alignment vertical="center"/>
    </xf>
    <xf numFmtId="173" fontId="13" fillId="0" borderId="0" xfId="174" applyNumberFormat="1" applyFont="1" applyBorder="1" applyAlignment="1">
      <alignment vertical="center"/>
    </xf>
    <xf numFmtId="0" fontId="0" fillId="0" borderId="0" xfId="0" applyNumberFormat="1" applyAlignment="1">
      <alignment horizontal="center"/>
    </xf>
    <xf numFmtId="0" fontId="12" fillId="0" borderId="0" xfId="328" applyNumberFormat="1" applyFont="1" applyAlignment="1">
      <alignment vertical="center"/>
    </xf>
    <xf numFmtId="0" fontId="12" fillId="0" borderId="0" xfId="328" applyNumberFormat="1" applyFont="1" applyAlignment="1">
      <alignment horizontal="centerContinuous" vertical="center"/>
    </xf>
    <xf numFmtId="175" fontId="12" fillId="0" borderId="0" xfId="174" applyNumberFormat="1" applyFont="1" applyAlignment="1">
      <alignment vertical="center"/>
    </xf>
    <xf numFmtId="175" fontId="12" fillId="0" borderId="0" xfId="174" applyNumberFormat="1" applyFont="1" applyAlignment="1">
      <alignment horizontal="centerContinuous" vertical="center"/>
    </xf>
    <xf numFmtId="0" fontId="12" fillId="0" borderId="0" xfId="328" quotePrefix="1" applyNumberFormat="1" applyFont="1" applyAlignment="1">
      <alignment vertical="center"/>
    </xf>
    <xf numFmtId="170" fontId="12" fillId="0" borderId="0" xfId="640" applyNumberFormat="1" applyFont="1" applyAlignment="1">
      <alignment vertical="center"/>
    </xf>
    <xf numFmtId="171" fontId="12" fillId="0" borderId="0" xfId="640" applyNumberFormat="1" applyFont="1" applyAlignment="1">
      <alignment vertical="center"/>
    </xf>
    <xf numFmtId="170" fontId="13" fillId="0" borderId="38" xfId="640" applyNumberFormat="1" applyFont="1" applyBorder="1" applyAlignment="1">
      <alignment vertical="top"/>
    </xf>
    <xf numFmtId="169" fontId="12" fillId="0" borderId="9" xfId="328" applyFont="1" applyBorder="1" applyAlignment="1">
      <alignment horizontal="center"/>
    </xf>
    <xf numFmtId="169" fontId="12" fillId="0" borderId="0" xfId="328" applyFont="1" applyBorder="1" applyAlignment="1">
      <alignment horizontal="center" vertical="center"/>
    </xf>
    <xf numFmtId="173" fontId="12" fillId="0" borderId="0" xfId="174" applyNumberFormat="1" applyFont="1" applyBorder="1" applyAlignment="1">
      <alignment horizontal="center" vertical="center"/>
    </xf>
    <xf numFmtId="169" fontId="12" fillId="0" borderId="0" xfId="328" applyFont="1" applyBorder="1" applyAlignment="1">
      <alignment horizontal="center" vertical="top"/>
    </xf>
    <xf numFmtId="169" fontId="12" fillId="0" borderId="0" xfId="328" applyFont="1" applyBorder="1" applyAlignment="1">
      <alignment horizontal="center"/>
    </xf>
    <xf numFmtId="174" fontId="12" fillId="0" borderId="0" xfId="174" applyNumberFormat="1" applyFont="1" applyAlignment="1">
      <alignment vertical="center"/>
    </xf>
    <xf numFmtId="166" fontId="12" fillId="0" borderId="0" xfId="640" applyFont="1" applyAlignment="1">
      <alignment vertical="center"/>
    </xf>
    <xf numFmtId="170" fontId="12" fillId="0" borderId="0" xfId="640" applyNumberFormat="1" applyFont="1" applyBorder="1" applyAlignment="1">
      <alignment vertical="center"/>
    </xf>
    <xf numFmtId="177" fontId="12" fillId="0" borderId="0" xfId="180" applyFont="1" applyAlignment="1">
      <alignment vertical="center"/>
    </xf>
    <xf numFmtId="177" fontId="12" fillId="0" borderId="0" xfId="180" applyAlignment="1"/>
    <xf numFmtId="168" fontId="13" fillId="0" borderId="0" xfId="328" applyNumberFormat="1" applyFont="1" applyAlignment="1">
      <alignment vertical="center"/>
    </xf>
    <xf numFmtId="174" fontId="13" fillId="0" borderId="0" xfId="328" applyNumberFormat="1" applyFont="1" applyAlignment="1">
      <alignment vertical="center"/>
    </xf>
    <xf numFmtId="174" fontId="12" fillId="0" borderId="0" xfId="328" applyNumberFormat="1" applyFont="1" applyAlignment="1"/>
    <xf numFmtId="174" fontId="13" fillId="0" borderId="38" xfId="328" applyNumberFormat="1" applyFont="1" applyBorder="1" applyAlignment="1">
      <alignment vertical="top"/>
    </xf>
    <xf numFmtId="174" fontId="12" fillId="0" borderId="0" xfId="328" applyNumberFormat="1" applyFont="1" applyAlignment="1">
      <alignment vertical="center"/>
    </xf>
    <xf numFmtId="174" fontId="13" fillId="0" borderId="0" xfId="328" applyNumberFormat="1" applyFont="1" applyBorder="1" applyAlignment="1">
      <alignment vertical="center"/>
    </xf>
    <xf numFmtId="170" fontId="13" fillId="0" borderId="0" xfId="640" applyNumberFormat="1" applyFont="1" applyAlignment="1">
      <alignment vertical="center"/>
    </xf>
    <xf numFmtId="170" fontId="13" fillId="0" borderId="9" xfId="640" applyNumberFormat="1" applyFont="1" applyBorder="1" applyAlignment="1"/>
    <xf numFmtId="170" fontId="13" fillId="0" borderId="9" xfId="640" applyNumberFormat="1" applyFont="1" applyBorder="1" applyAlignment="1">
      <alignment vertical="top"/>
    </xf>
    <xf numFmtId="170" fontId="12" fillId="0" borderId="0" xfId="640" applyNumberFormat="1" applyFont="1"/>
    <xf numFmtId="164" fontId="0" fillId="0" borderId="0" xfId="0" quotePrefix="1"/>
    <xf numFmtId="0" fontId="0" fillId="0" borderId="0" xfId="0" quotePrefix="1" applyNumberFormat="1"/>
    <xf numFmtId="167" fontId="12" fillId="0" borderId="0" xfId="0" applyNumberFormat="1" applyFont="1" applyBorder="1" applyAlignment="1">
      <alignment vertical="center"/>
    </xf>
    <xf numFmtId="0" fontId="13" fillId="0" borderId="0" xfId="0" applyNumberFormat="1" applyFont="1" applyBorder="1" applyAlignment="1">
      <alignment horizontal="centerContinuous"/>
    </xf>
    <xf numFmtId="0" fontId="12" fillId="0" borderId="0" xfId="0" applyNumberFormat="1" applyFont="1" applyBorder="1" applyAlignment="1">
      <alignment horizontal="center" wrapText="1"/>
    </xf>
    <xf numFmtId="167" fontId="13" fillId="0" borderId="0" xfId="328" applyNumberFormat="1" applyFont="1" applyBorder="1" applyAlignment="1">
      <alignment vertical="top"/>
    </xf>
    <xf numFmtId="167" fontId="13" fillId="0" borderId="0" xfId="328" applyNumberFormat="1" applyFont="1" applyBorder="1" applyAlignment="1"/>
    <xf numFmtId="0" fontId="0" fillId="0" borderId="40" xfId="0" applyNumberFormat="1" applyBorder="1"/>
    <xf numFmtId="0" fontId="12" fillId="0" borderId="40" xfId="0" applyNumberFormat="1" applyFont="1" applyBorder="1" applyAlignment="1">
      <alignment horizontal="center"/>
    </xf>
    <xf numFmtId="164" fontId="13" fillId="0" borderId="40" xfId="0" applyFont="1" applyBorder="1" applyAlignment="1">
      <alignment vertical="center"/>
    </xf>
    <xf numFmtId="164" fontId="0" fillId="0" borderId="40" xfId="0" applyBorder="1"/>
    <xf numFmtId="164" fontId="13" fillId="0" borderId="40" xfId="0" applyFont="1" applyBorder="1" applyAlignment="1">
      <alignment vertical="top"/>
    </xf>
    <xf numFmtId="164" fontId="13"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3" fillId="0" borderId="0" xfId="328" applyFont="1" applyBorder="1" applyAlignment="1"/>
    <xf numFmtId="0" fontId="0" fillId="0" borderId="41" xfId="0" applyNumberFormat="1" applyBorder="1"/>
    <xf numFmtId="167" fontId="13" fillId="0" borderId="40" xfId="0" applyNumberFormat="1" applyFont="1" applyBorder="1" applyAlignment="1">
      <alignment vertical="center"/>
    </xf>
    <xf numFmtId="167" fontId="0" fillId="0" borderId="40" xfId="0" applyNumberFormat="1" applyBorder="1"/>
    <xf numFmtId="167" fontId="13" fillId="0" borderId="40" xfId="0" applyNumberFormat="1" applyFont="1" applyBorder="1" applyAlignment="1">
      <alignment vertical="top"/>
    </xf>
    <xf numFmtId="167" fontId="13" fillId="0" borderId="40" xfId="0" applyNumberFormat="1" applyFont="1" applyBorder="1" applyAlignment="1"/>
    <xf numFmtId="167" fontId="12" fillId="0" borderId="40" xfId="0" applyNumberFormat="1" applyFont="1" applyBorder="1" applyAlignment="1">
      <alignment vertical="center"/>
    </xf>
    <xf numFmtId="177" fontId="12" fillId="0" borderId="40" xfId="180" applyFont="1" applyBorder="1" applyAlignment="1">
      <alignment vertical="center"/>
    </xf>
    <xf numFmtId="167" fontId="13" fillId="0" borderId="0" xfId="0" applyNumberFormat="1" applyFont="1" applyBorder="1" applyAlignment="1"/>
    <xf numFmtId="169" fontId="13" fillId="0" borderId="0" xfId="328" applyFont="1" applyBorder="1" applyAlignment="1">
      <alignment horizontal="center"/>
    </xf>
    <xf numFmtId="167" fontId="13" fillId="0" borderId="0" xfId="0" applyNumberFormat="1" applyFont="1" applyAlignment="1">
      <alignment horizontal="right"/>
    </xf>
    <xf numFmtId="167" fontId="13" fillId="0" borderId="40" xfId="0" applyNumberFormat="1" applyFont="1" applyBorder="1" applyAlignment="1">
      <alignment horizontal="right"/>
    </xf>
    <xf numFmtId="173" fontId="13" fillId="0" borderId="0" xfId="174" applyNumberFormat="1" applyFont="1" applyBorder="1" applyAlignment="1"/>
    <xf numFmtId="167" fontId="13" fillId="0" borderId="0" xfId="0" applyNumberFormat="1" applyFont="1" applyBorder="1" applyAlignment="1">
      <alignment horizontal="right"/>
    </xf>
    <xf numFmtId="167" fontId="13" fillId="0" borderId="0" xfId="0" applyNumberFormat="1" applyFont="1" applyBorder="1" applyAlignment="1">
      <alignment horizontal="right" vertical="center"/>
    </xf>
    <xf numFmtId="164" fontId="12" fillId="0" borderId="40" xfId="0" applyFont="1" applyBorder="1" applyAlignment="1">
      <alignment vertical="center"/>
    </xf>
    <xf numFmtId="167" fontId="12" fillId="0" borderId="42" xfId="0" applyNumberFormat="1" applyFont="1" applyBorder="1" applyAlignment="1">
      <alignment vertical="center"/>
    </xf>
    <xf numFmtId="170" fontId="13" fillId="0" borderId="0" xfId="640" applyNumberFormat="1" applyFont="1" applyBorder="1" applyAlignment="1">
      <alignment vertical="center"/>
    </xf>
    <xf numFmtId="167" fontId="13" fillId="0" borderId="0" xfId="328" applyNumberFormat="1" applyFont="1" applyAlignment="1"/>
    <xf numFmtId="166" fontId="13" fillId="0" borderId="0" xfId="640" applyFont="1" applyAlignment="1"/>
    <xf numFmtId="41" fontId="12" fillId="0" borderId="0" xfId="174" applyFont="1"/>
    <xf numFmtId="170" fontId="13" fillId="0" borderId="0" xfId="640" applyNumberFormat="1" applyFont="1" applyAlignment="1"/>
    <xf numFmtId="169" fontId="13" fillId="0" borderId="0" xfId="328" applyFont="1" applyAlignment="1"/>
    <xf numFmtId="178" fontId="12" fillId="0" borderId="0" xfId="328" applyNumberFormat="1" applyFont="1" applyAlignment="1"/>
    <xf numFmtId="0" fontId="0" fillId="0" borderId="0" xfId="0" applyNumberFormat="1" applyBorder="1"/>
    <xf numFmtId="177" fontId="13" fillId="0" borderId="38" xfId="180" applyFont="1" applyBorder="1" applyAlignment="1">
      <alignment vertical="top"/>
    </xf>
    <xf numFmtId="177" fontId="13" fillId="0" borderId="0" xfId="180" applyFont="1" applyBorder="1" applyAlignment="1">
      <alignment vertical="center"/>
    </xf>
    <xf numFmtId="177" fontId="12" fillId="0" borderId="0" xfId="180" applyFont="1" applyBorder="1" applyAlignment="1">
      <alignment vertical="center"/>
    </xf>
    <xf numFmtId="0" fontId="12" fillId="0" borderId="0" xfId="180" applyNumberFormat="1" applyFont="1" applyAlignment="1">
      <alignment vertical="center"/>
    </xf>
    <xf numFmtId="169" fontId="12" fillId="0" borderId="0" xfId="328" applyFont="1" applyBorder="1" applyAlignment="1"/>
    <xf numFmtId="172" fontId="12" fillId="0" borderId="0" xfId="328" applyNumberFormat="1" applyFont="1" applyBorder="1" applyAlignment="1">
      <alignment vertical="top"/>
    </xf>
    <xf numFmtId="0" fontId="12" fillId="0" borderId="0" xfId="328" quotePrefix="1" applyNumberFormat="1" applyFont="1" applyBorder="1" applyAlignment="1">
      <alignment vertical="top"/>
    </xf>
    <xf numFmtId="0" fontId="12" fillId="0" borderId="0" xfId="328" applyNumberFormat="1" applyFont="1" applyBorder="1" applyAlignment="1"/>
    <xf numFmtId="0" fontId="12" fillId="0" borderId="0" xfId="328" quotePrefix="1" applyNumberFormat="1" applyFont="1" applyBorder="1" applyAlignment="1">
      <alignment vertical="center"/>
    </xf>
    <xf numFmtId="177" fontId="12" fillId="0" borderId="0" xfId="180" applyBorder="1" applyAlignment="1"/>
    <xf numFmtId="167" fontId="12" fillId="0" borderId="0" xfId="0" applyNumberFormat="1" applyFont="1" applyAlignment="1">
      <alignment vertical="top"/>
    </xf>
    <xf numFmtId="167" fontId="12" fillId="0" borderId="40" xfId="0" applyNumberFormat="1" applyFont="1" applyBorder="1" applyAlignment="1">
      <alignment vertical="top"/>
    </xf>
    <xf numFmtId="177" fontId="12" fillId="0" borderId="0" xfId="180" applyFont="1" applyBorder="1" applyAlignment="1">
      <alignment vertical="top"/>
    </xf>
    <xf numFmtId="177" fontId="12" fillId="0" borderId="0" xfId="180" applyFont="1" applyAlignment="1">
      <alignment vertical="top"/>
    </xf>
    <xf numFmtId="0" fontId="12"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2" fillId="0" borderId="0" xfId="180" applyAlignment="1">
      <alignment vertical="top"/>
    </xf>
    <xf numFmtId="174" fontId="12" fillId="0" borderId="0" xfId="328" applyNumberFormat="1" applyFont="1" applyAlignment="1">
      <alignment vertical="top"/>
    </xf>
    <xf numFmtId="171" fontId="12" fillId="0" borderId="0" xfId="640" applyNumberFormat="1" applyFont="1" applyAlignment="1">
      <alignment vertical="top"/>
    </xf>
    <xf numFmtId="0" fontId="12" fillId="0" borderId="31" xfId="0" quotePrefix="1" applyNumberFormat="1" applyFont="1" applyBorder="1" applyAlignment="1">
      <alignment horizontal="center" wrapText="1"/>
    </xf>
    <xf numFmtId="0" fontId="12"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2" fillId="0" borderId="0" xfId="328" applyNumberFormat="1" applyFont="1" applyAlignment="1"/>
    <xf numFmtId="0" fontId="12" fillId="0" borderId="0" xfId="328" applyNumberFormat="1" applyFont="1" applyAlignment="1">
      <alignment vertical="top"/>
    </xf>
    <xf numFmtId="0" fontId="13" fillId="0" borderId="0" xfId="328" applyNumberFormat="1" applyFont="1" applyBorder="1" applyAlignment="1"/>
    <xf numFmtId="177" fontId="13" fillId="0" borderId="0" xfId="180" applyFont="1" applyAlignment="1">
      <alignment vertical="center"/>
    </xf>
    <xf numFmtId="177" fontId="13" fillId="0" borderId="9" xfId="180" applyFont="1" applyBorder="1" applyAlignment="1"/>
    <xf numFmtId="177" fontId="13" fillId="0" borderId="9" xfId="180" applyFont="1" applyBorder="1" applyAlignment="1">
      <alignment vertical="top"/>
    </xf>
    <xf numFmtId="41" fontId="13" fillId="0" borderId="9" xfId="174" applyFont="1" applyBorder="1" applyAlignment="1"/>
    <xf numFmtId="41" fontId="13" fillId="0" borderId="9" xfId="174" applyFont="1" applyBorder="1" applyAlignment="1">
      <alignment vertical="top"/>
    </xf>
    <xf numFmtId="0" fontId="11" fillId="0" borderId="0" xfId="328" quotePrefix="1" applyNumberFormat="1" applyFont="1" applyAlignment="1">
      <alignment vertical="top"/>
    </xf>
    <xf numFmtId="169" fontId="12" fillId="0" borderId="0" xfId="328" applyFont="1" applyBorder="1" applyAlignment="1">
      <alignment vertical="top"/>
    </xf>
    <xf numFmtId="0" fontId="13" fillId="0" borderId="0" xfId="0" applyNumberFormat="1" applyFont="1" applyBorder="1" applyAlignment="1">
      <alignment horizontal="center"/>
    </xf>
    <xf numFmtId="164" fontId="12" fillId="0" borderId="0" xfId="0" quotePrefix="1" applyFont="1" applyAlignment="1"/>
    <xf numFmtId="164" fontId="12" fillId="0" borderId="0" xfId="0" applyFont="1" applyAlignment="1"/>
    <xf numFmtId="164" fontId="11" fillId="0" borderId="0" xfId="0" applyFont="1"/>
    <xf numFmtId="164" fontId="0" fillId="0" borderId="0" xfId="0" applyAlignment="1">
      <alignment horizontal="center"/>
    </xf>
    <xf numFmtId="7" fontId="12" fillId="0" borderId="0" xfId="328" applyNumberFormat="1" applyFont="1" applyBorder="1" applyAlignment="1">
      <alignment vertical="top"/>
    </xf>
    <xf numFmtId="171" fontId="12" fillId="0" borderId="0" xfId="640" applyNumberFormat="1" applyFont="1" applyBorder="1" applyAlignment="1">
      <alignment vertical="top"/>
    </xf>
    <xf numFmtId="0" fontId="11" fillId="0" borderId="0" xfId="328" quotePrefix="1" applyNumberFormat="1" applyFont="1" applyBorder="1" applyAlignment="1">
      <alignment vertical="top"/>
    </xf>
    <xf numFmtId="0" fontId="12" fillId="0" borderId="31" xfId="0" quotePrefix="1" applyNumberFormat="1" applyFont="1" applyBorder="1" applyAlignment="1">
      <alignment horizontal="center"/>
    </xf>
    <xf numFmtId="0" fontId="12" fillId="0" borderId="31" xfId="0" applyNumberFormat="1" applyFont="1" applyBorder="1" applyAlignment="1">
      <alignment horizontal="center"/>
    </xf>
    <xf numFmtId="164" fontId="0" fillId="0" borderId="0" xfId="0" applyFill="1"/>
    <xf numFmtId="169" fontId="12" fillId="0" borderId="0" xfId="180" applyNumberFormat="1" applyFont="1" applyAlignment="1">
      <alignment vertical="center"/>
    </xf>
    <xf numFmtId="169" fontId="12" fillId="0" borderId="0" xfId="328" applyNumberFormat="1" applyFont="1" applyAlignment="1">
      <alignment vertical="center"/>
    </xf>
    <xf numFmtId="169" fontId="12" fillId="0" borderId="0" xfId="180" applyNumberFormat="1" applyAlignment="1"/>
    <xf numFmtId="169" fontId="12" fillId="0" borderId="0" xfId="328" applyNumberFormat="1" applyFont="1" applyAlignment="1"/>
    <xf numFmtId="169" fontId="13" fillId="0" borderId="0" xfId="180" applyNumberFormat="1" applyFont="1" applyBorder="1" applyAlignment="1">
      <alignment vertical="center"/>
    </xf>
    <xf numFmtId="169" fontId="13" fillId="0" borderId="38" xfId="328" applyNumberFormat="1" applyFont="1" applyBorder="1" applyAlignment="1">
      <alignment vertical="top"/>
    </xf>
    <xf numFmtId="169" fontId="12" fillId="0" borderId="0" xfId="174" applyNumberFormat="1" applyFont="1" applyAlignment="1">
      <alignment vertical="center"/>
    </xf>
    <xf numFmtId="0" fontId="13" fillId="0" borderId="31" xfId="0" applyNumberFormat="1" applyFont="1" applyBorder="1" applyAlignment="1">
      <alignment horizontal="center"/>
    </xf>
    <xf numFmtId="165" fontId="12" fillId="0" borderId="0" xfId="0" applyNumberFormat="1" applyFont="1" applyAlignment="1">
      <alignment horizontal="center"/>
    </xf>
    <xf numFmtId="44" fontId="12" fillId="0" borderId="0" xfId="174" applyNumberFormat="1" applyFont="1" applyAlignment="1">
      <alignment vertical="center"/>
    </xf>
    <xf numFmtId="43" fontId="12" fillId="0" borderId="0" xfId="174" applyNumberFormat="1" applyFont="1" applyAlignment="1">
      <alignment vertical="center"/>
    </xf>
    <xf numFmtId="44" fontId="0" fillId="0" borderId="9" xfId="0" applyNumberFormat="1" applyBorder="1"/>
    <xf numFmtId="44" fontId="12" fillId="0" borderId="0" xfId="0" applyNumberFormat="1" applyFont="1" applyBorder="1" applyAlignment="1">
      <alignment horizontal="centerContinuous"/>
    </xf>
    <xf numFmtId="44" fontId="12" fillId="0" borderId="0" xfId="0" applyNumberFormat="1" applyFont="1" applyBorder="1" applyAlignment="1">
      <alignment horizontal="center"/>
    </xf>
    <xf numFmtId="167" fontId="12" fillId="0" borderId="0" xfId="0" applyNumberFormat="1" applyFont="1" applyAlignment="1"/>
    <xf numFmtId="167" fontId="12" fillId="0" borderId="40" xfId="0" applyNumberFormat="1" applyFont="1" applyBorder="1" applyAlignment="1"/>
    <xf numFmtId="172" fontId="12" fillId="0" borderId="0" xfId="328" applyNumberFormat="1" applyFont="1" applyBorder="1" applyAlignment="1"/>
    <xf numFmtId="0" fontId="12" fillId="0" borderId="0" xfId="328" quotePrefix="1" applyNumberFormat="1" applyFont="1" applyBorder="1" applyAlignment="1"/>
    <xf numFmtId="177" fontId="12" fillId="0" borderId="0" xfId="180" applyFont="1" applyAlignment="1"/>
    <xf numFmtId="0" fontId="12" fillId="0" borderId="0" xfId="180" applyNumberFormat="1" applyFont="1" applyAlignment="1"/>
    <xf numFmtId="177" fontId="12" fillId="0" borderId="0" xfId="180" applyFont="1" applyBorder="1" applyAlignment="1"/>
    <xf numFmtId="174" fontId="12" fillId="0" borderId="0" xfId="328" applyNumberFormat="1" applyFont="1" applyBorder="1" applyAlignment="1">
      <alignment vertical="center"/>
    </xf>
    <xf numFmtId="172" fontId="12" fillId="0" borderId="0" xfId="328" applyNumberFormat="1" applyFont="1" applyAlignment="1">
      <alignment horizontal="center" vertical="center"/>
    </xf>
    <xf numFmtId="173" fontId="12" fillId="0" borderId="38" xfId="174" applyNumberFormat="1" applyFont="1" applyBorder="1" applyAlignment="1">
      <alignment vertical="center"/>
    </xf>
    <xf numFmtId="170" fontId="12" fillId="0" borderId="38" xfId="640" applyNumberFormat="1" applyFont="1" applyBorder="1" applyAlignment="1">
      <alignment vertical="center"/>
    </xf>
    <xf numFmtId="176" fontId="12" fillId="0" borderId="0" xfId="174" applyNumberFormat="1" applyFont="1" applyFill="1" applyAlignment="1">
      <alignment vertical="center"/>
    </xf>
    <xf numFmtId="175" fontId="12" fillId="0" borderId="0" xfId="174" applyNumberFormat="1" applyFont="1" applyFill="1" applyAlignment="1">
      <alignment vertical="center"/>
    </xf>
    <xf numFmtId="164" fontId="12" fillId="0" borderId="0" xfId="622" quotePrefix="1" applyFont="1"/>
    <xf numFmtId="164" fontId="12" fillId="0" borderId="0" xfId="622" quotePrefix="1" applyFont="1" applyAlignment="1">
      <alignment vertical="center"/>
    </xf>
    <xf numFmtId="0" fontId="13" fillId="0" borderId="40" xfId="0" applyNumberFormat="1" applyFont="1" applyBorder="1" applyAlignment="1">
      <alignment horizontal="centerContinuous"/>
    </xf>
    <xf numFmtId="164" fontId="15" fillId="0" borderId="0" xfId="0" applyFont="1" applyBorder="1"/>
    <xf numFmtId="164" fontId="11" fillId="0" borderId="0" xfId="0" applyFont="1" applyBorder="1" applyAlignment="1">
      <alignment horizontal="right"/>
    </xf>
    <xf numFmtId="164" fontId="12" fillId="0" borderId="0" xfId="0" applyFont="1" applyBorder="1" applyAlignment="1">
      <alignment horizontal="right"/>
    </xf>
    <xf numFmtId="164" fontId="11" fillId="0" borderId="0" xfId="0" applyFont="1" applyBorder="1"/>
    <xf numFmtId="164" fontId="15" fillId="0" borderId="0" xfId="0" applyFont="1" applyBorder="1" applyAlignment="1">
      <alignment horizontal="centerContinuous"/>
    </xf>
    <xf numFmtId="164" fontId="12" fillId="0" borderId="0" xfId="0" applyFont="1" applyBorder="1"/>
    <xf numFmtId="0" fontId="12" fillId="0" borderId="0" xfId="0" applyNumberFormat="1" applyFont="1" applyBorder="1"/>
    <xf numFmtId="0" fontId="12" fillId="0" borderId="40" xfId="0" applyNumberFormat="1" applyFont="1" applyBorder="1"/>
    <xf numFmtId="167" fontId="12" fillId="0" borderId="0" xfId="0" applyNumberFormat="1" applyFont="1"/>
    <xf numFmtId="167" fontId="12" fillId="0" borderId="40" xfId="0" applyNumberFormat="1" applyFont="1" applyBorder="1"/>
    <xf numFmtId="167" fontId="13" fillId="0" borderId="40" xfId="0" applyNumberFormat="1" applyFont="1" applyBorder="1" applyAlignment="1">
      <alignment horizontal="center" vertical="center"/>
    </xf>
    <xf numFmtId="167" fontId="13" fillId="0" borderId="0" xfId="0" applyNumberFormat="1" applyFont="1" applyBorder="1" applyAlignment="1">
      <alignment horizontal="center" vertical="center"/>
    </xf>
    <xf numFmtId="167" fontId="12" fillId="0" borderId="0" xfId="0" applyNumberFormat="1" applyFont="1" applyBorder="1"/>
    <xf numFmtId="182" fontId="12" fillId="0" borderId="0" xfId="180" applyNumberFormat="1" applyFont="1" applyBorder="1" applyAlignment="1">
      <alignment vertical="center"/>
    </xf>
    <xf numFmtId="169" fontId="12" fillId="0" borderId="0" xfId="180" applyNumberFormat="1" applyFont="1" applyBorder="1" applyAlignment="1">
      <alignment vertical="center"/>
    </xf>
    <xf numFmtId="170" fontId="12" fillId="0" borderId="0" xfId="640" applyNumberFormat="1" applyFont="1" applyBorder="1" applyAlignment="1">
      <alignment vertical="top"/>
    </xf>
    <xf numFmtId="177" fontId="12" fillId="0" borderId="40" xfId="180" applyFont="1" applyBorder="1" applyAlignment="1"/>
    <xf numFmtId="183" fontId="12" fillId="0" borderId="0" xfId="180" applyNumberFormat="1" applyFont="1" applyBorder="1" applyAlignment="1"/>
    <xf numFmtId="174" fontId="12" fillId="0" borderId="0" xfId="180" applyNumberFormat="1" applyFont="1" applyAlignment="1">
      <alignment vertical="center"/>
    </xf>
    <xf numFmtId="174" fontId="13" fillId="0" borderId="9" xfId="328" applyNumberFormat="1" applyFont="1" applyBorder="1" applyAlignment="1">
      <alignment vertical="top"/>
    </xf>
    <xf numFmtId="164" fontId="12" fillId="0" borderId="40" xfId="0" applyFont="1" applyBorder="1" applyAlignment="1"/>
    <xf numFmtId="175" fontId="12" fillId="0" borderId="0" xfId="174" applyNumberFormat="1" applyFont="1" applyAlignment="1">
      <alignment horizontal="centerContinuous"/>
    </xf>
    <xf numFmtId="0" fontId="12" fillId="0" borderId="0" xfId="328" applyNumberFormat="1" applyFont="1" applyAlignment="1">
      <alignment horizontal="centerContinuous"/>
    </xf>
    <xf numFmtId="164" fontId="12" fillId="0" borderId="40" xfId="0" applyFont="1" applyBorder="1" applyAlignment="1">
      <alignment vertical="top"/>
    </xf>
    <xf numFmtId="175" fontId="12" fillId="0" borderId="0" xfId="174" applyNumberFormat="1" applyFont="1" applyAlignment="1">
      <alignment horizontal="centerContinuous" vertical="top"/>
    </xf>
    <xf numFmtId="0" fontId="12" fillId="0" borderId="0" xfId="328" applyNumberFormat="1" applyFont="1" applyAlignment="1">
      <alignment horizontal="centerContinuous" vertical="top"/>
    </xf>
    <xf numFmtId="169" fontId="12" fillId="0" borderId="0" xfId="328" applyFont="1" applyBorder="1" applyAlignment="1">
      <alignment vertical="center"/>
    </xf>
    <xf numFmtId="172" fontId="12" fillId="0" borderId="0" xfId="328" applyNumberFormat="1" applyFont="1" applyBorder="1" applyAlignment="1">
      <alignment vertical="center"/>
    </xf>
    <xf numFmtId="165" fontId="0" fillId="0" borderId="0" xfId="0" applyNumberFormat="1" applyBorder="1" applyAlignment="1">
      <alignment horizontal="center"/>
    </xf>
    <xf numFmtId="164" fontId="0" fillId="0" borderId="0" xfId="0" applyBorder="1"/>
    <xf numFmtId="164" fontId="13" fillId="0" borderId="0" xfId="0" applyFont="1" applyBorder="1"/>
    <xf numFmtId="167" fontId="0" fillId="0" borderId="0" xfId="0" applyNumberFormat="1" applyBorder="1"/>
    <xf numFmtId="43" fontId="12" fillId="0" borderId="0" xfId="174" applyNumberFormat="1" applyFont="1" applyBorder="1" applyAlignment="1">
      <alignment vertical="center"/>
    </xf>
    <xf numFmtId="43" fontId="12" fillId="0" borderId="0" xfId="0" applyNumberFormat="1" applyFont="1" applyBorder="1" applyAlignment="1">
      <alignment vertical="center"/>
    </xf>
    <xf numFmtId="185" fontId="12" fillId="0" borderId="0" xfId="0" applyNumberFormat="1" applyFont="1" applyAlignment="1">
      <alignment horizontal="center"/>
    </xf>
    <xf numFmtId="185" fontId="12" fillId="0" borderId="0" xfId="0" applyNumberFormat="1" applyFont="1" applyBorder="1" applyAlignment="1">
      <alignment horizontal="center"/>
    </xf>
    <xf numFmtId="186" fontId="12" fillId="0" borderId="0" xfId="0" applyNumberFormat="1" applyFont="1" applyBorder="1" applyAlignment="1">
      <alignment horizontal="center"/>
    </xf>
    <xf numFmtId="177" fontId="12" fillId="0" borderId="31" xfId="180" applyFont="1" applyBorder="1" applyAlignment="1">
      <alignment horizontal="center" vertical="center"/>
    </xf>
    <xf numFmtId="169" fontId="12" fillId="0" borderId="31" xfId="328" applyFont="1" applyBorder="1" applyAlignment="1">
      <alignment horizontal="center" vertical="center"/>
    </xf>
    <xf numFmtId="167" fontId="12" fillId="0" borderId="0" xfId="0" applyNumberFormat="1" applyFont="1" applyBorder="1" applyAlignment="1">
      <alignment horizontal="center" vertical="center"/>
    </xf>
    <xf numFmtId="164" fontId="12" fillId="0" borderId="42" xfId="0" applyFont="1" applyBorder="1" applyAlignment="1">
      <alignment vertical="center"/>
    </xf>
    <xf numFmtId="164" fontId="12" fillId="0" borderId="42" xfId="0" applyFont="1" applyBorder="1"/>
    <xf numFmtId="164" fontId="12" fillId="0" borderId="40" xfId="0" applyFont="1" applyBorder="1"/>
    <xf numFmtId="164" fontId="12" fillId="0" borderId="42" xfId="0" applyFont="1" applyBorder="1" applyAlignment="1">
      <alignment vertical="top"/>
    </xf>
    <xf numFmtId="0" fontId="12" fillId="0" borderId="42" xfId="0" applyNumberFormat="1" applyFont="1" applyBorder="1" applyAlignment="1">
      <alignment horizontal="center"/>
    </xf>
    <xf numFmtId="184" fontId="12" fillId="0" borderId="0" xfId="0" applyNumberFormat="1" applyFont="1" applyAlignment="1">
      <alignment horizontal="center" vertical="top"/>
    </xf>
    <xf numFmtId="164" fontId="12" fillId="0" borderId="0" xfId="0" applyFont="1" applyAlignment="1">
      <alignment horizontal="center"/>
    </xf>
    <xf numFmtId="164" fontId="12" fillId="0" borderId="0" xfId="0" applyFont="1" applyAlignment="1">
      <alignment horizontal="center" vertical="top"/>
    </xf>
    <xf numFmtId="180" fontId="12" fillId="0" borderId="0" xfId="180" applyNumberFormat="1" applyFont="1" applyAlignment="1"/>
    <xf numFmtId="187" fontId="12" fillId="0" borderId="0" xfId="328" applyNumberFormat="1" applyFont="1" applyBorder="1" applyAlignment="1"/>
    <xf numFmtId="164" fontId="12" fillId="0" borderId="0" xfId="0" quotePrefix="1" applyFont="1"/>
    <xf numFmtId="167" fontId="13" fillId="0" borderId="0" xfId="328" applyNumberFormat="1" applyFont="1" applyAlignment="1">
      <alignment vertical="top"/>
    </xf>
    <xf numFmtId="166" fontId="13" fillId="0" borderId="0" xfId="640" applyFont="1" applyAlignment="1">
      <alignment vertical="top"/>
    </xf>
    <xf numFmtId="169" fontId="13" fillId="0" borderId="0" xfId="328" applyFont="1" applyAlignment="1">
      <alignment vertical="top"/>
    </xf>
    <xf numFmtId="170" fontId="12" fillId="0" borderId="0" xfId="640" applyNumberFormat="1" applyFont="1" applyAlignment="1">
      <alignment vertical="top"/>
    </xf>
    <xf numFmtId="165" fontId="12" fillId="0" borderId="0" xfId="0" applyNumberFormat="1" applyFont="1" applyBorder="1" applyAlignment="1">
      <alignment horizontal="center"/>
    </xf>
    <xf numFmtId="177" fontId="12" fillId="0" borderId="40" xfId="180" applyBorder="1" applyAlignment="1"/>
    <xf numFmtId="179" fontId="12" fillId="0" borderId="0" xfId="327" applyNumberFormat="1" applyFont="1"/>
    <xf numFmtId="179" fontId="12" fillId="0" borderId="9" xfId="327" applyNumberFormat="1" applyFont="1" applyBorder="1"/>
    <xf numFmtId="0" fontId="11" fillId="0" borderId="0" xfId="624" applyFont="1" applyFill="1"/>
    <xf numFmtId="0" fontId="11" fillId="0" borderId="11" xfId="624" quotePrefix="1" applyFont="1" applyFill="1" applyBorder="1"/>
    <xf numFmtId="0" fontId="23" fillId="0" borderId="9" xfId="624" applyFont="1" applyFill="1" applyBorder="1"/>
    <xf numFmtId="0" fontId="11" fillId="0" borderId="9" xfId="624" applyFont="1" applyFill="1" applyBorder="1"/>
    <xf numFmtId="176" fontId="11" fillId="0" borderId="43" xfId="624" applyNumberFormat="1" applyFont="1" applyFill="1" applyBorder="1"/>
    <xf numFmtId="0" fontId="11" fillId="0" borderId="4" xfId="624" quotePrefix="1" applyFont="1" applyFill="1" applyBorder="1"/>
    <xf numFmtId="0" fontId="11" fillId="0" borderId="0" xfId="624" applyFont="1" applyFill="1" applyBorder="1"/>
    <xf numFmtId="176" fontId="11" fillId="0" borderId="0" xfId="624" applyNumberFormat="1" applyFont="1" applyFill="1" applyBorder="1"/>
    <xf numFmtId="0" fontId="11" fillId="0" borderId="0" xfId="624" quotePrefix="1" applyFont="1" applyFill="1" applyBorder="1"/>
    <xf numFmtId="190" fontId="11" fillId="0" borderId="0" xfId="624" applyNumberFormat="1" applyFont="1" applyFill="1" applyBorder="1"/>
    <xf numFmtId="176" fontId="11" fillId="0" borderId="44" xfId="624" applyNumberFormat="1" applyFont="1" applyFill="1" applyBorder="1"/>
    <xf numFmtId="0" fontId="11" fillId="0" borderId="45" xfId="624" quotePrefix="1" applyFont="1" applyFill="1" applyBorder="1"/>
    <xf numFmtId="0" fontId="11" fillId="0" borderId="31" xfId="624" applyFont="1" applyFill="1" applyBorder="1"/>
    <xf numFmtId="0" fontId="11" fillId="0" borderId="31" xfId="624" quotePrefix="1" applyFont="1" applyFill="1" applyBorder="1"/>
    <xf numFmtId="176" fontId="11" fillId="0" borderId="9" xfId="624" applyNumberFormat="1" applyFont="1" applyFill="1" applyBorder="1"/>
    <xf numFmtId="0" fontId="11" fillId="0" borderId="0" xfId="623" applyFont="1" applyFill="1"/>
    <xf numFmtId="176" fontId="11" fillId="0" borderId="0" xfId="623" applyNumberFormat="1" applyFont="1" applyFill="1"/>
    <xf numFmtId="0" fontId="11" fillId="0" borderId="0" xfId="623" quotePrefix="1" applyFont="1" applyFill="1"/>
    <xf numFmtId="0" fontId="21" fillId="0" borderId="0" xfId="623" applyFont="1" applyFill="1"/>
    <xf numFmtId="176" fontId="21" fillId="0" borderId="0" xfId="623" applyNumberFormat="1" applyFont="1" applyFill="1"/>
    <xf numFmtId="0" fontId="21" fillId="0" borderId="0" xfId="623" quotePrefix="1" applyFont="1" applyFill="1"/>
    <xf numFmtId="7" fontId="11" fillId="0" borderId="0" xfId="623" applyNumberFormat="1" applyFont="1" applyFill="1"/>
    <xf numFmtId="7" fontId="11" fillId="0" borderId="0" xfId="623" quotePrefix="1" applyNumberFormat="1" applyFont="1" applyFill="1"/>
    <xf numFmtId="7" fontId="11" fillId="0" borderId="9" xfId="623" applyNumberFormat="1" applyFont="1" applyFill="1" applyBorder="1"/>
    <xf numFmtId="0" fontId="21" fillId="0" borderId="0" xfId="623" applyFont="1" applyFill="1" applyAlignment="1">
      <alignment horizontal="center"/>
    </xf>
    <xf numFmtId="0" fontId="11" fillId="0" borderId="0" xfId="623" quotePrefix="1" applyFont="1" applyFill="1" applyAlignment="1">
      <alignment horizontal="center"/>
    </xf>
    <xf numFmtId="190" fontId="22" fillId="32" borderId="0" xfId="623" applyNumberFormat="1" applyFont="1" applyFill="1" applyAlignment="1" applyProtection="1">
      <alignment horizontal="right"/>
      <protection locked="0"/>
    </xf>
    <xf numFmtId="0" fontId="11" fillId="0" borderId="0" xfId="623" applyFont="1" applyFill="1" applyAlignment="1">
      <alignment horizontal="center"/>
    </xf>
    <xf numFmtId="9" fontId="22" fillId="32" borderId="0" xfId="717" applyFont="1" applyFill="1" applyAlignment="1" applyProtection="1">
      <alignment horizontal="right"/>
      <protection locked="0"/>
    </xf>
    <xf numFmtId="190" fontId="11" fillId="0" borderId="0" xfId="623" applyNumberFormat="1" applyFont="1" applyFill="1" applyAlignment="1">
      <alignment horizontal="right"/>
    </xf>
    <xf numFmtId="190" fontId="11" fillId="0" borderId="0" xfId="623" applyNumberFormat="1" applyFont="1" applyFill="1"/>
    <xf numFmtId="9" fontId="22" fillId="32" borderId="0" xfId="623" applyNumberFormat="1" applyFont="1" applyFill="1" applyAlignment="1" applyProtection="1">
      <alignment horizontal="right"/>
      <protection locked="0"/>
    </xf>
    <xf numFmtId="3" fontId="22" fillId="32" borderId="0" xfId="623" applyNumberFormat="1" applyFont="1" applyFill="1" applyAlignment="1" applyProtection="1">
      <alignment horizontal="right"/>
      <protection locked="0"/>
    </xf>
    <xf numFmtId="3" fontId="11" fillId="0" borderId="0" xfId="623" applyNumberFormat="1" applyFont="1" applyFill="1" applyAlignment="1">
      <alignment horizontal="right"/>
    </xf>
    <xf numFmtId="176" fontId="22" fillId="32" borderId="0" xfId="623" applyNumberFormat="1" applyFont="1" applyFill="1" applyAlignment="1" applyProtection="1">
      <alignment horizontal="right"/>
      <protection locked="0"/>
    </xf>
    <xf numFmtId="0" fontId="15" fillId="0" borderId="0" xfId="623" applyFont="1" applyFill="1"/>
    <xf numFmtId="0" fontId="11" fillId="0" borderId="11" xfId="623" quotePrefix="1" applyFont="1" applyFill="1" applyBorder="1"/>
    <xf numFmtId="0" fontId="23" fillId="0" borderId="9" xfId="623" applyFont="1" applyFill="1" applyBorder="1"/>
    <xf numFmtId="0" fontId="11" fillId="0" borderId="9" xfId="623" quotePrefix="1" applyFont="1" applyFill="1" applyBorder="1"/>
    <xf numFmtId="0" fontId="11" fillId="0" borderId="9" xfId="623" applyFont="1" applyFill="1" applyBorder="1"/>
    <xf numFmtId="176" fontId="11" fillId="0" borderId="43" xfId="623" applyNumberFormat="1" applyFont="1" applyFill="1" applyBorder="1"/>
    <xf numFmtId="0" fontId="11" fillId="0" borderId="4" xfId="623" quotePrefix="1" applyFont="1" applyFill="1" applyBorder="1"/>
    <xf numFmtId="0" fontId="11" fillId="0" borderId="0" xfId="623" applyFont="1" applyFill="1" applyBorder="1"/>
    <xf numFmtId="176" fontId="11" fillId="0" borderId="0" xfId="623" applyNumberFormat="1" applyFont="1" applyFill="1" applyBorder="1"/>
    <xf numFmtId="0" fontId="11" fillId="0" borderId="0" xfId="623" quotePrefix="1" applyFont="1" applyFill="1" applyBorder="1"/>
    <xf numFmtId="190" fontId="11" fillId="0" borderId="0" xfId="623" applyNumberFormat="1" applyFont="1" applyFill="1" applyBorder="1"/>
    <xf numFmtId="176" fontId="11" fillId="0" borderId="44" xfId="623" applyNumberFormat="1" applyFont="1" applyFill="1" applyBorder="1"/>
    <xf numFmtId="0" fontId="11" fillId="0" borderId="45" xfId="623" quotePrefix="1" applyFont="1" applyFill="1" applyBorder="1"/>
    <xf numFmtId="0" fontId="11" fillId="0" borderId="31" xfId="623" applyFont="1" applyFill="1" applyBorder="1"/>
    <xf numFmtId="0" fontId="11" fillId="0" borderId="31" xfId="623" quotePrefix="1" applyFont="1" applyFill="1" applyBorder="1"/>
    <xf numFmtId="3" fontId="11" fillId="0" borderId="31" xfId="623" applyNumberFormat="1" applyFont="1" applyFill="1" applyBorder="1"/>
    <xf numFmtId="176" fontId="11" fillId="0" borderId="46" xfId="623" applyNumberFormat="1" applyFont="1" applyFill="1" applyBorder="1"/>
    <xf numFmtId="176" fontId="15" fillId="0" borderId="0" xfId="623" applyNumberFormat="1" applyFont="1" applyFill="1"/>
    <xf numFmtId="0" fontId="15" fillId="0" borderId="0" xfId="623" quotePrefix="1" applyFont="1" applyFill="1"/>
    <xf numFmtId="189" fontId="15" fillId="0" borderId="0" xfId="623" applyNumberFormat="1" applyFont="1" applyFill="1" applyAlignment="1">
      <alignment horizontal="right"/>
    </xf>
    <xf numFmtId="176" fontId="15" fillId="0" borderId="0" xfId="623" applyNumberFormat="1" applyFont="1" applyFill="1" applyAlignment="1">
      <alignment horizontal="right"/>
    </xf>
    <xf numFmtId="0" fontId="11" fillId="0" borderId="47" xfId="623" quotePrefix="1" applyFont="1" applyFill="1" applyBorder="1"/>
    <xf numFmtId="0" fontId="11" fillId="0" borderId="39" xfId="623" applyFont="1" applyFill="1" applyBorder="1"/>
    <xf numFmtId="10" fontId="11" fillId="0" borderId="39" xfId="623" applyNumberFormat="1" applyFont="1" applyFill="1" applyBorder="1"/>
    <xf numFmtId="3" fontId="11" fillId="0" borderId="39" xfId="623" applyNumberFormat="1" applyFont="1" applyFill="1" applyBorder="1"/>
    <xf numFmtId="0" fontId="11" fillId="0" borderId="39" xfId="623" quotePrefix="1" applyFont="1" applyFill="1" applyBorder="1"/>
    <xf numFmtId="176" fontId="11" fillId="0" borderId="48" xfId="623" applyNumberFormat="1" applyFont="1" applyFill="1" applyBorder="1"/>
    <xf numFmtId="10" fontId="15" fillId="0" borderId="0" xfId="623" applyNumberFormat="1" applyFont="1" applyFill="1"/>
    <xf numFmtId="3" fontId="15" fillId="0" borderId="0" xfId="623" applyNumberFormat="1" applyFont="1" applyFill="1"/>
    <xf numFmtId="176" fontId="11" fillId="0" borderId="39" xfId="623" applyNumberFormat="1" applyFont="1" applyFill="1" applyBorder="1"/>
    <xf numFmtId="190" fontId="11" fillId="0" borderId="39" xfId="623" applyNumberFormat="1" applyFont="1" applyFill="1" applyBorder="1"/>
    <xf numFmtId="176" fontId="15" fillId="0" borderId="0" xfId="623" applyNumberFormat="1" applyFont="1" applyFill="1" applyBorder="1"/>
    <xf numFmtId="176" fontId="11" fillId="0" borderId="9" xfId="623" applyNumberFormat="1" applyFont="1" applyFill="1" applyBorder="1"/>
    <xf numFmtId="0" fontId="11" fillId="0" borderId="0" xfId="623" quotePrefix="1" applyFont="1" applyFill="1" applyBorder="1" applyAlignment="1">
      <alignment horizontal="right"/>
    </xf>
    <xf numFmtId="0" fontId="15" fillId="0" borderId="0" xfId="623" quotePrefix="1" applyFont="1" applyFill="1" applyAlignment="1">
      <alignment horizontal="right"/>
    </xf>
    <xf numFmtId="0" fontId="15" fillId="0" borderId="0" xfId="0" applyNumberFormat="1" applyFont="1"/>
    <xf numFmtId="0" fontId="15" fillId="0" borderId="0" xfId="0" applyNumberFormat="1" applyFont="1" applyAlignment="1">
      <alignment horizontal="right"/>
    </xf>
    <xf numFmtId="0" fontId="15" fillId="0" borderId="0" xfId="0" quotePrefix="1" applyNumberFormat="1" applyFont="1"/>
    <xf numFmtId="175" fontId="11" fillId="0" borderId="0" xfId="623" applyNumberFormat="1" applyFont="1" applyFill="1" applyBorder="1" applyAlignment="1">
      <alignment horizontal="right"/>
    </xf>
    <xf numFmtId="175" fontId="11" fillId="0" borderId="0" xfId="623" applyNumberFormat="1" applyFont="1" applyFill="1" applyBorder="1"/>
    <xf numFmtId="44" fontId="12" fillId="0" borderId="0" xfId="0" applyNumberFormat="1" applyFont="1" applyFill="1" applyBorder="1" applyAlignment="1">
      <alignment horizontal="centerContinuous"/>
    </xf>
    <xf numFmtId="164" fontId="24" fillId="0" borderId="0" xfId="0" applyFont="1"/>
    <xf numFmtId="0" fontId="13" fillId="0" borderId="0" xfId="0" applyNumberFormat="1" applyFont="1" applyAlignment="1">
      <alignment horizontal="center" vertical="center"/>
    </xf>
    <xf numFmtId="0" fontId="13" fillId="0" borderId="0" xfId="0" applyNumberFormat="1" applyFont="1" applyBorder="1" applyAlignment="1">
      <alignment vertical="center"/>
    </xf>
    <xf numFmtId="0" fontId="13" fillId="0" borderId="31" xfId="0" applyNumberFormat="1" applyFont="1" applyBorder="1" applyAlignment="1">
      <alignment horizontal="center" vertical="center"/>
    </xf>
    <xf numFmtId="0" fontId="13" fillId="0" borderId="0" xfId="0" applyNumberFormat="1" applyFont="1" applyAlignment="1">
      <alignment vertical="center"/>
    </xf>
    <xf numFmtId="0" fontId="18" fillId="0" borderId="0" xfId="0" applyNumberFormat="1" applyFont="1"/>
    <xf numFmtId="0" fontId="15" fillId="0" borderId="0" xfId="0" applyNumberFormat="1" applyFont="1" applyAlignment="1">
      <alignment horizontal="centerContinuous"/>
    </xf>
    <xf numFmtId="0" fontId="13" fillId="0" borderId="31" xfId="0" applyNumberFormat="1" applyFont="1" applyBorder="1" applyAlignment="1">
      <alignment horizontal="centerContinuous" vertical="center"/>
    </xf>
    <xf numFmtId="0" fontId="15" fillId="0" borderId="0" xfId="624" applyFont="1" applyAlignment="1">
      <alignment horizontal="centerContinuous"/>
    </xf>
    <xf numFmtId="0" fontId="19" fillId="32" borderId="0" xfId="624" applyFont="1" applyFill="1" applyProtection="1">
      <protection locked="0"/>
    </xf>
    <xf numFmtId="0" fontId="20" fillId="32" borderId="0" xfId="624" applyFont="1" applyFill="1"/>
    <xf numFmtId="188" fontId="20" fillId="32" borderId="0" xfId="624" applyNumberFormat="1" applyFont="1" applyFill="1"/>
    <xf numFmtId="0" fontId="20" fillId="32" borderId="0" xfId="624" applyFont="1" applyFill="1" applyAlignment="1" applyProtection="1">
      <alignment horizontal="left"/>
      <protection locked="0"/>
    </xf>
    <xf numFmtId="0" fontId="11" fillId="0" borderId="0" xfId="624" quotePrefix="1" applyFont="1" applyFill="1"/>
    <xf numFmtId="0" fontId="21" fillId="38" borderId="47" xfId="624" applyFont="1" applyFill="1" applyBorder="1" applyAlignment="1">
      <alignment horizontal="centerContinuous"/>
    </xf>
    <xf numFmtId="0" fontId="21" fillId="38" borderId="39" xfId="624" applyFont="1" applyFill="1" applyBorder="1" applyAlignment="1">
      <alignment horizontal="centerContinuous"/>
    </xf>
    <xf numFmtId="0" fontId="21" fillId="38" borderId="48" xfId="624" applyFont="1" applyFill="1" applyBorder="1" applyAlignment="1">
      <alignment horizontal="centerContinuous"/>
    </xf>
    <xf numFmtId="0" fontId="15" fillId="0" borderId="47" xfId="623" applyFont="1" applyFill="1" applyBorder="1" applyAlignment="1">
      <alignment horizontal="centerContinuous"/>
    </xf>
    <xf numFmtId="0" fontId="15" fillId="0" borderId="39" xfId="623" applyFont="1" applyFill="1" applyBorder="1" applyAlignment="1">
      <alignment horizontal="centerContinuous"/>
    </xf>
    <xf numFmtId="0" fontId="21" fillId="0" borderId="48" xfId="623" applyFont="1" applyFill="1" applyBorder="1" applyAlignment="1">
      <alignment horizontal="centerContinuous"/>
    </xf>
    <xf numFmtId="0" fontId="15" fillId="0" borderId="20" xfId="623" applyFont="1" applyFill="1" applyBorder="1" applyAlignment="1">
      <alignment horizontal="center"/>
    </xf>
    <xf numFmtId="0" fontId="15" fillId="0" borderId="48" xfId="623" applyFont="1" applyFill="1" applyBorder="1" applyAlignment="1">
      <alignment horizontal="centerContinuous"/>
    </xf>
    <xf numFmtId="0" fontId="21" fillId="0" borderId="47" xfId="623" applyFont="1" applyFill="1" applyBorder="1" applyAlignment="1">
      <alignment horizontal="centerContinuous"/>
    </xf>
    <xf numFmtId="164" fontId="12" fillId="0" borderId="39" xfId="0" applyFont="1" applyBorder="1" applyAlignment="1"/>
    <xf numFmtId="43" fontId="13" fillId="0" borderId="31" xfId="0" applyNumberFormat="1" applyFont="1" applyBorder="1" applyAlignment="1">
      <alignment horizontal="centerContinuous"/>
    </xf>
    <xf numFmtId="43" fontId="13" fillId="0" borderId="31" xfId="0" applyNumberFormat="1" applyFont="1" applyBorder="1" applyAlignment="1">
      <alignment horizontal="center"/>
    </xf>
    <xf numFmtId="43" fontId="12" fillId="0" borderId="0" xfId="0" applyNumberFormat="1" applyFont="1" applyAlignment="1"/>
    <xf numFmtId="43" fontId="12" fillId="0" borderId="0" xfId="0" applyNumberFormat="1" applyFont="1" applyBorder="1" applyAlignment="1">
      <alignment horizontal="center"/>
    </xf>
    <xf numFmtId="43" fontId="12" fillId="0" borderId="0" xfId="0" applyNumberFormat="1" applyFont="1" applyAlignment="1">
      <alignment vertical="center"/>
    </xf>
    <xf numFmtId="43" fontId="0" fillId="0" borderId="0" xfId="0" applyNumberFormat="1"/>
    <xf numFmtId="43" fontId="12" fillId="0" borderId="0" xfId="0" applyNumberFormat="1" applyFont="1" applyFill="1" applyBorder="1" applyAlignment="1">
      <alignment horizontal="centerContinuous"/>
    </xf>
    <xf numFmtId="44" fontId="0" fillId="0" borderId="0" xfId="0" applyNumberFormat="1"/>
    <xf numFmtId="44" fontId="12" fillId="0" borderId="0" xfId="0" applyNumberFormat="1" applyFont="1" applyAlignment="1"/>
    <xf numFmtId="193" fontId="15" fillId="0" borderId="0" xfId="0" applyNumberFormat="1" applyFont="1" applyAlignment="1">
      <alignment horizontal="centerContinuous"/>
    </xf>
    <xf numFmtId="193" fontId="13" fillId="0" borderId="0" xfId="180" applyNumberFormat="1" applyFont="1" applyBorder="1" applyAlignment="1">
      <alignment vertical="center"/>
    </xf>
    <xf numFmtId="169" fontId="13" fillId="0" borderId="9" xfId="328" applyNumberFormat="1" applyFont="1" applyBorder="1" applyAlignment="1"/>
    <xf numFmtId="194" fontId="12" fillId="0" borderId="0" xfId="640" applyNumberFormat="1" applyFont="1" applyBorder="1" applyAlignment="1">
      <alignment vertical="center"/>
    </xf>
    <xf numFmtId="194" fontId="12" fillId="0" borderId="0" xfId="0" applyNumberFormat="1" applyFont="1" applyBorder="1" applyAlignment="1">
      <alignment vertical="center"/>
    </xf>
    <xf numFmtId="192" fontId="11" fillId="0" borderId="0" xfId="623" applyNumberFormat="1" applyFont="1" applyFill="1"/>
    <xf numFmtId="0" fontId="21" fillId="0" borderId="0" xfId="623" applyFont="1" applyFill="1" applyAlignment="1">
      <alignment horizontal="centerContinuous"/>
    </xf>
    <xf numFmtId="191" fontId="22" fillId="32" borderId="0" xfId="623" applyNumberFormat="1" applyFont="1" applyFill="1" applyAlignment="1">
      <alignment horizontal="right"/>
    </xf>
    <xf numFmtId="0" fontId="11" fillId="0" borderId="0" xfId="623" applyFont="1"/>
    <xf numFmtId="0" fontId="15" fillId="0" borderId="31" xfId="623" applyFont="1" applyFill="1" applyBorder="1" applyAlignment="1">
      <alignment horizontal="center"/>
    </xf>
    <xf numFmtId="0" fontId="11" fillId="0" borderId="0" xfId="624" applyFont="1" applyAlignment="1">
      <alignment horizontal="centerContinuous"/>
    </xf>
    <xf numFmtId="0" fontId="11" fillId="0" borderId="0" xfId="624" applyFont="1"/>
    <xf numFmtId="0" fontId="11" fillId="0" borderId="0" xfId="624" applyFont="1" applyAlignment="1">
      <alignment horizontal="right"/>
    </xf>
    <xf numFmtId="0" fontId="25" fillId="0" borderId="0" xfId="623" applyFont="1"/>
    <xf numFmtId="0" fontId="26" fillId="0" borderId="0" xfId="623" applyFont="1"/>
    <xf numFmtId="0" fontId="26" fillId="0" borderId="0" xfId="623" applyFont="1" applyFill="1"/>
    <xf numFmtId="0" fontId="26" fillId="0" borderId="0" xfId="623" quotePrefix="1" applyFont="1" applyFill="1"/>
    <xf numFmtId="164" fontId="12" fillId="0" borderId="0" xfId="0" applyFont="1" applyBorder="1" applyAlignment="1">
      <alignment horizontal="center"/>
    </xf>
    <xf numFmtId="176" fontId="11" fillId="0" borderId="31" xfId="624" applyNumberFormat="1" applyFont="1" applyFill="1" applyBorder="1"/>
    <xf numFmtId="191" fontId="11" fillId="0" borderId="0" xfId="623" applyNumberFormat="1" applyFont="1" applyFill="1" applyBorder="1" applyAlignment="1">
      <alignment horizontal="right"/>
    </xf>
    <xf numFmtId="164" fontId="15" fillId="0" borderId="0" xfId="0" applyFont="1" applyAlignment="1">
      <alignment horizontal="center"/>
    </xf>
    <xf numFmtId="0" fontId="15" fillId="0" borderId="0" xfId="0" applyNumberFormat="1" applyFont="1" applyAlignment="1">
      <alignment horizontal="center"/>
    </xf>
    <xf numFmtId="0" fontId="18" fillId="0" borderId="0" xfId="0" applyNumberFormat="1" applyFont="1" applyAlignment="1">
      <alignment horizontal="center"/>
    </xf>
    <xf numFmtId="164" fontId="15" fillId="0" borderId="0" xfId="0" applyFont="1" applyAlignment="1">
      <alignment horizontal="left"/>
    </xf>
    <xf numFmtId="193" fontId="13" fillId="0" borderId="31" xfId="0" applyNumberFormat="1" applyFont="1" applyBorder="1" applyAlignment="1">
      <alignment horizontal="center" vertical="center" wrapText="1"/>
    </xf>
    <xf numFmtId="164" fontId="12" fillId="0" borderId="0" xfId="0" applyFont="1" applyBorder="1" applyAlignment="1"/>
    <xf numFmtId="44" fontId="0" fillId="0" borderId="0" xfId="0" applyNumberFormat="1" applyBorder="1"/>
    <xf numFmtId="164" fontId="0" fillId="0" borderId="0" xfId="0" applyAlignment="1">
      <alignment horizontal="center" vertical="center"/>
    </xf>
    <xf numFmtId="175" fontId="11" fillId="0" borderId="0" xfId="624" applyNumberFormat="1" applyFont="1" applyFill="1" applyBorder="1" applyAlignment="1"/>
    <xf numFmtId="176" fontId="11" fillId="0" borderId="44" xfId="624" applyNumberFormat="1" applyFont="1" applyFill="1" applyBorder="1" applyAlignment="1">
      <alignment horizontal="right"/>
    </xf>
    <xf numFmtId="190" fontId="11" fillId="0" borderId="31" xfId="624" applyNumberFormat="1" applyFont="1" applyFill="1" applyBorder="1"/>
    <xf numFmtId="176" fontId="11" fillId="0" borderId="46" xfId="624" applyNumberFormat="1" applyFont="1" applyFill="1" applyBorder="1"/>
    <xf numFmtId="164" fontId="18" fillId="0" borderId="0" xfId="0" applyFont="1"/>
    <xf numFmtId="0" fontId="11" fillId="0" borderId="31" xfId="623" quotePrefix="1" applyFont="1" applyFill="1" applyBorder="1" applyAlignment="1">
      <alignment horizontal="right"/>
    </xf>
    <xf numFmtId="176" fontId="11" fillId="0" borderId="31" xfId="623" applyNumberFormat="1" applyFont="1" applyFill="1" applyBorder="1"/>
    <xf numFmtId="190" fontId="11" fillId="0" borderId="31" xfId="623" applyNumberFormat="1" applyFont="1" applyFill="1" applyBorder="1" applyAlignment="1">
      <alignment horizontal="right"/>
    </xf>
    <xf numFmtId="0" fontId="18" fillId="0" borderId="0" xfId="0" quotePrefix="1" applyNumberFormat="1" applyFont="1"/>
    <xf numFmtId="0" fontId="15" fillId="0" borderId="0" xfId="0" applyNumberFormat="1" applyFont="1" applyAlignment="1">
      <alignment horizontal="left"/>
    </xf>
    <xf numFmtId="15" fontId="15" fillId="0" borderId="0" xfId="0" quotePrefix="1" applyNumberFormat="1" applyFont="1" applyAlignment="1">
      <alignment horizontal="left"/>
    </xf>
    <xf numFmtId="0" fontId="0" fillId="0" borderId="0" xfId="0" applyNumberFormat="1" applyFont="1" applyAlignment="1">
      <alignment vertical="center"/>
    </xf>
    <xf numFmtId="239" fontId="18" fillId="0" borderId="0" xfId="173" applyNumberFormat="1" applyFont="1" applyFill="1" applyAlignment="1">
      <alignment horizontal="right"/>
    </xf>
    <xf numFmtId="190" fontId="18" fillId="0" borderId="0" xfId="621" applyNumberFormat="1" applyFont="1" applyFill="1" applyAlignment="1">
      <alignment horizontal="right"/>
    </xf>
    <xf numFmtId="0" fontId="13" fillId="0" borderId="0" xfId="0" applyNumberFormat="1" applyFont="1" applyFill="1" applyAlignment="1">
      <alignment vertical="center"/>
    </xf>
    <xf numFmtId="0" fontId="0" fillId="0" borderId="0" xfId="328" quotePrefix="1" applyNumberFormat="1" applyFont="1" applyBorder="1" applyAlignment="1"/>
    <xf numFmtId="193" fontId="0" fillId="0" borderId="0" xfId="0" applyNumberFormat="1" applyFont="1" applyAlignment="1">
      <alignment horizontal="center" vertical="center"/>
    </xf>
    <xf numFmtId="193" fontId="13"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3" fillId="0" borderId="0" xfId="0" applyNumberFormat="1" applyFont="1" applyFill="1" applyBorder="1" applyAlignment="1">
      <alignment vertical="center"/>
    </xf>
    <xf numFmtId="0" fontId="0" fillId="0" borderId="39" xfId="0" applyNumberFormat="1" applyFont="1" applyBorder="1" applyAlignment="1">
      <alignment horizontal="center" wrapText="1"/>
    </xf>
    <xf numFmtId="49" fontId="11" fillId="0" borderId="0" xfId="0" applyNumberFormat="1" applyFont="1"/>
    <xf numFmtId="0" fontId="11" fillId="0" borderId="0" xfId="0" applyNumberFormat="1" applyFont="1"/>
    <xf numFmtId="170" fontId="0" fillId="0" borderId="0" xfId="640" applyNumberFormat="1" applyFont="1"/>
    <xf numFmtId="170" fontId="12" fillId="0" borderId="0" xfId="640" applyNumberFormat="1" applyFont="1" applyBorder="1" applyAlignment="1">
      <alignment vertical="top"/>
    </xf>
    <xf numFmtId="167" fontId="12" fillId="0" borderId="0" xfId="328" applyNumberFormat="1" applyFont="1" applyBorder="1" applyAlignment="1"/>
    <xf numFmtId="173" fontId="12" fillId="0" borderId="0" xfId="328" applyNumberFormat="1" applyFont="1" applyBorder="1" applyAlignment="1"/>
    <xf numFmtId="170" fontId="13"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169" fontId="0" fillId="0" borderId="0" xfId="180" applyNumberFormat="1" applyFont="1" applyAlignment="1"/>
    <xf numFmtId="177" fontId="0" fillId="0" borderId="0" xfId="180" applyFont="1" applyAlignment="1"/>
    <xf numFmtId="173" fontId="0" fillId="0" borderId="0" xfId="328" applyNumberFormat="1" applyFont="1" applyAlignment="1"/>
    <xf numFmtId="242" fontId="159" fillId="0" borderId="50" xfId="1770" applyNumberFormat="1" applyFont="1" applyFill="1" applyBorder="1"/>
    <xf numFmtId="175" fontId="0" fillId="0" borderId="0" xfId="0" applyNumberFormat="1" applyFont="1"/>
    <xf numFmtId="165" fontId="0" fillId="0" borderId="0" xfId="0" applyNumberFormat="1" applyFont="1" applyAlignment="1">
      <alignment horizontal="center" vertical="top"/>
    </xf>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2" fillId="0" borderId="148" xfId="0" applyNumberFormat="1" applyFont="1" applyBorder="1" applyAlignment="1">
      <alignment horizontal="center" wrapText="1"/>
    </xf>
    <xf numFmtId="43" fontId="13" fillId="0" borderId="0" xfId="0" applyNumberFormat="1" applyFont="1" applyFill="1" applyBorder="1" applyAlignment="1">
      <alignment horizontal="centerContinuous"/>
    </xf>
    <xf numFmtId="43" fontId="13" fillId="0" borderId="0" xfId="0" applyNumberFormat="1" applyFont="1" applyBorder="1" applyAlignment="1">
      <alignment horizontal="center"/>
    </xf>
    <xf numFmtId="43" fontId="13" fillId="0" borderId="0" xfId="0" applyNumberFormat="1" applyFont="1" applyBorder="1" applyAlignment="1">
      <alignment horizontal="centerContinuous"/>
    </xf>
    <xf numFmtId="171" fontId="12" fillId="0" borderId="0" xfId="640" applyNumberFormat="1" applyFont="1" applyBorder="1" applyAlignment="1">
      <alignment vertical="top"/>
    </xf>
    <xf numFmtId="171" fontId="12"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3" fillId="0" borderId="147" xfId="328" applyNumberFormat="1" applyFont="1" applyBorder="1" applyAlignment="1"/>
    <xf numFmtId="0" fontId="15" fillId="38" borderId="47" xfId="624" applyFont="1" applyFill="1" applyBorder="1" applyAlignment="1">
      <alignment horizontal="centerContinuous"/>
    </xf>
    <xf numFmtId="0" fontId="15" fillId="0" borderId="0" xfId="624" applyFont="1" applyAlignment="1">
      <alignment horizontal="center"/>
    </xf>
    <xf numFmtId="169" fontId="0" fillId="0" borderId="0" xfId="328" applyFont="1" applyBorder="1" applyAlignment="1">
      <alignment horizontal="center" vertical="center"/>
    </xf>
    <xf numFmtId="43" fontId="12" fillId="0" borderId="0" xfId="328" applyNumberFormat="1" applyFont="1" applyBorder="1" applyAlignment="1"/>
    <xf numFmtId="44" fontId="12" fillId="0" borderId="0" xfId="328" applyNumberFormat="1" applyFont="1" applyBorder="1" applyAlignment="1">
      <alignment vertical="top"/>
    </xf>
    <xf numFmtId="172" fontId="12" fillId="0" borderId="0" xfId="0" applyNumberFormat="1" applyFont="1" applyBorder="1" applyAlignment="1">
      <alignment vertical="center"/>
    </xf>
    <xf numFmtId="253" fontId="12" fillId="0" borderId="0" xfId="174" applyNumberFormat="1" applyFont="1" applyAlignment="1">
      <alignment vertical="center"/>
    </xf>
    <xf numFmtId="172" fontId="0" fillId="0" borderId="9" xfId="0" applyNumberFormat="1" applyBorder="1"/>
    <xf numFmtId="1" fontId="13" fillId="0" borderId="0" xfId="0" applyNumberFormat="1" applyFont="1" applyBorder="1" applyAlignment="1">
      <alignment horizontal="center" vertical="center" wrapText="1"/>
    </xf>
    <xf numFmtId="193" fontId="13"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77" fontId="12" fillId="0" borderId="0" xfId="180" applyNumberFormat="1" applyFont="1" applyBorder="1" applyAlignment="1">
      <alignment vertical="top"/>
    </xf>
    <xf numFmtId="196" fontId="12" fillId="0" borderId="0" xfId="328" applyNumberFormat="1" applyFont="1" applyBorder="1" applyAlignment="1">
      <alignment vertical="top"/>
    </xf>
    <xf numFmtId="254" fontId="0" fillId="0" borderId="0" xfId="0" applyNumberFormat="1"/>
    <xf numFmtId="164" fontId="0" fillId="0" borderId="0" xfId="0" quotePrefix="1" applyFont="1" applyAlignment="1"/>
    <xf numFmtId="167" fontId="13" fillId="0" borderId="42" xfId="0" applyNumberFormat="1" applyFont="1" applyBorder="1" applyAlignment="1">
      <alignment vertical="top"/>
    </xf>
    <xf numFmtId="165" fontId="0" fillId="0" borderId="0" xfId="0" applyNumberFormat="1" applyFont="1" applyAlignment="1">
      <alignment horizontal="center" vertical="center"/>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5" fontId="16" fillId="0" borderId="147" xfId="0" quotePrefix="1" applyNumberFormat="1" applyFont="1" applyBorder="1" applyAlignment="1">
      <alignment vertical="top"/>
    </xf>
    <xf numFmtId="44" fontId="12" fillId="0" borderId="0" xfId="0" applyNumberFormat="1" applyFont="1" applyAlignment="1">
      <alignment vertical="top"/>
    </xf>
    <xf numFmtId="164" fontId="13" fillId="0" borderId="0" xfId="0" applyFont="1" applyAlignment="1">
      <alignment horizontal="center"/>
    </xf>
    <xf numFmtId="164" fontId="0" fillId="0" borderId="0" xfId="620" applyFont="1" applyAlignment="1">
      <alignment vertical="center"/>
    </xf>
    <xf numFmtId="240" fontId="12" fillId="0" borderId="0" xfId="173" applyNumberFormat="1" applyFont="1" applyFill="1" applyBorder="1" applyAlignment="1">
      <alignment horizontal="left"/>
    </xf>
    <xf numFmtId="41" fontId="12" fillId="0" borderId="0" xfId="173" applyNumberFormat="1" applyFont="1" applyFill="1" applyBorder="1" applyAlignment="1">
      <alignment horizontal="right"/>
    </xf>
    <xf numFmtId="173" fontId="12" fillId="0" borderId="0" xfId="173" applyNumberFormat="1" applyFont="1" applyFill="1" applyBorder="1" applyAlignment="1">
      <alignment horizontal="right"/>
    </xf>
    <xf numFmtId="259" fontId="0" fillId="0" borderId="0" xfId="640" applyNumberFormat="1" applyFont="1"/>
    <xf numFmtId="169" fontId="13" fillId="0" borderId="0" xfId="328" applyNumberFormat="1" applyFont="1" applyBorder="1" applyAlignment="1"/>
    <xf numFmtId="164" fontId="13" fillId="0" borderId="0" xfId="0" applyFont="1" applyBorder="1" applyAlignment="1"/>
    <xf numFmtId="166" fontId="13" fillId="0" borderId="0" xfId="640" applyFont="1" applyBorder="1" applyAlignment="1"/>
    <xf numFmtId="164" fontId="0" fillId="0" borderId="0" xfId="0" applyFont="1" applyAlignment="1">
      <alignment horizontal="center"/>
    </xf>
    <xf numFmtId="0" fontId="12" fillId="0" borderId="0" xfId="0" applyNumberFormat="1" applyFont="1" applyAlignment="1">
      <alignment horizontal="center"/>
    </xf>
    <xf numFmtId="164" fontId="12" fillId="0" borderId="0" xfId="0" applyFont="1" applyAlignment="1">
      <alignment horizontal="center"/>
    </xf>
    <xf numFmtId="164" fontId="168" fillId="0" borderId="0" xfId="0" applyFont="1" applyAlignment="1">
      <alignment horizontal="center"/>
    </xf>
    <xf numFmtId="164" fontId="168" fillId="0" borderId="149" xfId="0" applyFont="1" applyBorder="1" applyAlignment="1">
      <alignment horizontal="center"/>
    </xf>
    <xf numFmtId="0" fontId="13" fillId="0" borderId="46" xfId="0" applyNumberFormat="1" applyFont="1" applyBorder="1" applyAlignment="1">
      <alignment horizontal="center"/>
    </xf>
    <xf numFmtId="1" fontId="12" fillId="0" borderId="44" xfId="0" applyNumberFormat="1" applyFont="1" applyBorder="1" applyAlignment="1">
      <alignment horizontal="center" vertical="center"/>
    </xf>
    <xf numFmtId="0" fontId="13" fillId="0" borderId="150" xfId="0" applyNumberFormat="1" applyFont="1" applyBorder="1" applyAlignment="1">
      <alignment horizontal="center"/>
    </xf>
    <xf numFmtId="164" fontId="166" fillId="0" borderId="0" xfId="0" applyFont="1" applyBorder="1" applyAlignment="1">
      <alignment vertical="top"/>
    </xf>
    <xf numFmtId="164" fontId="166" fillId="0" borderId="0" xfId="0" applyFont="1" applyBorder="1"/>
    <xf numFmtId="164" fontId="166"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262" fontId="0" fillId="0" borderId="0" xfId="0" applyNumberFormat="1" applyFont="1" applyBorder="1" applyAlignment="1">
      <alignment horizontal="right" vertical="center"/>
    </xf>
    <xf numFmtId="174" fontId="13"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80"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3" fillId="0" borderId="0" xfId="0" applyFont="1" applyBorder="1" applyAlignment="1">
      <alignment vertical="top"/>
    </xf>
    <xf numFmtId="169" fontId="13" fillId="0" borderId="152" xfId="328" applyFont="1" applyBorder="1" applyAlignment="1">
      <alignment vertical="top"/>
    </xf>
    <xf numFmtId="169" fontId="13" fillId="0" borderId="147" xfId="328" applyNumberFormat="1" applyFont="1" applyBorder="1" applyAlignment="1"/>
    <xf numFmtId="49" fontId="0" fillId="0" borderId="0" xfId="0" quotePrefix="1" applyNumberFormat="1" applyAlignment="1">
      <alignment horizontal="left" vertical="center"/>
    </xf>
    <xf numFmtId="193" fontId="0" fillId="0" borderId="0" xfId="0" applyNumberFormat="1" applyFont="1" applyAlignment="1">
      <alignment vertical="center"/>
    </xf>
    <xf numFmtId="0" fontId="0" fillId="0" borderId="0" xfId="0" applyNumberFormat="1" applyFont="1" applyAlignment="1">
      <alignment horizontal="center" vertical="center"/>
    </xf>
    <xf numFmtId="193" fontId="0" fillId="0" borderId="0" xfId="0" applyNumberFormat="1" applyFont="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93" fontId="0" fillId="0" borderId="0" xfId="0" applyNumberFormat="1" applyFont="1"/>
    <xf numFmtId="164" fontId="13" fillId="0" borderId="0" xfId="0" applyFont="1" applyAlignment="1">
      <alignment horizontal="left"/>
    </xf>
    <xf numFmtId="0" fontId="13" fillId="0" borderId="0" xfId="0" applyNumberFormat="1" applyFont="1" applyAlignment="1">
      <alignment horizontal="centerContinuous"/>
    </xf>
    <xf numFmtId="193" fontId="13" fillId="0" borderId="0" xfId="0" applyNumberFormat="1" applyFont="1" applyAlignment="1">
      <alignment horizontal="centerContinuous"/>
    </xf>
    <xf numFmtId="0" fontId="13" fillId="0" borderId="0" xfId="0" applyNumberFormat="1" applyFont="1"/>
    <xf numFmtId="174" fontId="0" fillId="0" borderId="0" xfId="245" applyNumberFormat="1" applyFont="1" applyFill="1" applyBorder="1" applyAlignment="1">
      <alignment horizontal="right" vertical="center"/>
    </xf>
    <xf numFmtId="193" fontId="13" fillId="0" borderId="0" xfId="173" applyNumberFormat="1" applyFont="1" applyFill="1" applyBorder="1" applyAlignment="1">
      <alignment horizontal="right" vertical="center"/>
    </xf>
    <xf numFmtId="193" fontId="0" fillId="0" borderId="0" xfId="510" applyNumberFormat="1" applyFont="1" applyAlignment="1">
      <alignment horizontal="right" vertical="center"/>
    </xf>
    <xf numFmtId="240" fontId="12" fillId="0" borderId="0" xfId="173" applyNumberFormat="1" applyFont="1" applyAlignment="1">
      <alignment horizontal="center"/>
    </xf>
    <xf numFmtId="0" fontId="0" fillId="0" borderId="0" xfId="510" applyNumberFormat="1" applyFont="1" applyAlignment="1">
      <alignment horizontal="right" vertical="center"/>
    </xf>
    <xf numFmtId="164" fontId="12"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74" fontId="0" fillId="0" borderId="0" xfId="1998" applyNumberFormat="1" applyFont="1" applyFill="1" applyBorder="1" applyAlignment="1">
      <alignment horizontal="right" vertical="center"/>
    </xf>
    <xf numFmtId="240" fontId="131" fillId="0" borderId="31" xfId="2018" applyNumberFormat="1" applyFont="1" applyFill="1" applyBorder="1" applyAlignment="1">
      <alignment horizontal="right"/>
    </xf>
    <xf numFmtId="174" fontId="0" fillId="0" borderId="0" xfId="2002" applyNumberFormat="1" applyFont="1" applyFill="1" applyBorder="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8" fillId="0" borderId="4" xfId="0" applyFont="1" applyBorder="1" applyAlignment="1">
      <alignment horizont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3" fillId="0" borderId="0" xfId="209" applyNumberFormat="1" applyFont="1" applyFill="1" applyBorder="1" applyAlignment="1">
      <alignment horizontal="right" vertical="center"/>
    </xf>
    <xf numFmtId="193" fontId="13" fillId="0" borderId="147" xfId="209" applyNumberFormat="1" applyFont="1" applyFill="1" applyBorder="1" applyAlignment="1">
      <alignment horizontal="right" vertical="center"/>
    </xf>
    <xf numFmtId="193" fontId="13" fillId="0" borderId="148" xfId="209" applyNumberFormat="1" applyFont="1" applyFill="1" applyBorder="1" applyAlignment="1">
      <alignment horizontal="right" vertical="center"/>
    </xf>
    <xf numFmtId="193" fontId="13" fillId="0" borderId="144" xfId="209"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93" fontId="13" fillId="0" borderId="8" xfId="209" applyNumberFormat="1" applyFont="1" applyFill="1" applyBorder="1" applyAlignment="1">
      <alignment horizontal="right" vertical="center"/>
    </xf>
    <xf numFmtId="242" fontId="193" fillId="0" borderId="0" xfId="6661" applyNumberFormat="1" applyFont="1"/>
    <xf numFmtId="0" fontId="0" fillId="0" borderId="0" xfId="0" applyNumberFormat="1" applyFont="1" applyFill="1" applyBorder="1" applyAlignment="1">
      <alignment horizontal="center" vertical="center" wrapText="1"/>
    </xf>
    <xf numFmtId="44" fontId="13" fillId="0" borderId="152" xfId="328" applyNumberFormat="1" applyFont="1" applyBorder="1" applyAlignment="1">
      <alignment vertical="top"/>
    </xf>
    <xf numFmtId="43" fontId="13" fillId="0" borderId="38" xfId="640" applyNumberFormat="1" applyFont="1" applyBorder="1" applyAlignment="1">
      <alignment vertical="top"/>
    </xf>
    <xf numFmtId="180" fontId="13" fillId="0" borderId="144" xfId="1998" applyNumberFormat="1" applyFont="1" applyFill="1" applyBorder="1" applyAlignment="1">
      <alignment horizontal="right" vertical="center"/>
    </xf>
    <xf numFmtId="0" fontId="0" fillId="0" borderId="0" xfId="0" applyNumberFormat="1" applyFont="1" applyAlignment="1">
      <alignment horizontal="left" vertical="center"/>
    </xf>
    <xf numFmtId="174" fontId="13" fillId="0" borderId="0" xfId="328" applyNumberFormat="1" applyFont="1" applyBorder="1" applyAlignment="1">
      <alignment vertical="top"/>
    </xf>
    <xf numFmtId="167" fontId="0" fillId="0" borderId="0" xfId="0" applyNumberFormat="1" applyBorder="1" applyAlignment="1">
      <alignment vertical="top"/>
    </xf>
    <xf numFmtId="44" fontId="12" fillId="0" borderId="0" xfId="640" applyNumberFormat="1" applyFont="1" applyAlignment="1">
      <alignment vertical="top"/>
    </xf>
    <xf numFmtId="10" fontId="11" fillId="0" borderId="0" xfId="623" applyNumberFormat="1" applyFont="1" applyFill="1" applyBorder="1"/>
    <xf numFmtId="3" fontId="11" fillId="0" borderId="0" xfId="623" applyNumberFormat="1" applyFont="1" applyFill="1" applyBorder="1"/>
    <xf numFmtId="0" fontId="11" fillId="0" borderId="148" xfId="623" applyFont="1" applyFill="1" applyBorder="1"/>
    <xf numFmtId="3" fontId="11" fillId="0" borderId="148" xfId="623" applyNumberFormat="1" applyFont="1" applyFill="1" applyBorder="1"/>
    <xf numFmtId="0" fontId="15" fillId="0" borderId="0" xfId="623" quotePrefix="1" applyFont="1" applyFill="1" applyBorder="1"/>
    <xf numFmtId="252" fontId="13" fillId="0" borderId="0" xfId="327" applyNumberFormat="1" applyFont="1" applyBorder="1" applyAlignment="1">
      <alignment vertical="center"/>
    </xf>
    <xf numFmtId="252" fontId="13" fillId="0" borderId="50" xfId="327" applyNumberFormat="1" applyFont="1" applyFill="1" applyBorder="1" applyAlignment="1">
      <alignment horizontal="left" vertical="center"/>
    </xf>
    <xf numFmtId="259" fontId="0" fillId="0" borderId="0" xfId="640" applyNumberFormat="1" applyFont="1" applyAlignment="1"/>
    <xf numFmtId="252" fontId="13"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1" fillId="0" borderId="0" xfId="640" applyNumberFormat="1" applyFont="1"/>
    <xf numFmtId="170" fontId="0" fillId="0" borderId="0" xfId="640" applyNumberFormat="1" applyFont="1" applyAlignment="1">
      <alignment vertical="center"/>
    </xf>
    <xf numFmtId="261"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3"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40" fontId="0" fillId="0" borderId="0" xfId="0" applyNumberFormat="1" applyFont="1" applyAlignment="1">
      <alignment horizontal="right" vertical="center"/>
    </xf>
    <xf numFmtId="44" fontId="0" fillId="0" borderId="50" xfId="0" applyNumberFormat="1" applyBorder="1"/>
    <xf numFmtId="174" fontId="13"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3" fillId="0" borderId="0" xfId="0" applyNumberFormat="1" applyFont="1" applyAlignment="1">
      <alignment horizontal="right" vertical="center"/>
    </xf>
    <xf numFmtId="278" fontId="12" fillId="0" borderId="0" xfId="328" applyNumberFormat="1" applyFont="1" applyBorder="1" applyAlignment="1">
      <alignment vertical="top"/>
    </xf>
    <xf numFmtId="193" fontId="13" fillId="0" borderId="165" xfId="0" applyNumberFormat="1" applyFont="1" applyBorder="1" applyAlignment="1">
      <alignment horizontal="center" wrapText="1"/>
    </xf>
    <xf numFmtId="0" fontId="13" fillId="0" borderId="173" xfId="0" applyNumberFormat="1" applyFont="1" applyBorder="1" applyAlignment="1">
      <alignment horizontal="center" wrapText="1"/>
    </xf>
    <xf numFmtId="0" fontId="13" fillId="0" borderId="174" xfId="0" applyNumberFormat="1" applyFont="1" applyBorder="1" applyAlignment="1">
      <alignment horizontal="center"/>
    </xf>
    <xf numFmtId="193" fontId="13" fillId="0" borderId="150" xfId="0" applyNumberFormat="1" applyFont="1" applyBorder="1" applyAlignment="1">
      <alignment horizontal="center" wrapText="1"/>
    </xf>
    <xf numFmtId="164" fontId="0" fillId="0" borderId="0" xfId="0" applyFont="1" applyFill="1" applyAlignment="1">
      <alignment vertical="center"/>
    </xf>
    <xf numFmtId="240" fontId="12" fillId="0" borderId="38" xfId="328" applyNumberFormat="1" applyFont="1" applyBorder="1" applyAlignment="1">
      <alignment vertical="center"/>
    </xf>
    <xf numFmtId="0" fontId="13" fillId="0" borderId="151" xfId="0" applyNumberFormat="1" applyFont="1" applyBorder="1" applyAlignment="1">
      <alignment horizontal="center" vertical="center" wrapText="1"/>
    </xf>
    <xf numFmtId="164" fontId="0" fillId="0" borderId="0" xfId="0" quotePrefix="1" applyAlignment="1">
      <alignment horizontal="left"/>
    </xf>
    <xf numFmtId="279" fontId="11" fillId="0" borderId="39" xfId="623" applyNumberFormat="1" applyFont="1" applyFill="1" applyBorder="1"/>
    <xf numFmtId="252" fontId="0" fillId="0" borderId="0" xfId="328" applyNumberFormat="1" applyFont="1" applyAlignment="1"/>
    <xf numFmtId="43" fontId="12" fillId="0" borderId="0" xfId="328" applyNumberFormat="1" applyFont="1" applyAlignment="1"/>
    <xf numFmtId="43" fontId="0" fillId="0" borderId="40" xfId="0" applyNumberFormat="1" applyBorder="1"/>
    <xf numFmtId="278" fontId="12" fillId="0" borderId="0" xfId="640" applyNumberFormat="1" applyFont="1" applyAlignment="1">
      <alignment vertical="center"/>
    </xf>
    <xf numFmtId="252" fontId="13" fillId="0" borderId="0" xfId="328" applyNumberFormat="1" applyFont="1" applyAlignment="1">
      <alignment vertical="center"/>
    </xf>
    <xf numFmtId="0" fontId="0" fillId="0" borderId="0" xfId="0" applyNumberFormat="1" applyFont="1" applyFill="1" applyAlignment="1">
      <alignment horizontal="center" vertical="center"/>
    </xf>
    <xf numFmtId="174" fontId="0" fillId="0" borderId="31" xfId="2002" quotePrefix="1" applyNumberFormat="1" applyFont="1" applyFill="1" applyBorder="1" applyAlignment="1">
      <alignment horizontal="right" vertical="center"/>
    </xf>
    <xf numFmtId="193" fontId="13" fillId="0" borderId="35" xfId="173" applyNumberFormat="1" applyFont="1" applyFill="1" applyBorder="1" applyAlignment="1">
      <alignment horizontal="right" vertical="center"/>
    </xf>
    <xf numFmtId="164" fontId="0" fillId="0" borderId="0" xfId="0" applyFill="1" applyAlignment="1">
      <alignment horizontal="center" vertical="center"/>
    </xf>
    <xf numFmtId="193" fontId="13"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2" fillId="0" borderId="0" xfId="328" applyNumberFormat="1" applyFont="1" applyFill="1" applyAlignment="1"/>
    <xf numFmtId="174" fontId="12" fillId="0" borderId="0" xfId="174" applyNumberFormat="1" applyFont="1" applyFill="1"/>
    <xf numFmtId="174" fontId="159" fillId="0" borderId="0" xfId="2767" applyNumberFormat="1" applyFont="1" applyFill="1"/>
    <xf numFmtId="174" fontId="0" fillId="0" borderId="0" xfId="328" applyNumberFormat="1" applyFont="1" applyFill="1" applyAlignment="1"/>
    <xf numFmtId="241" fontId="12" fillId="0" borderId="0" xfId="180" applyNumberFormat="1" applyFont="1" applyFill="1" applyAlignment="1">
      <alignment vertical="top"/>
    </xf>
    <xf numFmtId="193" fontId="0" fillId="0" borderId="0" xfId="0" applyNumberFormat="1" applyFont="1" applyFill="1" applyAlignment="1">
      <alignment vertical="center"/>
    </xf>
    <xf numFmtId="167" fontId="13" fillId="0" borderId="0" xfId="328" applyNumberFormat="1" applyFont="1" applyBorder="1" applyAlignment="1">
      <alignment vertical="center"/>
    </xf>
    <xf numFmtId="252" fontId="13" fillId="0" borderId="0" xfId="327" applyNumberFormat="1" applyFont="1" applyFill="1" applyBorder="1" applyAlignment="1">
      <alignment horizontal="left" vertical="center"/>
    </xf>
    <xf numFmtId="252" fontId="12" fillId="0" borderId="0" xfId="328" applyNumberFormat="1" applyFont="1" applyFill="1" applyAlignment="1"/>
    <xf numFmtId="261" fontId="0" fillId="0" borderId="0" xfId="0" applyNumberFormat="1" applyFont="1" applyFill="1" applyBorder="1" applyAlignment="1">
      <alignment horizontal="right" vertical="center"/>
    </xf>
    <xf numFmtId="260" fontId="0" fillId="0" borderId="0" xfId="328" applyNumberFormat="1" applyFont="1" applyFill="1" applyBorder="1" applyAlignment="1">
      <alignment horizontal="right" vertical="center"/>
    </xf>
    <xf numFmtId="170" fontId="0" fillId="0" borderId="0" xfId="640" applyNumberFormat="1" applyFont="1" applyFill="1"/>
    <xf numFmtId="169" fontId="0" fillId="0" borderId="0" xfId="180" applyNumberFormat="1" applyFont="1" applyFill="1" applyAlignment="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5" fontId="12" fillId="0" borderId="0" xfId="0" applyNumberFormat="1" applyFont="1" applyFill="1" applyBorder="1" applyAlignment="1">
      <alignment vertical="center"/>
    </xf>
    <xf numFmtId="255" fontId="16" fillId="0" borderId="147" xfId="0" quotePrefix="1" applyNumberFormat="1" applyFont="1" applyFill="1" applyBorder="1" applyAlignment="1">
      <alignment vertical="top"/>
    </xf>
    <xf numFmtId="0" fontId="15" fillId="0" borderId="0" xfId="0" applyNumberFormat="1" applyFont="1" applyFill="1" applyAlignment="1">
      <alignment horizontal="centerContinuous"/>
    </xf>
    <xf numFmtId="0" fontId="18" fillId="0" borderId="0" xfId="0" applyNumberFormat="1" applyFont="1" applyFill="1" applyAlignment="1">
      <alignment horizontal="centerContinuous"/>
    </xf>
    <xf numFmtId="164" fontId="12" fillId="0" borderId="0" xfId="0" applyFont="1" applyFill="1" applyAlignment="1">
      <alignment horizontal="center"/>
    </xf>
    <xf numFmtId="239" fontId="159" fillId="0" borderId="0" xfId="173" applyNumberFormat="1" applyFont="1" applyFill="1"/>
    <xf numFmtId="174" fontId="0" fillId="0" borderId="0" xfId="174" applyNumberFormat="1" applyFont="1" applyFill="1" applyBorder="1" applyAlignment="1">
      <alignment horizontal="right" vertical="center"/>
    </xf>
    <xf numFmtId="260" fontId="0" fillId="0" borderId="0" xfId="174" applyNumberFormat="1" applyFont="1" applyFill="1" applyBorder="1" applyAlignment="1">
      <alignment horizontal="right" vertical="center"/>
    </xf>
    <xf numFmtId="10" fontId="159"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9" fontId="12" fillId="0" borderId="0" xfId="173" applyNumberFormat="1" applyFont="1" applyFill="1" applyAlignment="1">
      <alignment horizontal="right" vertical="center"/>
    </xf>
    <xf numFmtId="260" fontId="12"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2" fillId="0" borderId="0" xfId="25780" applyNumberFormat="1" applyFont="1" applyFill="1" applyAlignment="1">
      <alignment horizontal="right" vertical="center"/>
    </xf>
    <xf numFmtId="175" fontId="12" fillId="0" borderId="0" xfId="25776" applyNumberFormat="1" applyFont="1" applyFill="1" applyAlignment="1">
      <alignment horizontal="right" vertical="center"/>
    </xf>
    <xf numFmtId="175" fontId="12" fillId="0" borderId="0" xfId="25775" applyNumberFormat="1" applyFont="1" applyFill="1" applyAlignment="1">
      <alignment horizontal="right" vertical="center"/>
    </xf>
    <xf numFmtId="175" fontId="12" fillId="0" borderId="0" xfId="25781" applyNumberFormat="1" applyFont="1" applyFill="1" applyAlignment="1">
      <alignment horizontal="right" vertical="center"/>
    </xf>
    <xf numFmtId="175" fontId="12" fillId="0" borderId="0" xfId="25771" applyNumberFormat="1" applyFont="1" applyFill="1" applyAlignment="1">
      <alignment horizontal="right" vertical="center"/>
    </xf>
    <xf numFmtId="175" fontId="12"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1" fillId="0" borderId="0" xfId="0" applyNumberFormat="1" applyFont="1" applyFill="1" applyAlignment="1">
      <alignment vertical="center"/>
    </xf>
    <xf numFmtId="174" fontId="0" fillId="0" borderId="0" xfId="0" applyNumberFormat="1" applyFont="1" applyFill="1" applyAlignment="1">
      <alignment vertical="center"/>
    </xf>
    <xf numFmtId="0" fontId="13" fillId="0" borderId="46" xfId="0" applyNumberFormat="1" applyFont="1" applyBorder="1" applyAlignment="1">
      <alignment horizontal="center" wrapText="1"/>
    </xf>
    <xf numFmtId="172" fontId="12" fillId="114" borderId="0" xfId="328" applyNumberFormat="1" applyFont="1" applyFill="1" applyBorder="1" applyAlignment="1">
      <alignment vertical="top"/>
    </xf>
    <xf numFmtId="171" fontId="12" fillId="114" borderId="0" xfId="640" applyNumberFormat="1" applyFont="1" applyFill="1" applyBorder="1" applyAlignment="1">
      <alignment vertical="top"/>
    </xf>
    <xf numFmtId="278" fontId="12" fillId="114" borderId="0" xfId="640" applyNumberFormat="1" applyFont="1" applyFill="1" applyAlignment="1">
      <alignment vertical="center"/>
    </xf>
    <xf numFmtId="171" fontId="12" fillId="114" borderId="0" xfId="640" applyNumberFormat="1" applyFont="1" applyFill="1" applyAlignment="1">
      <alignment vertical="top"/>
    </xf>
    <xf numFmtId="172" fontId="12" fillId="114" borderId="0" xfId="328" applyNumberFormat="1" applyFont="1" applyFill="1" applyAlignment="1">
      <alignment vertical="center"/>
    </xf>
    <xf numFmtId="1" fontId="12" fillId="0" borderId="44" xfId="0" quotePrefix="1" applyNumberFormat="1" applyFont="1" applyBorder="1" applyAlignment="1">
      <alignment horizontal="center" vertical="center"/>
    </xf>
    <xf numFmtId="174" fontId="0" fillId="114" borderId="0" xfId="245" applyNumberFormat="1" applyFont="1" applyFill="1" applyBorder="1" applyAlignment="1">
      <alignment horizontal="right" vertical="center"/>
    </xf>
    <xf numFmtId="174" fontId="0" fillId="114" borderId="31" xfId="245" applyNumberFormat="1" applyFont="1" applyFill="1" applyBorder="1" applyAlignment="1">
      <alignment horizontal="right" vertical="center"/>
    </xf>
    <xf numFmtId="193" fontId="13" fillId="114" borderId="0" xfId="173" applyNumberFormat="1" applyFont="1" applyFill="1" applyBorder="1" applyAlignment="1">
      <alignment horizontal="right" vertical="center"/>
    </xf>
    <xf numFmtId="0" fontId="0" fillId="114" borderId="0" xfId="510" applyNumberFormat="1" applyFont="1" applyFill="1" applyAlignment="1">
      <alignment horizontal="right" vertical="center"/>
    </xf>
    <xf numFmtId="193" fontId="0" fillId="114" borderId="0" xfId="510" applyNumberFormat="1" applyFont="1" applyFill="1" applyAlignment="1">
      <alignment horizontal="right" vertical="center"/>
    </xf>
    <xf numFmtId="193" fontId="0" fillId="114" borderId="31" xfId="510" applyNumberFormat="1" applyFont="1" applyFill="1" applyBorder="1" applyAlignment="1">
      <alignment horizontal="right" vertical="center"/>
    </xf>
    <xf numFmtId="193" fontId="13" fillId="114" borderId="35" xfId="173" applyNumberFormat="1" applyFont="1" applyFill="1" applyBorder="1" applyAlignment="1">
      <alignment horizontal="right" vertical="center"/>
    </xf>
    <xf numFmtId="170" fontId="0" fillId="114" borderId="0" xfId="640" applyNumberFormat="1" applyFont="1" applyFill="1" applyAlignment="1">
      <alignment horizontal="right" vertical="center"/>
    </xf>
    <xf numFmtId="193" fontId="13" fillId="114" borderId="0" xfId="209" applyNumberFormat="1" applyFont="1" applyFill="1" applyBorder="1" applyAlignment="1">
      <alignment horizontal="right" vertical="center"/>
    </xf>
    <xf numFmtId="193" fontId="13" fillId="114" borderId="147" xfId="209" applyNumberFormat="1" applyFont="1" applyFill="1" applyBorder="1" applyAlignment="1">
      <alignment horizontal="right" vertical="center"/>
    </xf>
    <xf numFmtId="193" fontId="13" fillId="114" borderId="148" xfId="209" applyNumberFormat="1" applyFont="1" applyFill="1" applyBorder="1" applyAlignment="1">
      <alignment horizontal="right" vertical="center"/>
    </xf>
    <xf numFmtId="193" fontId="13" fillId="114" borderId="144" xfId="209" applyNumberFormat="1" applyFont="1" applyFill="1" applyBorder="1" applyAlignment="1">
      <alignment horizontal="right" vertical="center"/>
    </xf>
    <xf numFmtId="193" fontId="0" fillId="114" borderId="0" xfId="209" applyNumberFormat="1" applyFont="1" applyFill="1" applyBorder="1" applyAlignment="1">
      <alignment horizontal="right" vertical="center"/>
    </xf>
    <xf numFmtId="180" fontId="13" fillId="114" borderId="144" xfId="1998" applyNumberFormat="1" applyFont="1" applyFill="1" applyBorder="1" applyAlignment="1">
      <alignment horizontal="right" vertical="center"/>
    </xf>
    <xf numFmtId="193" fontId="13" fillId="114" borderId="8" xfId="209" applyNumberFormat="1" applyFont="1" applyFill="1" applyBorder="1" applyAlignment="1">
      <alignment horizontal="right" vertical="center"/>
    </xf>
    <xf numFmtId="193" fontId="13" fillId="114" borderId="8" xfId="173" applyNumberFormat="1" applyFont="1" applyFill="1" applyBorder="1" applyAlignment="1">
      <alignment horizontal="right" vertical="center"/>
    </xf>
    <xf numFmtId="177" fontId="12" fillId="0" borderId="0" xfId="180" applyFont="1" applyFill="1" applyBorder="1" applyAlignment="1">
      <alignment vertical="top"/>
    </xf>
    <xf numFmtId="239" fontId="159" fillId="0" borderId="0" xfId="173" applyNumberFormat="1" applyFont="1" applyFill="1" applyAlignment="1">
      <alignment horizontal="right"/>
    </xf>
    <xf numFmtId="170" fontId="0" fillId="0" borderId="0" xfId="640" applyNumberFormat="1" applyFont="1" applyFill="1" applyAlignment="1">
      <alignment vertical="center"/>
    </xf>
    <xf numFmtId="280" fontId="13" fillId="0" borderId="0" xfId="0" applyNumberFormat="1" applyFont="1" applyFill="1" applyAlignment="1">
      <alignment vertical="center"/>
    </xf>
    <xf numFmtId="170" fontId="13" fillId="0" borderId="0" xfId="640" applyNumberFormat="1" applyFont="1" applyFill="1" applyAlignment="1">
      <alignment vertical="center"/>
    </xf>
    <xf numFmtId="170" fontId="11" fillId="0" borderId="0" xfId="640" applyNumberFormat="1" applyFont="1" applyFill="1"/>
    <xf numFmtId="174" fontId="12" fillId="0" borderId="0" xfId="174" applyNumberFormat="1" applyFont="1" applyFill="1" applyAlignment="1">
      <alignment vertical="center"/>
    </xf>
    <xf numFmtId="164" fontId="12" fillId="0" borderId="0" xfId="0" applyFont="1" applyFill="1" applyAlignment="1">
      <alignment vertical="center"/>
    </xf>
    <xf numFmtId="0" fontId="13" fillId="0" borderId="0" xfId="0" quotePrefix="1" applyNumberFormat="1" applyFont="1" applyFill="1" applyAlignment="1">
      <alignment horizontal="center" vertical="center"/>
    </xf>
    <xf numFmtId="1" fontId="13" fillId="0" borderId="0" xfId="0" applyNumberFormat="1" applyFont="1" applyFill="1" applyBorder="1" applyAlignment="1">
      <alignment horizontal="center" vertical="center" wrapText="1"/>
    </xf>
    <xf numFmtId="193" fontId="13" fillId="0" borderId="0" xfId="0" applyNumberFormat="1" applyFont="1" applyFill="1" applyBorder="1" applyAlignment="1">
      <alignment horizontal="center" vertical="center" wrapText="1"/>
    </xf>
    <xf numFmtId="193" fontId="13" fillId="0" borderId="31" xfId="0" applyNumberFormat="1" applyFont="1" applyFill="1" applyBorder="1" applyAlignment="1">
      <alignment horizontal="center" vertical="center" wrapText="1"/>
    </xf>
    <xf numFmtId="170" fontId="12" fillId="0" borderId="0" xfId="640" applyNumberFormat="1" applyFont="1" applyFill="1" applyAlignment="1"/>
    <xf numFmtId="164" fontId="0" fillId="0" borderId="0" xfId="0" applyFill="1" applyBorder="1"/>
    <xf numFmtId="240" fontId="0" fillId="0" borderId="0" xfId="0" applyNumberFormat="1" applyFont="1" applyFill="1" applyAlignment="1">
      <alignment horizontal="right" vertical="center"/>
    </xf>
    <xf numFmtId="242" fontId="159" fillId="0" borderId="0" xfId="1622" applyNumberFormat="1" applyFont="1" applyFill="1" applyBorder="1"/>
    <xf numFmtId="242" fontId="159" fillId="0" borderId="0" xfId="1803" applyNumberFormat="1" applyFont="1" applyFill="1" applyBorder="1"/>
    <xf numFmtId="172" fontId="12" fillId="0" borderId="0" xfId="328" applyNumberFormat="1" applyFont="1" applyFill="1" applyBorder="1" applyAlignment="1">
      <alignment vertical="top"/>
    </xf>
    <xf numFmtId="164" fontId="12"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170" fontId="12" fillId="0" borderId="0" xfId="640" applyNumberFormat="1" applyFont="1" applyFill="1" applyAlignment="1">
      <alignment horizontal="center" vertical="center"/>
    </xf>
    <xf numFmtId="0" fontId="13" fillId="0" borderId="0" xfId="0" applyNumberFormat="1" applyFont="1" applyAlignment="1">
      <alignment horizontal="center"/>
    </xf>
    <xf numFmtId="0" fontId="224" fillId="0" borderId="0" xfId="0" applyNumberFormat="1" applyFont="1" applyFill="1" applyAlignment="1">
      <alignment horizontal="center"/>
    </xf>
    <xf numFmtId="0" fontId="224" fillId="0" borderId="0" xfId="0" applyNumberFormat="1" applyFont="1" applyAlignment="1">
      <alignment horizontal="center"/>
    </xf>
    <xf numFmtId="170" fontId="0" fillId="0" borderId="148" xfId="640" applyNumberFormat="1" applyFont="1" applyBorder="1" applyAlignment="1">
      <alignment horizontal="right" vertical="center"/>
    </xf>
    <xf numFmtId="0" fontId="13" fillId="0" borderId="148" xfId="0" applyNumberFormat="1" applyFont="1" applyBorder="1" applyAlignment="1">
      <alignment horizontal="left" vertical="center"/>
    </xf>
    <xf numFmtId="0" fontId="0" fillId="0" borderId="148" xfId="0" applyNumberFormat="1" applyFont="1" applyBorder="1" applyAlignment="1">
      <alignment horizontal="center" vertical="center"/>
    </xf>
    <xf numFmtId="281" fontId="0" fillId="0" borderId="0" xfId="640" applyNumberFormat="1" applyFont="1"/>
    <xf numFmtId="0" fontId="15" fillId="0" borderId="0" xfId="0" applyNumberFormat="1" applyFont="1" applyAlignment="1">
      <alignment horizontal="center"/>
    </xf>
    <xf numFmtId="193" fontId="0" fillId="0" borderId="0" xfId="0" applyNumberFormat="1" applyFont="1" applyBorder="1" applyAlignment="1">
      <alignment horizontal="center" vertical="center"/>
    </xf>
    <xf numFmtId="164" fontId="169" fillId="0" borderId="50" xfId="0" applyFont="1" applyBorder="1" applyAlignment="1">
      <alignment horizontal="center"/>
    </xf>
    <xf numFmtId="0" fontId="169" fillId="0" borderId="50" xfId="0" applyNumberFormat="1" applyFont="1" applyBorder="1" applyAlignment="1">
      <alignment horizontal="center"/>
    </xf>
    <xf numFmtId="0" fontId="169" fillId="0" borderId="149" xfId="0" applyNumberFormat="1" applyFont="1" applyBorder="1" applyAlignment="1">
      <alignment horizontal="center"/>
    </xf>
    <xf numFmtId="0" fontId="169" fillId="0" borderId="172" xfId="0"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1" fontId="13" fillId="0" borderId="39" xfId="0" applyNumberFormat="1" applyFont="1" applyBorder="1" applyAlignment="1">
      <alignment horizontal="center"/>
    </xf>
    <xf numFmtId="181" fontId="13" fillId="0" borderId="0" xfId="0" applyNumberFormat="1" applyFont="1" applyBorder="1" applyAlignment="1">
      <alignment horizontal="center"/>
    </xf>
  </cellXfs>
  <cellStyles count="35359">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zoomScaleNormal="100" workbookViewId="0">
      <selection activeCell="C32" sqref="C32"/>
    </sheetView>
  </sheetViews>
  <sheetFormatPr defaultColWidth="9.33203125" defaultRowHeight="12.5"/>
  <cols>
    <col min="1" max="1" width="8.77734375" style="346" customWidth="1"/>
    <col min="2" max="2" width="88.77734375" style="346" customWidth="1"/>
    <col min="3" max="16384" width="9.33203125" style="346"/>
  </cols>
  <sheetData>
    <row r="1" spans="1:9" s="335" customFormat="1" ht="5.15" customHeight="1">
      <c r="B1" s="336"/>
    </row>
    <row r="2" spans="1:9" s="335" customFormat="1" ht="11.25" customHeight="1">
      <c r="A2" s="411" t="str">
        <f>Applicant</f>
        <v>Alberta Electric System Operator</v>
      </c>
    </row>
    <row r="3" spans="1:9" s="335" customFormat="1" ht="11.25" customHeight="1">
      <c r="A3" s="411" t="str">
        <f>Application</f>
        <v>2021 ISO Tariff Update Application</v>
      </c>
    </row>
    <row r="4" spans="1:9" s="335" customFormat="1" ht="11.25" customHeight="1">
      <c r="A4" s="412" t="str">
        <f>TableDate</f>
        <v>November 6, 2020</v>
      </c>
    </row>
    <row r="5" spans="1:9" s="335" customFormat="1" ht="11.25" customHeight="1">
      <c r="A5" s="411"/>
    </row>
    <row r="6" spans="1:9" s="335" customFormat="1" ht="11.25" customHeight="1">
      <c r="A6" s="411" t="str">
        <f>ApplicationSection</f>
        <v>Appendix B — 2021 Rate Calculations</v>
      </c>
      <c r="I6" s="337"/>
    </row>
    <row r="7" spans="1:9" s="335" customFormat="1" ht="11.25" customHeight="1">
      <c r="A7" s="411" t="s">
        <v>336</v>
      </c>
    </row>
    <row r="8" spans="1:9">
      <c r="A8" s="410"/>
    </row>
    <row r="9" spans="1:9" s="395" customFormat="1" ht="13">
      <c r="A9" s="721" t="s">
        <v>537</v>
      </c>
      <c r="B9" s="721"/>
    </row>
    <row r="10" spans="1:9" s="395" customFormat="1" ht="13">
      <c r="A10" s="721" t="s">
        <v>491</v>
      </c>
      <c r="B10" s="721"/>
    </row>
    <row r="11" spans="1:9">
      <c r="A11" s="410"/>
    </row>
    <row r="12" spans="1:9" s="335" customFormat="1" ht="13">
      <c r="A12" s="424" t="s">
        <v>538</v>
      </c>
      <c r="B12" s="425" t="s">
        <v>502</v>
      </c>
    </row>
    <row r="13" spans="1:9">
      <c r="A13" s="424" t="s">
        <v>539</v>
      </c>
      <c r="B13" s="346" t="str">
        <f>'B-2 TFO Rev Req'!A5</f>
        <v>2021 Forecast Transmission Facility Owner Wires Costs</v>
      </c>
    </row>
    <row r="14" spans="1:9">
      <c r="A14" s="424" t="s">
        <v>540</v>
      </c>
      <c r="B14" s="346" t="s">
        <v>31</v>
      </c>
    </row>
    <row r="15" spans="1:9">
      <c r="A15" s="424" t="s">
        <v>541</v>
      </c>
      <c r="B15" s="346" t="s">
        <v>34</v>
      </c>
    </row>
    <row r="16" spans="1:9">
      <c r="A16" s="424" t="s">
        <v>542</v>
      </c>
      <c r="B16" s="425" t="s">
        <v>369</v>
      </c>
    </row>
    <row r="17" spans="1:2">
      <c r="A17" s="424" t="s">
        <v>543</v>
      </c>
      <c r="B17" s="346" t="s">
        <v>179</v>
      </c>
    </row>
    <row r="18" spans="1:2">
      <c r="A18" s="424" t="s">
        <v>544</v>
      </c>
      <c r="B18" s="346" t="s">
        <v>102</v>
      </c>
    </row>
    <row r="19" spans="1:2">
      <c r="A19" s="424" t="s">
        <v>545</v>
      </c>
      <c r="B19" s="346" t="s">
        <v>74</v>
      </c>
    </row>
    <row r="20" spans="1:2">
      <c r="A20" s="424" t="s">
        <v>546</v>
      </c>
      <c r="B20" s="346" t="s">
        <v>88</v>
      </c>
    </row>
    <row r="21" spans="1:2">
      <c r="A21" s="424" t="s">
        <v>547</v>
      </c>
      <c r="B21" s="346" t="s">
        <v>73</v>
      </c>
    </row>
    <row r="22" spans="1:2">
      <c r="A22" s="424" t="s">
        <v>548</v>
      </c>
      <c r="B22" s="346" t="s">
        <v>332</v>
      </c>
    </row>
    <row r="23" spans="1:2">
      <c r="A23" s="424" t="s">
        <v>549</v>
      </c>
      <c r="B23" s="425" t="s">
        <v>503</v>
      </c>
    </row>
    <row r="24" spans="1:2">
      <c r="A24" s="424" t="s">
        <v>550</v>
      </c>
      <c r="B24" s="425" t="s">
        <v>504</v>
      </c>
    </row>
    <row r="25" spans="1:2">
      <c r="A25" s="424" t="s">
        <v>551</v>
      </c>
      <c r="B25" s="346" t="s">
        <v>362</v>
      </c>
    </row>
    <row r="26" spans="1:2">
      <c r="A26" s="424" t="s">
        <v>552</v>
      </c>
      <c r="B26" s="425" t="s">
        <v>495</v>
      </c>
    </row>
    <row r="27" spans="1:2">
      <c r="A27" s="424" t="s">
        <v>553</v>
      </c>
      <c r="B27" s="346" t="s">
        <v>339</v>
      </c>
    </row>
  </sheetData>
  <mergeCells count="2">
    <mergeCell ref="A9:B9"/>
    <mergeCell ref="A10:B10"/>
  </mergeCells>
  <phoneticPr fontId="14"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3"/>
  <sheetViews>
    <sheetView showGridLines="0" zoomScaleNormal="100" workbookViewId="0">
      <selection activeCell="A5" sqref="A5"/>
    </sheetView>
  </sheetViews>
  <sheetFormatPr defaultRowHeight="13"/>
  <cols>
    <col min="1" max="1" width="4.77734375" customWidth="1"/>
    <col min="2" max="2" width="1" customWidth="1"/>
    <col min="3" max="3" width="2.77734375" customWidth="1"/>
    <col min="4" max="4" width="28.77734375" customWidth="1"/>
    <col min="5" max="5" width="1" customWidth="1"/>
    <col min="6" max="6" width="9.7773437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B-9</v>
      </c>
    </row>
    <row r="2" spans="1:26" s="3" customFormat="1">
      <c r="A2" s="5" t="str">
        <f>Application</f>
        <v>2021 ISO Tariff Update Application</v>
      </c>
      <c r="B2" s="5"/>
      <c r="C2" s="5"/>
      <c r="D2" s="5"/>
      <c r="E2" s="5"/>
      <c r="F2" s="5"/>
      <c r="G2" s="5"/>
      <c r="H2" s="5"/>
      <c r="I2" s="5"/>
      <c r="J2" s="5"/>
      <c r="K2" s="5"/>
      <c r="L2" s="5"/>
      <c r="M2" s="5"/>
      <c r="N2" s="5"/>
      <c r="O2" s="5"/>
      <c r="P2" s="5"/>
      <c r="Q2" s="5"/>
      <c r="R2" s="5"/>
      <c r="S2" s="5"/>
      <c r="T2" s="5"/>
      <c r="U2" s="5"/>
      <c r="V2" s="5"/>
      <c r="W2" s="5"/>
      <c r="Z2" s="4" t="str">
        <f>TableDate</f>
        <v>November 6, 2020</v>
      </c>
    </row>
    <row r="3" spans="1:26">
      <c r="Y3" s="2"/>
      <c r="Z3" s="2"/>
    </row>
    <row r="4" spans="1:26">
      <c r="A4" s="347" t="str">
        <f>TableGroup1</f>
        <v>Appendix B — 2021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88</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52" customFormat="1">
      <c r="F7" s="252" t="s">
        <v>2</v>
      </c>
      <c r="I7" s="252" t="s">
        <v>3</v>
      </c>
      <c r="J7" s="252" t="s">
        <v>4</v>
      </c>
      <c r="M7" s="252" t="s">
        <v>5</v>
      </c>
      <c r="N7" s="252" t="s">
        <v>25</v>
      </c>
      <c r="Q7" s="252" t="s">
        <v>26</v>
      </c>
      <c r="R7" s="252" t="s">
        <v>27</v>
      </c>
      <c r="U7" s="252" t="s">
        <v>50</v>
      </c>
      <c r="V7" s="252" t="s">
        <v>51</v>
      </c>
      <c r="Y7" s="252" t="s">
        <v>92</v>
      </c>
      <c r="Z7" s="252" t="s">
        <v>93</v>
      </c>
    </row>
    <row r="9" spans="1:26" s="44" customFormat="1">
      <c r="F9" s="62" t="s">
        <v>33</v>
      </c>
      <c r="H9" s="205"/>
      <c r="I9" s="45" t="s">
        <v>163</v>
      </c>
      <c r="J9" s="45"/>
      <c r="K9" s="45"/>
      <c r="L9" s="45"/>
      <c r="M9" s="45"/>
      <c r="N9" s="45"/>
      <c r="O9" s="45"/>
      <c r="P9" s="45"/>
      <c r="Q9" s="45"/>
      <c r="R9" s="45"/>
      <c r="S9" s="45"/>
      <c r="T9" s="45"/>
      <c r="U9" s="45"/>
      <c r="V9" s="45"/>
      <c r="W9" s="45"/>
      <c r="X9" s="45"/>
      <c r="Y9" s="45"/>
      <c r="Z9" s="45"/>
    </row>
    <row r="10" spans="1:26" s="44" customFormat="1">
      <c r="F10" s="50" t="s">
        <v>80</v>
      </c>
      <c r="H10" s="98"/>
      <c r="I10" s="45" t="s">
        <v>164</v>
      </c>
      <c r="J10" s="45"/>
      <c r="L10" s="98"/>
      <c r="M10" s="45" t="s">
        <v>94</v>
      </c>
      <c r="N10" s="45"/>
      <c r="P10" s="107"/>
      <c r="Q10" s="45" t="s">
        <v>86</v>
      </c>
      <c r="R10" s="45"/>
      <c r="T10" s="107"/>
      <c r="U10" s="45" t="s">
        <v>87</v>
      </c>
      <c r="V10" s="45"/>
      <c r="X10" s="107"/>
      <c r="Y10" s="45" t="s">
        <v>91</v>
      </c>
      <c r="Z10" s="45"/>
    </row>
    <row r="11" spans="1:26" s="47" customFormat="1" ht="26">
      <c r="A11" s="46" t="s">
        <v>0</v>
      </c>
      <c r="C11" s="48" t="s">
        <v>1</v>
      </c>
      <c r="D11" s="48"/>
      <c r="E11" s="731" t="s">
        <v>448</v>
      </c>
      <c r="F11" s="731"/>
      <c r="G11" s="732"/>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9" customHeight="1">
      <c r="A12" s="7">
        <v>1</v>
      </c>
      <c r="C12" s="25" t="s">
        <v>6</v>
      </c>
      <c r="D12" s="25"/>
      <c r="E12" s="25"/>
      <c r="F12" s="470"/>
      <c r="G12" s="28"/>
      <c r="H12" s="111"/>
      <c r="I12" s="127"/>
      <c r="J12" s="128"/>
      <c r="K12" s="28"/>
      <c r="L12" s="111"/>
      <c r="M12" s="127"/>
      <c r="N12" s="128"/>
      <c r="O12" s="28"/>
      <c r="P12" s="111"/>
      <c r="Q12" s="127"/>
      <c r="R12" s="128"/>
      <c r="S12" s="28"/>
      <c r="T12" s="111"/>
      <c r="U12" s="127"/>
      <c r="V12" s="128"/>
      <c r="W12" s="28"/>
      <c r="X12" s="111"/>
      <c r="Y12" s="127"/>
      <c r="Z12" s="128"/>
    </row>
    <row r="13" spans="1:26">
      <c r="A13" s="7">
        <f t="shared" ref="A13:A33" si="0">A12+1</f>
        <v>2</v>
      </c>
      <c r="C13" t="s">
        <v>95</v>
      </c>
      <c r="F13" s="80">
        <f>'B-3 Allocation'!P13</f>
        <v>0</v>
      </c>
      <c r="G13" s="18"/>
      <c r="H13" s="109"/>
      <c r="I13" s="90">
        <v>0</v>
      </c>
      <c r="J13" s="80">
        <f>$F13*I13</f>
        <v>0</v>
      </c>
      <c r="K13" s="18"/>
      <c r="L13" s="109"/>
      <c r="M13" s="90">
        <v>0</v>
      </c>
      <c r="N13" s="80">
        <f>$F13*M13</f>
        <v>0</v>
      </c>
      <c r="O13" s="18"/>
      <c r="P13" s="109"/>
      <c r="Q13" s="90">
        <v>0</v>
      </c>
      <c r="R13" s="80">
        <f>$F13*Q13</f>
        <v>0</v>
      </c>
      <c r="S13" s="18"/>
      <c r="T13" s="109"/>
      <c r="U13" s="38">
        <v>0</v>
      </c>
      <c r="V13" s="80">
        <f>$F13*U13</f>
        <v>0</v>
      </c>
      <c r="W13" s="18"/>
      <c r="X13" s="109"/>
      <c r="Y13" s="90">
        <f>IF(IF(F13=0,0,1-#REF!-M13-Q13-U13)&lt;0.0001,0,IF(F13=0,0,1-#REF!-M13-Q13-U13))</f>
        <v>0</v>
      </c>
      <c r="Z13" s="80">
        <f>$F13*Y13</f>
        <v>0</v>
      </c>
    </row>
    <row r="14" spans="1:26">
      <c r="A14" s="7">
        <f t="shared" si="0"/>
        <v>3</v>
      </c>
      <c r="C14" t="s">
        <v>372</v>
      </c>
      <c r="F14" s="80">
        <f>'B-3 Allocation'!P14</f>
        <v>0</v>
      </c>
      <c r="G14" s="18"/>
      <c r="H14" s="109"/>
      <c r="I14" s="90">
        <v>0</v>
      </c>
      <c r="J14" s="80">
        <f>$F14*I14</f>
        <v>0</v>
      </c>
      <c r="K14" s="18"/>
      <c r="L14" s="109"/>
      <c r="M14" s="90">
        <v>0</v>
      </c>
      <c r="N14" s="80">
        <f>$F14*M14</f>
        <v>0</v>
      </c>
      <c r="O14" s="18"/>
      <c r="P14" s="109"/>
      <c r="Q14" s="90">
        <v>0</v>
      </c>
      <c r="R14" s="80">
        <f>$F14*Q14</f>
        <v>0</v>
      </c>
      <c r="S14" s="18"/>
      <c r="T14" s="109"/>
      <c r="U14" s="38">
        <v>0</v>
      </c>
      <c r="V14" s="80">
        <f>$F14*U14</f>
        <v>0</v>
      </c>
      <c r="W14" s="18"/>
      <c r="X14" s="109"/>
      <c r="Y14" s="90">
        <f>IF(IF(F14=0,0,1-#REF!-M14-Q14-U14)&lt;0.0001,0,IF(F14=0,0,1-#REF!-M14-Q14-U14))</f>
        <v>0</v>
      </c>
      <c r="Z14" s="80">
        <f>$F14*Y14</f>
        <v>0</v>
      </c>
    </row>
    <row r="15" spans="1:26">
      <c r="A15" s="7">
        <f t="shared" si="0"/>
        <v>4</v>
      </c>
      <c r="C15" t="s">
        <v>96</v>
      </c>
      <c r="F15" s="80">
        <f>'B-3 Allocation'!P14</f>
        <v>0</v>
      </c>
      <c r="G15" s="18"/>
      <c r="H15" s="109"/>
      <c r="I15" s="90">
        <v>0</v>
      </c>
      <c r="J15" s="80">
        <f>$F15*I15</f>
        <v>0</v>
      </c>
      <c r="K15" s="18"/>
      <c r="L15" s="109"/>
      <c r="M15" s="90">
        <v>0</v>
      </c>
      <c r="N15" s="80">
        <f>$F15*M15</f>
        <v>0</v>
      </c>
      <c r="O15" s="18"/>
      <c r="P15" s="109"/>
      <c r="Q15" s="90">
        <v>0</v>
      </c>
      <c r="R15" s="80">
        <f>$F15*Q15</f>
        <v>0</v>
      </c>
      <c r="S15" s="18"/>
      <c r="T15" s="109"/>
      <c r="U15" s="90">
        <v>0</v>
      </c>
      <c r="V15" s="80">
        <f>$F15*U15</f>
        <v>0</v>
      </c>
      <c r="W15" s="18"/>
      <c r="X15" s="109"/>
      <c r="Y15" s="90">
        <f>IF(IF(F15=0,0,1-#REF!-M15-Q15-U15)&lt;0.0001,0,IF(F15=0,0,1-#REF!-M15-Q15-U15))</f>
        <v>0</v>
      </c>
      <c r="Z15" s="80">
        <f>$F15*Y15</f>
        <v>0</v>
      </c>
    </row>
    <row r="16" spans="1:26" s="9" customFormat="1" ht="19" customHeight="1">
      <c r="A16" s="8">
        <f t="shared" si="0"/>
        <v>5</v>
      </c>
      <c r="C16" s="12" t="s">
        <v>97</v>
      </c>
      <c r="D16" s="12"/>
      <c r="E16" s="12"/>
      <c r="F16" s="131">
        <f>SUM(F13:F15)</f>
        <v>0</v>
      </c>
      <c r="G16" s="19"/>
      <c r="H16" s="110"/>
      <c r="I16" s="70">
        <f>IF($F16=0,0,J16/$F16)</f>
        <v>0</v>
      </c>
      <c r="J16" s="131">
        <f>SUM(J13:J15)</f>
        <v>0</v>
      </c>
      <c r="K16" s="19"/>
      <c r="L16" s="110"/>
      <c r="M16" s="70">
        <f>IF($F16=0,0,N16/$F16)</f>
        <v>0</v>
      </c>
      <c r="N16" s="131">
        <f>SUM(N13:N15)</f>
        <v>0</v>
      </c>
      <c r="O16" s="19"/>
      <c r="P16" s="110"/>
      <c r="Q16" s="70">
        <f>IF($F16=0,0,R16/$F16)</f>
        <v>0</v>
      </c>
      <c r="R16" s="131">
        <f>SUM(R13:R15)</f>
        <v>0</v>
      </c>
      <c r="S16" s="19"/>
      <c r="T16" s="110"/>
      <c r="U16" s="70">
        <f>IF($F16=0,0,V16/$F16)</f>
        <v>0</v>
      </c>
      <c r="V16" s="131">
        <f>SUM(V13:V15)</f>
        <v>0</v>
      </c>
      <c r="W16" s="19"/>
      <c r="X16" s="110"/>
      <c r="Y16" s="70">
        <f>IF($F16=0,0,Z16/$F16)</f>
        <v>0</v>
      </c>
      <c r="Z16" s="131">
        <f>SUM(Z13:Z15)</f>
        <v>0</v>
      </c>
    </row>
    <row r="17" spans="1:26" ht="19" customHeight="1">
      <c r="A17" s="7">
        <f t="shared" si="0"/>
        <v>6</v>
      </c>
      <c r="C17" s="2" t="s">
        <v>11</v>
      </c>
      <c r="D17" s="2"/>
      <c r="F17" s="37"/>
      <c r="G17" s="18"/>
      <c r="H17" s="109"/>
      <c r="I17" s="38"/>
      <c r="J17" s="39"/>
      <c r="K17" s="18"/>
      <c r="L17" s="109"/>
      <c r="M17" s="38"/>
      <c r="N17" s="39"/>
      <c r="O17" s="18"/>
      <c r="P17" s="109"/>
      <c r="Q17" s="38"/>
      <c r="R17" s="39"/>
      <c r="S17" s="18"/>
      <c r="T17" s="109"/>
      <c r="U17" s="38"/>
      <c r="V17" s="39"/>
      <c r="W17" s="18"/>
      <c r="X17" s="109"/>
      <c r="Y17" s="38"/>
      <c r="Z17" s="39"/>
    </row>
    <row r="18" spans="1:26">
      <c r="A18" s="7">
        <f t="shared" si="0"/>
        <v>7</v>
      </c>
      <c r="C18" t="s">
        <v>12</v>
      </c>
      <c r="F18" s="80">
        <f>'B-3 Allocation'!P17</f>
        <v>0</v>
      </c>
      <c r="G18" s="18"/>
      <c r="H18" s="109"/>
      <c r="I18" s="90">
        <v>0</v>
      </c>
      <c r="J18" s="80">
        <f>$F18*I18</f>
        <v>0</v>
      </c>
      <c r="K18" s="18"/>
      <c r="L18" s="109"/>
      <c r="M18" s="90">
        <v>0</v>
      </c>
      <c r="N18" s="80">
        <f>$F18*M18</f>
        <v>0</v>
      </c>
      <c r="O18" s="18"/>
      <c r="P18" s="109"/>
      <c r="Q18" s="90">
        <v>0</v>
      </c>
      <c r="R18" s="80">
        <f>$F18*Q18</f>
        <v>0</v>
      </c>
      <c r="S18" s="18"/>
      <c r="T18" s="109"/>
      <c r="U18" s="90">
        <v>0</v>
      </c>
      <c r="V18" s="80">
        <f>$F18*U18</f>
        <v>0</v>
      </c>
      <c r="W18" s="18"/>
      <c r="X18" s="109"/>
      <c r="Y18" s="90">
        <f>IF(IF(F18=0,0,1-#REF!-M18-Q18-U18)&lt;0.0001,0,IF(F18=0,0,1-#REF!-M18-Q18-U18))</f>
        <v>0</v>
      </c>
      <c r="Z18" s="80">
        <f>$F18*Y18</f>
        <v>0</v>
      </c>
    </row>
    <row r="19" spans="1:26">
      <c r="A19" s="7">
        <f t="shared" si="0"/>
        <v>8</v>
      </c>
      <c r="C19" t="s">
        <v>13</v>
      </c>
      <c r="F19" s="41"/>
      <c r="G19" s="18"/>
      <c r="H19" s="109"/>
      <c r="I19" s="38"/>
      <c r="J19" s="41"/>
      <c r="K19" s="18"/>
      <c r="L19" s="109"/>
      <c r="M19" s="38"/>
      <c r="N19" s="41"/>
      <c r="O19" s="18"/>
      <c r="P19" s="109"/>
      <c r="Q19" s="38"/>
      <c r="R19" s="41"/>
      <c r="S19" s="18"/>
      <c r="T19" s="109"/>
      <c r="U19" s="38"/>
      <c r="V19" s="41"/>
      <c r="W19" s="18"/>
      <c r="X19" s="109"/>
      <c r="Y19" s="38"/>
      <c r="Z19" s="41"/>
    </row>
    <row r="20" spans="1:26">
      <c r="A20" s="7">
        <f t="shared" si="0"/>
        <v>9</v>
      </c>
      <c r="D20" t="s">
        <v>14</v>
      </c>
      <c r="F20" s="80">
        <f>'B-3 Allocation'!P19</f>
        <v>0</v>
      </c>
      <c r="G20" s="18"/>
      <c r="H20" s="109"/>
      <c r="I20" s="90">
        <v>0</v>
      </c>
      <c r="J20" s="80">
        <f>$F20*I20</f>
        <v>0</v>
      </c>
      <c r="K20" s="18"/>
      <c r="L20" s="109"/>
      <c r="M20" s="90">
        <v>0</v>
      </c>
      <c r="N20" s="80">
        <f>$F20*M20</f>
        <v>0</v>
      </c>
      <c r="O20" s="18"/>
      <c r="P20" s="109"/>
      <c r="Q20" s="90">
        <v>0</v>
      </c>
      <c r="R20" s="80">
        <f>$F20*Q20</f>
        <v>0</v>
      </c>
      <c r="S20" s="18"/>
      <c r="T20" s="109"/>
      <c r="U20" s="90">
        <v>0</v>
      </c>
      <c r="V20" s="80">
        <f>$F20*U20</f>
        <v>0</v>
      </c>
      <c r="W20" s="18"/>
      <c r="X20" s="109"/>
      <c r="Y20" s="90">
        <f>IF(IF(F20=0,0,1-#REF!-M20-Q20-U20)&lt;0.0001,0,IF(F20=0,0,1-#REF!-M20-Q20-U20))</f>
        <v>0</v>
      </c>
      <c r="Z20" s="80">
        <f>$F20*Y20</f>
        <v>0</v>
      </c>
    </row>
    <row r="21" spans="1:26">
      <c r="A21" s="7">
        <f t="shared" si="0"/>
        <v>10</v>
      </c>
      <c r="D21" t="s">
        <v>15</v>
      </c>
      <c r="F21" s="80">
        <f>'B-3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0"/>
        <v>11</v>
      </c>
      <c r="D22" t="s">
        <v>16</v>
      </c>
      <c r="F22" s="80">
        <f>'B-3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0"/>
        <v>12</v>
      </c>
      <c r="D23" t="s">
        <v>17</v>
      </c>
      <c r="F23" s="80">
        <f>'B-3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0"/>
        <v>13</v>
      </c>
      <c r="D24" t="s">
        <v>18</v>
      </c>
      <c r="F24" s="80">
        <f>'B-3 Allocation'!P23</f>
        <v>0</v>
      </c>
      <c r="G24" s="18"/>
      <c r="H24" s="109"/>
      <c r="I24" s="90">
        <v>0</v>
      </c>
      <c r="J24" s="80">
        <f>$F24*I24</f>
        <v>0</v>
      </c>
      <c r="K24" s="18"/>
      <c r="L24" s="109"/>
      <c r="M24" s="90">
        <v>0</v>
      </c>
      <c r="N24" s="80">
        <f>$F24*M24</f>
        <v>0</v>
      </c>
      <c r="O24" s="18"/>
      <c r="P24" s="109"/>
      <c r="Q24" s="90">
        <f>Q12</f>
        <v>0</v>
      </c>
      <c r="R24" s="80">
        <f>$F24*Q24</f>
        <v>0</v>
      </c>
      <c r="S24" s="18"/>
      <c r="T24" s="109"/>
      <c r="U24" s="90">
        <f>U12</f>
        <v>0</v>
      </c>
      <c r="V24" s="80">
        <f>$F24*U24</f>
        <v>0</v>
      </c>
      <c r="W24" s="18"/>
      <c r="X24" s="109"/>
      <c r="Y24" s="90">
        <f>IF(IF(F24=0,0,1-#REF!-M24-Q24-U24)&lt;0.0001,0,IF(F24=0,0,1-#REF!-M24-Q24-U24))</f>
        <v>0</v>
      </c>
      <c r="Z24" s="80">
        <f>$F24*Y24</f>
        <v>0</v>
      </c>
    </row>
    <row r="25" spans="1:26">
      <c r="A25" s="7">
        <f t="shared" si="0"/>
        <v>14</v>
      </c>
      <c r="D25" t="s">
        <v>367</v>
      </c>
      <c r="F25" s="80">
        <v>0</v>
      </c>
      <c r="G25" s="18"/>
      <c r="H25" s="109"/>
      <c r="I25" s="90">
        <v>0</v>
      </c>
      <c r="J25" s="80">
        <v>0</v>
      </c>
      <c r="K25" s="18"/>
      <c r="L25" s="109"/>
      <c r="M25" s="90">
        <v>0</v>
      </c>
      <c r="N25" s="80">
        <v>0</v>
      </c>
      <c r="O25" s="18"/>
      <c r="P25" s="109"/>
      <c r="Q25" s="90">
        <v>0</v>
      </c>
      <c r="R25" s="80">
        <v>0</v>
      </c>
      <c r="S25" s="18"/>
      <c r="T25" s="109">
        <v>0</v>
      </c>
      <c r="U25" s="90">
        <v>0</v>
      </c>
      <c r="V25" s="80">
        <v>0</v>
      </c>
      <c r="W25" s="18"/>
      <c r="X25" s="109"/>
      <c r="Y25" s="90">
        <v>0</v>
      </c>
      <c r="Z25" s="80">
        <v>0</v>
      </c>
    </row>
    <row r="26" spans="1:26" s="9" customFormat="1" ht="19" customHeight="1">
      <c r="A26" s="7">
        <f t="shared" si="0"/>
        <v>15</v>
      </c>
      <c r="C26" s="12" t="s">
        <v>19</v>
      </c>
      <c r="D26" s="12"/>
      <c r="E26" s="12"/>
      <c r="F26" s="131">
        <f>SUM(F18:F24)</f>
        <v>0</v>
      </c>
      <c r="G26" s="19"/>
      <c r="H26" s="110"/>
      <c r="I26" s="70">
        <f>IF($F26=0,0,J26/$F26)</f>
        <v>0</v>
      </c>
      <c r="J26" s="131">
        <f>SUM(J18:J24)</f>
        <v>0</v>
      </c>
      <c r="K26" s="19"/>
      <c r="L26" s="110"/>
      <c r="M26" s="70">
        <f>IF($F26=0,0,N26/$F26)</f>
        <v>0</v>
      </c>
      <c r="N26" s="131">
        <f>SUM(N18:N24)</f>
        <v>0</v>
      </c>
      <c r="O26" s="19"/>
      <c r="P26" s="110"/>
      <c r="Q26" s="70">
        <f>IF($F26=0,0,R26/$F26)</f>
        <v>0</v>
      </c>
      <c r="R26" s="131">
        <f>SUM(R18:R24)</f>
        <v>0</v>
      </c>
      <c r="S26" s="19"/>
      <c r="T26" s="110"/>
      <c r="U26" s="70">
        <f>IF($F26=0,0,V26/$F26)</f>
        <v>0</v>
      </c>
      <c r="V26" s="131">
        <f>SUM(V18:V24)</f>
        <v>0</v>
      </c>
      <c r="W26" s="19"/>
      <c r="X26" s="110"/>
      <c r="Y26" s="70">
        <f>IF($F26=0,0,Z26/$F26)</f>
        <v>0</v>
      </c>
      <c r="Z26" s="131">
        <f>SUM(Z18:Z24)</f>
        <v>0</v>
      </c>
    </row>
    <row r="27" spans="1:26" s="10" customFormat="1" ht="25.5" customHeight="1">
      <c r="A27" s="7">
        <f t="shared" si="0"/>
        <v>16</v>
      </c>
      <c r="C27" s="11" t="s">
        <v>9</v>
      </c>
      <c r="D27" s="11"/>
      <c r="E27" s="11"/>
      <c r="F27" s="81">
        <f>'B-3 Allocation'!P28</f>
        <v>104.4</v>
      </c>
      <c r="G27" s="17"/>
      <c r="H27" s="108"/>
      <c r="I27" s="87">
        <v>0</v>
      </c>
      <c r="J27" s="82">
        <f>$F27*I27</f>
        <v>0</v>
      </c>
      <c r="K27" s="17"/>
      <c r="L27" s="108"/>
      <c r="M27" s="87">
        <v>0</v>
      </c>
      <c r="N27" s="82">
        <f>$F27*M27</f>
        <v>0</v>
      </c>
      <c r="O27" s="17"/>
      <c r="P27" s="108"/>
      <c r="Q27" s="87">
        <v>0</v>
      </c>
      <c r="R27" s="82">
        <f>$F27*Q27</f>
        <v>0</v>
      </c>
      <c r="S27" s="17"/>
      <c r="T27" s="108"/>
      <c r="U27" s="87">
        <v>1</v>
      </c>
      <c r="V27" s="82">
        <f>$F27*U27</f>
        <v>104.4</v>
      </c>
      <c r="W27" s="17"/>
      <c r="X27" s="108"/>
      <c r="Y27" s="87">
        <f>IF(IF(F27=0,0,1-M27-Q27-U27)&lt;0.0001,0,IF(F27=0,0,1-M27-Q27-U27))</f>
        <v>0</v>
      </c>
      <c r="Z27" s="82">
        <f>$F27*Y27</f>
        <v>0</v>
      </c>
    </row>
    <row r="28" spans="1:26" s="10" customFormat="1" ht="25.5" customHeight="1">
      <c r="A28" s="7">
        <f t="shared" si="0"/>
        <v>17</v>
      </c>
      <c r="C28" s="11" t="s">
        <v>8</v>
      </c>
      <c r="D28" s="11"/>
      <c r="E28" s="11"/>
      <c r="F28" s="158">
        <f>'B-3 Allocation'!P29</f>
        <v>0</v>
      </c>
      <c r="G28" s="17"/>
      <c r="H28" s="108"/>
      <c r="I28" s="87">
        <f>I16</f>
        <v>0</v>
      </c>
      <c r="J28" s="158">
        <f>$F28*I28</f>
        <v>0</v>
      </c>
      <c r="K28" s="17"/>
      <c r="L28" s="108"/>
      <c r="M28" s="87">
        <f>M16</f>
        <v>0</v>
      </c>
      <c r="N28" s="158">
        <f>$F28*M28</f>
        <v>0</v>
      </c>
      <c r="O28" s="17"/>
      <c r="P28" s="108"/>
      <c r="Q28" s="87">
        <f>Q16</f>
        <v>0</v>
      </c>
      <c r="R28" s="158">
        <f>$F28*Q28</f>
        <v>0</v>
      </c>
      <c r="S28" s="17"/>
      <c r="T28" s="108"/>
      <c r="U28" s="87">
        <f>U16</f>
        <v>0</v>
      </c>
      <c r="V28" s="158">
        <f>$F28*U28</f>
        <v>0</v>
      </c>
      <c r="W28" s="17"/>
      <c r="X28" s="108"/>
      <c r="Y28" s="87">
        <f>IF(IF(F28=0,0,1-#REF!-M28-Q28-U28)&lt;0.0001,0,IF(F28=0,0,1-#REF!-M28-Q28-U28))</f>
        <v>0</v>
      </c>
      <c r="Z28" s="158">
        <f>$F28*Y28</f>
        <v>0</v>
      </c>
    </row>
    <row r="29" spans="1:26" s="10" customFormat="1" ht="25.5" customHeight="1">
      <c r="A29" s="7">
        <f t="shared" si="0"/>
        <v>18</v>
      </c>
      <c r="C29" s="11" t="s">
        <v>7</v>
      </c>
      <c r="D29" s="11"/>
      <c r="E29" s="11"/>
      <c r="F29" s="158">
        <f>'B-3 Allocation'!P30</f>
        <v>0</v>
      </c>
      <c r="G29" s="17"/>
      <c r="H29" s="108"/>
      <c r="I29" s="87">
        <f>I16</f>
        <v>0</v>
      </c>
      <c r="J29" s="158">
        <f>$F29*I29</f>
        <v>0</v>
      </c>
      <c r="K29" s="17"/>
      <c r="L29" s="108"/>
      <c r="M29" s="87">
        <f>M16</f>
        <v>0</v>
      </c>
      <c r="N29" s="158">
        <f>$F29*M29</f>
        <v>0</v>
      </c>
      <c r="O29" s="17"/>
      <c r="P29" s="108"/>
      <c r="Q29" s="87">
        <f>Q16</f>
        <v>0</v>
      </c>
      <c r="R29" s="158">
        <f>$F29*Q29</f>
        <v>0</v>
      </c>
      <c r="S29" s="17"/>
      <c r="T29" s="108"/>
      <c r="U29" s="87">
        <f>U16</f>
        <v>0</v>
      </c>
      <c r="V29" s="158">
        <f>$F29*U29</f>
        <v>0</v>
      </c>
      <c r="W29" s="17"/>
      <c r="X29" s="108"/>
      <c r="Y29" s="87">
        <f>IF(IF(F29=0,0,1-#REF!-M29-Q29-U29)&lt;0.0001,0,IF(F29=0,0,1-#REF!-M29-Q29-U29))</f>
        <v>0</v>
      </c>
      <c r="Z29" s="158">
        <f>$F29*Y29</f>
        <v>0</v>
      </c>
    </row>
    <row r="30" spans="1:26" s="24" customFormat="1" ht="19" customHeight="1">
      <c r="A30" s="7">
        <f t="shared" si="0"/>
        <v>19</v>
      </c>
      <c r="C30" s="25" t="s">
        <v>10</v>
      </c>
      <c r="D30" s="25"/>
      <c r="E30" s="25"/>
      <c r="F30" s="26">
        <f>SUM(F16,F26:F29)</f>
        <v>104.4</v>
      </c>
      <c r="G30" s="28"/>
      <c r="H30" s="111"/>
      <c r="I30" s="88">
        <f>J30/$F30</f>
        <v>0</v>
      </c>
      <c r="J30" s="159">
        <f>SUM(J16,J26:J29)</f>
        <v>0</v>
      </c>
      <c r="K30" s="28"/>
      <c r="L30" s="111"/>
      <c r="M30" s="88">
        <f>N30/$F30</f>
        <v>0</v>
      </c>
      <c r="N30" s="159">
        <f>SUM(N16,N26:N29)</f>
        <v>0</v>
      </c>
      <c r="O30" s="28"/>
      <c r="P30" s="111"/>
      <c r="Q30" s="88">
        <f>R30/$F30</f>
        <v>0</v>
      </c>
      <c r="R30" s="159">
        <f>SUM(R16,R26:R29)</f>
        <v>0</v>
      </c>
      <c r="S30" s="28"/>
      <c r="T30" s="111"/>
      <c r="U30" s="88">
        <f>V30/$F30</f>
        <v>1</v>
      </c>
      <c r="V30" s="32">
        <f>SUM(V16,V26:V29)</f>
        <v>104.4</v>
      </c>
      <c r="W30" s="28"/>
      <c r="X30" s="111"/>
      <c r="Y30" s="88">
        <f>Z30/$F30</f>
        <v>0</v>
      </c>
      <c r="Z30" s="161">
        <f>SUM(Z16,Z26:Z29)</f>
        <v>0</v>
      </c>
    </row>
    <row r="31" spans="1:26" s="22" customFormat="1">
      <c r="A31" s="7">
        <f t="shared" si="0"/>
        <v>20</v>
      </c>
      <c r="C31" s="22" t="s">
        <v>39</v>
      </c>
      <c r="F31" s="40">
        <f>'B-3 Allocation'!P32</f>
        <v>-10.700420376766946</v>
      </c>
      <c r="G31" s="23"/>
      <c r="H31" s="112"/>
      <c r="I31" s="78">
        <f>I15</f>
        <v>0</v>
      </c>
      <c r="J31" s="80">
        <f>$F31*I31</f>
        <v>0</v>
      </c>
      <c r="K31" s="23"/>
      <c r="L31" s="112"/>
      <c r="M31" s="78">
        <f>M15</f>
        <v>0</v>
      </c>
      <c r="N31" s="80">
        <f>$F31*M31</f>
        <v>0</v>
      </c>
      <c r="O31" s="23"/>
      <c r="P31" s="109"/>
      <c r="Q31" s="90">
        <f>Q15</f>
        <v>0</v>
      </c>
      <c r="R31" s="80">
        <f>$F31*Q31</f>
        <v>0</v>
      </c>
      <c r="S31" s="18"/>
      <c r="T31" s="109"/>
      <c r="U31" s="90">
        <v>1</v>
      </c>
      <c r="V31" s="80">
        <f>$F31*U31</f>
        <v>-10.700420376766946</v>
      </c>
      <c r="W31" s="18"/>
      <c r="X31" s="109"/>
      <c r="Y31" s="90">
        <f>IF(IF(F31=0,0,1-M31-Q31-U31)&lt;0.0001,0,IF(F31=0,0,1-M31-Q31-U31))</f>
        <v>0</v>
      </c>
      <c r="Z31" s="126">
        <f>$F31*Y31</f>
        <v>0</v>
      </c>
    </row>
    <row r="32" spans="1:26" s="22" customFormat="1">
      <c r="A32" s="7">
        <f t="shared" si="0"/>
        <v>21</v>
      </c>
      <c r="C32" s="22" t="s">
        <v>54</v>
      </c>
      <c r="F32" s="545">
        <f>'B-3 Allocation'!P33</f>
        <v>0</v>
      </c>
      <c r="G32" s="23"/>
      <c r="H32" s="112"/>
      <c r="I32" s="78">
        <v>0</v>
      </c>
      <c r="J32" s="80">
        <f>$F32*I32</f>
        <v>0</v>
      </c>
      <c r="K32" s="23"/>
      <c r="L32" s="112"/>
      <c r="M32" s="78">
        <v>1</v>
      </c>
      <c r="N32" s="80">
        <f>$F32*M32</f>
        <v>0</v>
      </c>
      <c r="O32" s="23"/>
      <c r="P32" s="109"/>
      <c r="Q32" s="90">
        <f>Q16</f>
        <v>0</v>
      </c>
      <c r="R32" s="80">
        <f>$F32*Q32</f>
        <v>0</v>
      </c>
      <c r="S32" s="18"/>
      <c r="T32" s="109"/>
      <c r="U32" s="90">
        <f>U16</f>
        <v>0</v>
      </c>
      <c r="V32" s="80">
        <f>$F32*U32</f>
        <v>0</v>
      </c>
      <c r="W32" s="18"/>
      <c r="X32" s="109"/>
      <c r="Y32" s="90">
        <f>IF(IF(F32=0,0,1-M32-Q32-U32)&lt;0.0001,0,IF(F32=0,0,1-M32-Q32-U32))</f>
        <v>0</v>
      </c>
      <c r="Z32" s="126">
        <f>$F32*Y32</f>
        <v>0</v>
      </c>
    </row>
    <row r="33" spans="1:26" s="9" customFormat="1" ht="12.75" customHeight="1">
      <c r="A33" s="7">
        <f t="shared" si="0"/>
        <v>22</v>
      </c>
      <c r="C33" s="12" t="s">
        <v>72</v>
      </c>
      <c r="D33" s="12"/>
      <c r="E33" s="12"/>
      <c r="F33" s="29">
        <f>SUM(F30:F32)</f>
        <v>93.699579623233063</v>
      </c>
      <c r="G33" s="19"/>
      <c r="H33" s="110"/>
      <c r="I33" s="89">
        <f>J33/$F33</f>
        <v>0</v>
      </c>
      <c r="J33" s="225">
        <f>SUM(J30:J32)</f>
        <v>0</v>
      </c>
      <c r="K33" s="19"/>
      <c r="L33" s="110"/>
      <c r="M33" s="89">
        <f>N33/$F33</f>
        <v>0</v>
      </c>
      <c r="N33" s="33">
        <f>SUM(N30:N32)</f>
        <v>0</v>
      </c>
      <c r="O33" s="19"/>
      <c r="P33" s="110"/>
      <c r="Q33" s="89">
        <f>R33/$F33</f>
        <v>0</v>
      </c>
      <c r="R33" s="160">
        <f>SUM(R30:R32)</f>
        <v>0</v>
      </c>
      <c r="S33" s="19"/>
      <c r="T33" s="110"/>
      <c r="U33" s="89">
        <f>V33/$F33</f>
        <v>1</v>
      </c>
      <c r="V33" s="33">
        <f>SUM(V30:V32)</f>
        <v>93.699579623233063</v>
      </c>
      <c r="W33" s="19"/>
      <c r="X33" s="110"/>
      <c r="Y33" s="89">
        <f>Z33/$F33</f>
        <v>0</v>
      </c>
      <c r="Z33" s="162">
        <f>SUM(Z30:Z32)</f>
        <v>0</v>
      </c>
    </row>
  </sheetData>
  <mergeCells count="1">
    <mergeCell ref="E11:G11"/>
  </mergeCells>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election activeCell="A5" sqref="A5"/>
    </sheetView>
  </sheetViews>
  <sheetFormatPr defaultRowHeight="13"/>
  <cols>
    <col min="1" max="1" width="4.77734375" customWidth="1"/>
    <col min="2" max="2" width="1.77734375" customWidth="1"/>
    <col min="3" max="3" width="2.77734375" customWidth="1"/>
    <col min="4" max="4" width="24.77734375" customWidth="1"/>
    <col min="5" max="5" width="1.77734375" customWidth="1"/>
    <col min="6" max="6" width="9.33203125" customWidth="1"/>
    <col min="7" max="8" width="1.77734375" customWidth="1"/>
    <col min="9" max="11" width="9.33203125" customWidth="1"/>
    <col min="12" max="13" width="1.77734375" customWidth="1"/>
    <col min="14" max="14" width="11.109375" customWidth="1"/>
    <col min="15" max="15" width="12.77734375" customWidth="1"/>
    <col min="16" max="17" width="1.7773437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B-10</v>
      </c>
    </row>
    <row r="2" spans="1:26" s="3" customFormat="1">
      <c r="A2" s="5" t="str">
        <f>Application</f>
        <v>2021 ISO Tariff Update Application</v>
      </c>
      <c r="B2" s="5"/>
      <c r="C2" s="5"/>
      <c r="D2" s="5"/>
      <c r="E2" s="5"/>
      <c r="F2" s="5"/>
      <c r="G2" s="5"/>
      <c r="H2" s="5"/>
      <c r="I2" s="5"/>
      <c r="J2" s="5"/>
      <c r="K2" s="5"/>
      <c r="L2" s="5"/>
      <c r="M2" s="5"/>
      <c r="N2" s="5"/>
      <c r="O2" s="5"/>
      <c r="P2" s="5"/>
      <c r="Q2" s="5"/>
      <c r="R2" s="5"/>
      <c r="U2" s="4" t="str">
        <f>TableDate</f>
        <v>November 6, 2020</v>
      </c>
    </row>
    <row r="4" spans="1:26">
      <c r="A4" s="347" t="str">
        <f>TableGroup1</f>
        <v>Appendix B — 2021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52" customFormat="1">
      <c r="I7" s="252" t="s">
        <v>2</v>
      </c>
      <c r="J7" s="252" t="s">
        <v>3</v>
      </c>
      <c r="K7" s="252" t="s">
        <v>4</v>
      </c>
      <c r="N7" s="252" t="s">
        <v>5</v>
      </c>
      <c r="O7" s="252" t="s">
        <v>25</v>
      </c>
      <c r="R7" s="252" t="s">
        <v>26</v>
      </c>
      <c r="S7" s="252" t="s">
        <v>27</v>
      </c>
      <c r="T7" s="252" t="s">
        <v>50</v>
      </c>
      <c r="U7" s="252" t="s">
        <v>51</v>
      </c>
    </row>
    <row r="8" spans="1:26" s="1" customFormat="1"/>
    <row r="9" spans="1:26" s="62" customFormat="1">
      <c r="A9" s="62" t="s">
        <v>57</v>
      </c>
      <c r="F9" s="468" t="s">
        <v>449</v>
      </c>
      <c r="H9" s="153"/>
      <c r="I9" s="45" t="s">
        <v>147</v>
      </c>
      <c r="J9" s="45"/>
      <c r="K9" s="45"/>
      <c r="L9" s="154"/>
      <c r="M9" s="153"/>
      <c r="N9" s="45" t="s">
        <v>108</v>
      </c>
      <c r="O9" s="45"/>
      <c r="P9" s="154"/>
      <c r="Q9" s="153"/>
      <c r="R9" s="45" t="s">
        <v>109</v>
      </c>
      <c r="S9" s="45"/>
      <c r="T9" s="45"/>
      <c r="U9" s="45"/>
    </row>
    <row r="10" spans="1:26" s="47" customFormat="1">
      <c r="A10" s="46"/>
      <c r="C10" s="48" t="s">
        <v>1</v>
      </c>
      <c r="D10" s="48"/>
      <c r="F10" s="46" t="s">
        <v>120</v>
      </c>
      <c r="H10" s="99"/>
      <c r="I10" s="46" t="s">
        <v>90</v>
      </c>
      <c r="J10" s="174" t="s">
        <v>125</v>
      </c>
      <c r="K10" s="151" t="s">
        <v>121</v>
      </c>
      <c r="M10" s="99"/>
      <c r="N10" s="49" t="s">
        <v>113</v>
      </c>
      <c r="O10" s="49" t="s">
        <v>56</v>
      </c>
      <c r="Q10" s="99"/>
      <c r="R10" s="46" t="s">
        <v>90</v>
      </c>
      <c r="S10" s="46" t="s">
        <v>125</v>
      </c>
      <c r="T10" s="46" t="s">
        <v>121</v>
      </c>
      <c r="U10" s="46" t="s">
        <v>56</v>
      </c>
    </row>
    <row r="11" spans="1:26" ht="19" customHeight="1">
      <c r="A11" s="7">
        <v>1</v>
      </c>
      <c r="C11" s="2" t="s">
        <v>149</v>
      </c>
      <c r="D11" s="2"/>
      <c r="E11" s="18"/>
      <c r="F11" s="71"/>
      <c r="G11" s="18"/>
      <c r="H11" s="109"/>
      <c r="I11" s="39"/>
      <c r="J11" s="39"/>
      <c r="K11" s="39"/>
      <c r="L11" s="18"/>
      <c r="M11" s="109"/>
      <c r="N11" s="39"/>
      <c r="O11" s="155"/>
      <c r="P11" s="18"/>
      <c r="Q11" s="109"/>
      <c r="R11" s="39"/>
      <c r="S11" s="39"/>
      <c r="T11" s="39"/>
      <c r="U11" s="155"/>
    </row>
    <row r="12" spans="1:26" s="35" customFormat="1" ht="19" customHeight="1">
      <c r="A12" s="34">
        <f>A11+1</f>
        <v>2</v>
      </c>
      <c r="C12" s="9" t="s">
        <v>124</v>
      </c>
      <c r="E12" s="141"/>
      <c r="F12" s="469" t="s">
        <v>402</v>
      </c>
      <c r="G12" s="141"/>
      <c r="H12" s="142"/>
      <c r="I12" s="164">
        <f>'B-9 STS Classification'!V30</f>
        <v>104.4</v>
      </c>
      <c r="J12" s="143">
        <f>'B-9 STS Classification'!V31</f>
        <v>-10.700420376766946</v>
      </c>
      <c r="K12" s="164">
        <f>SUM(I12:J12)</f>
        <v>93.699579623233063</v>
      </c>
      <c r="L12" s="141"/>
      <c r="M12" s="142"/>
      <c r="N12" s="629">
        <f>'B-12 Determinants'!J18</f>
        <v>58398.900030000004</v>
      </c>
      <c r="O12" s="145" t="s">
        <v>29</v>
      </c>
      <c r="P12" s="141"/>
      <c r="Q12" s="142"/>
      <c r="R12" s="150">
        <f>ROUND(I12*1000/($N12*'B-12 Determinants'!$J20),4)</f>
        <v>3.3099999999999997E-2</v>
      </c>
      <c r="S12" s="150">
        <f>ROUND(J12*1000/($N12*'B-12 Determinants'!$J20),4)</f>
        <v>-3.3999999999999998E-3</v>
      </c>
      <c r="T12" s="150">
        <f>ROUND(K12*1000/($N12*'B-12 Determinants'!$J20),4)</f>
        <v>2.98E-2</v>
      </c>
      <c r="U12" s="163" t="s">
        <v>148</v>
      </c>
      <c r="V12" s="150"/>
      <c r="W12" s="260"/>
    </row>
    <row r="13" spans="1:26" ht="19" customHeight="1">
      <c r="A13" s="7">
        <f>A12+1</f>
        <v>3</v>
      </c>
      <c r="C13" s="2" t="s">
        <v>126</v>
      </c>
      <c r="D13" s="2"/>
      <c r="E13" s="18"/>
      <c r="F13" s="75"/>
      <c r="G13" s="18"/>
      <c r="H13" s="109"/>
      <c r="I13" s="80"/>
      <c r="J13" s="80"/>
      <c r="K13" s="80"/>
      <c r="L13" s="18"/>
      <c r="M13" s="109"/>
      <c r="N13" s="39"/>
      <c r="O13" s="155"/>
      <c r="P13" s="18"/>
      <c r="Q13" s="109"/>
      <c r="R13" s="39"/>
      <c r="S13" s="39"/>
      <c r="T13" s="39"/>
      <c r="U13" s="155"/>
      <c r="W13" s="260"/>
      <c r="X13" s="175"/>
      <c r="Y13" s="175"/>
      <c r="Z13" s="175"/>
    </row>
    <row r="14" spans="1:26" s="35" customFormat="1" ht="19" customHeight="1">
      <c r="A14" s="34">
        <f>A13+1</f>
        <v>4</v>
      </c>
      <c r="C14" s="9" t="s">
        <v>54</v>
      </c>
      <c r="E14" s="141"/>
      <c r="F14" s="469" t="s">
        <v>400</v>
      </c>
      <c r="G14" s="141"/>
      <c r="H14" s="142"/>
      <c r="I14" s="688">
        <v>0</v>
      </c>
      <c r="J14" s="143">
        <f>'B-9 STS Classification'!N32</f>
        <v>0</v>
      </c>
      <c r="K14" s="143">
        <f>SUM(I14:J14)</f>
        <v>0</v>
      </c>
      <c r="L14" s="141"/>
      <c r="M14" s="142"/>
      <c r="N14" s="144">
        <f>'B-12 Determinants'!J21</f>
        <v>58262.400000000001</v>
      </c>
      <c r="O14" s="145" t="str">
        <f>'B-12 Determinants'!G13</f>
        <v>MW-months</v>
      </c>
      <c r="P14" s="141"/>
      <c r="Q14" s="142"/>
      <c r="R14" s="136">
        <f>ROUND(I14*1000000/$N14,0)</f>
        <v>0</v>
      </c>
      <c r="S14" s="705">
        <v>0</v>
      </c>
      <c r="T14" s="136">
        <f>SUM(R14:S14)</f>
        <v>0</v>
      </c>
      <c r="U14" s="137" t="s">
        <v>107</v>
      </c>
      <c r="W14" s="260"/>
      <c r="Y14" s="706"/>
      <c r="Z14" s="706"/>
    </row>
    <row r="15" spans="1:26" s="24" customFormat="1" ht="19.399999999999999" customHeight="1">
      <c r="A15" s="7">
        <f>A14+1</f>
        <v>5</v>
      </c>
      <c r="C15" s="25" t="s">
        <v>127</v>
      </c>
      <c r="D15" s="25"/>
      <c r="E15" s="114"/>
      <c r="F15" s="115"/>
      <c r="G15" s="114"/>
      <c r="H15" s="117"/>
      <c r="I15" s="32">
        <f>SUM(I11:I14)</f>
        <v>104.4</v>
      </c>
      <c r="J15" s="32">
        <f>SUM(J11:J14)</f>
        <v>-10.700420376766946</v>
      </c>
      <c r="K15" s="32">
        <f>SUM(K11:K14)</f>
        <v>93.699579623233063</v>
      </c>
      <c r="L15" s="28"/>
      <c r="M15" s="117"/>
      <c r="N15" s="106"/>
      <c r="O15" s="157"/>
      <c r="P15" s="114"/>
      <c r="Q15" s="117"/>
      <c r="R15" s="106"/>
      <c r="S15" s="106"/>
      <c r="T15" s="106"/>
      <c r="U15" s="157"/>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137</v>
      </c>
      <c r="C17" t="str">
        <f>"1. The 2021 ISO Tariff pool price is the 2021 BRP forecast pool price for 2021, "&amp;DOLLAR('B-12 Determinants'!$J$20,2)&amp;"/MWh"</f>
        <v>1. The 2021 ISO Tariff pool price is the 2021 BRP forecast pool price for 2021, $53.93/MWh</v>
      </c>
      <c r="F17" s="56"/>
      <c r="I17" s="56"/>
      <c r="J17" s="56"/>
      <c r="K17" s="56"/>
      <c r="N17" s="56"/>
      <c r="O17" s="56"/>
      <c r="U17" s="56"/>
    </row>
    <row r="18" spans="1:21">
      <c r="C18" t="s">
        <v>359</v>
      </c>
    </row>
    <row r="19" spans="1:21">
      <c r="C19" t="s">
        <v>360</v>
      </c>
    </row>
  </sheetData>
  <phoneticPr fontId="14"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1"/>
  <sheetViews>
    <sheetView showGridLines="0" zoomScaleNormal="100" workbookViewId="0">
      <selection activeCell="A5" sqref="A5"/>
    </sheetView>
  </sheetViews>
  <sheetFormatPr defaultRowHeight="13"/>
  <cols>
    <col min="1" max="1" width="4.6640625" customWidth="1"/>
    <col min="2" max="2" width="1.6640625" customWidth="1"/>
    <col min="3" max="3" width="2.6640625" customWidth="1"/>
    <col min="4" max="4" width="22.77734375" customWidth="1"/>
    <col min="5" max="5" width="3.109375" customWidth="1"/>
    <col min="6" max="6" width="11.6640625" customWidth="1"/>
    <col min="7" max="7" width="10.33203125" customWidth="1"/>
    <col min="8" max="8" width="11.109375" customWidth="1"/>
    <col min="9" max="9" width="3.109375" customWidth="1"/>
    <col min="10" max="12" width="8.6640625" customWidth="1"/>
    <col min="13" max="13" width="3.109375" customWidth="1"/>
    <col min="14" max="16" width="8.6640625" customWidth="1"/>
    <col min="17" max="17" width="3.109375" customWidth="1"/>
    <col min="18" max="20" width="8.6640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B-11</v>
      </c>
    </row>
    <row r="2" spans="1:20" s="3" customFormat="1">
      <c r="A2" s="5" t="str">
        <f>Application</f>
        <v>2021 ISO Tariff Update Application</v>
      </c>
      <c r="B2" s="5"/>
      <c r="C2" s="5"/>
      <c r="D2" s="5"/>
      <c r="E2" s="5"/>
      <c r="F2" s="5"/>
      <c r="G2" s="5"/>
      <c r="H2" s="5"/>
      <c r="I2" s="5"/>
      <c r="J2" s="5"/>
      <c r="K2" s="5"/>
      <c r="L2" s="5"/>
      <c r="M2" s="5"/>
      <c r="N2" s="5"/>
      <c r="O2" s="5"/>
      <c r="P2" s="5"/>
      <c r="Q2" s="5"/>
      <c r="T2" s="4" t="str">
        <f>TableDate</f>
        <v>November 6, 2020</v>
      </c>
    </row>
    <row r="4" spans="1:20">
      <c r="A4" s="347" t="str">
        <f>TableGroup1</f>
        <v>Appendix B — 2021 Rate Calculations</v>
      </c>
      <c r="B4" s="6"/>
      <c r="C4" s="6"/>
      <c r="D4" s="6"/>
      <c r="E4" s="6"/>
      <c r="F4" s="6"/>
      <c r="G4" s="6"/>
      <c r="H4" s="6"/>
      <c r="I4" s="6"/>
      <c r="J4" s="6"/>
      <c r="K4" s="6"/>
      <c r="L4" s="6"/>
      <c r="M4" s="6"/>
      <c r="N4" s="6"/>
      <c r="O4" s="6"/>
      <c r="P4" s="6"/>
      <c r="Q4" s="6"/>
      <c r="R4" s="6"/>
      <c r="S4" s="6"/>
      <c r="T4" s="6"/>
    </row>
    <row r="5" spans="1:20">
      <c r="A5" s="6" t="s">
        <v>332</v>
      </c>
      <c r="B5" s="6"/>
      <c r="C5" s="6"/>
      <c r="D5" s="6"/>
      <c r="E5" s="6"/>
      <c r="F5" s="6"/>
      <c r="G5" s="6"/>
      <c r="H5" s="6"/>
      <c r="I5" s="6"/>
      <c r="J5" s="6"/>
      <c r="K5" s="6"/>
      <c r="L5" s="6"/>
      <c r="M5" s="6"/>
      <c r="N5" s="6"/>
      <c r="O5" s="6"/>
      <c r="P5" s="6"/>
      <c r="Q5" s="6"/>
      <c r="R5" s="6"/>
      <c r="S5" s="6"/>
      <c r="T5" s="6"/>
    </row>
    <row r="6" spans="1:20">
      <c r="I6" s="91"/>
    </row>
    <row r="7" spans="1:20" s="252" customFormat="1">
      <c r="F7" s="252" t="s">
        <v>2</v>
      </c>
      <c r="G7" s="252" t="s">
        <v>3</v>
      </c>
      <c r="H7" s="252" t="s">
        <v>4</v>
      </c>
      <c r="J7" s="252" t="s">
        <v>5</v>
      </c>
      <c r="K7" s="252" t="s">
        <v>25</v>
      </c>
      <c r="L7" s="252" t="s">
        <v>26</v>
      </c>
      <c r="N7" s="252" t="s">
        <v>27</v>
      </c>
      <c r="O7" s="252" t="s">
        <v>50</v>
      </c>
      <c r="P7" s="252" t="s">
        <v>51</v>
      </c>
      <c r="R7" s="252" t="s">
        <v>92</v>
      </c>
      <c r="S7" s="252" t="s">
        <v>93</v>
      </c>
      <c r="T7" s="252" t="s">
        <v>333</v>
      </c>
    </row>
    <row r="9" spans="1:20" s="44" customFormat="1">
      <c r="A9" s="62" t="s">
        <v>57</v>
      </c>
      <c r="F9"/>
      <c r="G9"/>
      <c r="H9"/>
      <c r="I9"/>
      <c r="J9"/>
      <c r="K9"/>
      <c r="L9"/>
      <c r="M9"/>
      <c r="N9" s="235"/>
      <c r="O9" s="235"/>
      <c r="P9" s="235"/>
      <c r="Q9" s="235"/>
      <c r="R9" s="235"/>
      <c r="S9" s="235"/>
      <c r="T9" s="235"/>
    </row>
    <row r="10" spans="1:20" s="47" customFormat="1">
      <c r="A10" s="46"/>
      <c r="C10" s="48" t="s">
        <v>161</v>
      </c>
      <c r="D10" s="48"/>
      <c r="F10" s="46" t="s">
        <v>155</v>
      </c>
      <c r="G10" s="46" t="s">
        <v>105</v>
      </c>
      <c r="H10" s="46" t="s">
        <v>121</v>
      </c>
      <c r="J10" s="46" t="s">
        <v>155</v>
      </c>
      <c r="K10" s="46" t="s">
        <v>105</v>
      </c>
      <c r="L10" s="46" t="s">
        <v>121</v>
      </c>
      <c r="N10" s="46" t="s">
        <v>155</v>
      </c>
      <c r="O10" s="46" t="s">
        <v>105</v>
      </c>
      <c r="P10" s="46" t="s">
        <v>121</v>
      </c>
      <c r="Q10" s="174"/>
      <c r="R10" s="46" t="s">
        <v>155</v>
      </c>
      <c r="S10" s="46" t="s">
        <v>105</v>
      </c>
      <c r="T10" s="46" t="s">
        <v>121</v>
      </c>
    </row>
    <row r="11" spans="1:20" s="167" customFormat="1" ht="27.65" customHeight="1">
      <c r="A11" s="184">
        <v>1</v>
      </c>
      <c r="C11" s="25" t="s">
        <v>180</v>
      </c>
      <c r="D11" s="25"/>
      <c r="F11" s="364"/>
      <c r="G11" s="183" t="s">
        <v>475</v>
      </c>
      <c r="H11" s="364"/>
      <c r="J11" s="733" t="s">
        <v>476</v>
      </c>
      <c r="K11" s="733"/>
      <c r="L11" s="733"/>
      <c r="N11" s="734"/>
      <c r="O11" s="734"/>
      <c r="P11" s="734"/>
      <c r="Q11" s="399"/>
      <c r="R11" s="734"/>
      <c r="S11" s="734"/>
      <c r="T11" s="734"/>
    </row>
    <row r="12" spans="1:20" s="58" customFormat="1">
      <c r="A12" s="57">
        <f t="shared" ref="A12:A34" si="0">A11+1</f>
        <v>2</v>
      </c>
      <c r="C12" s="58" t="s">
        <v>387</v>
      </c>
      <c r="F12" s="476">
        <f>'B-8 DTS Rate'!K13</f>
        <v>1009.8764023620183</v>
      </c>
      <c r="G12" s="476">
        <f>'B-8 DTS Rate'!K14</f>
        <v>70.825873184877679</v>
      </c>
      <c r="H12" s="476">
        <f t="shared" ref="H12:H17" si="1">SUM(F12:G12)</f>
        <v>1080.7022755468961</v>
      </c>
      <c r="J12" s="188">
        <f>F12*1000/'B-12 Determinants'!F18</f>
        <v>17.292729860378131</v>
      </c>
      <c r="K12" s="189">
        <f>G12*1000/'B-12 Determinants'!F18</f>
        <v>1.2127946442226452</v>
      </c>
      <c r="L12" s="188">
        <f t="shared" ref="L12:L17" si="2">SUM(J12:K12)</f>
        <v>18.505524504600775</v>
      </c>
      <c r="N12" s="188"/>
      <c r="O12" s="189"/>
      <c r="P12" s="188"/>
      <c r="R12" s="377"/>
      <c r="S12" s="378"/>
      <c r="T12" s="378"/>
    </row>
    <row r="13" spans="1:20" s="58" customFormat="1">
      <c r="A13" s="57">
        <f t="shared" si="0"/>
        <v>3</v>
      </c>
      <c r="C13" s="58" t="s">
        <v>388</v>
      </c>
      <c r="F13" s="238">
        <f>'B-8 DTS Rate'!K16</f>
        <v>460.22196720505383</v>
      </c>
      <c r="G13" s="238">
        <f>'B-8 DTS Rate'!K17</f>
        <v>53.742094730307272</v>
      </c>
      <c r="H13" s="239">
        <f t="shared" si="1"/>
        <v>513.96406193536109</v>
      </c>
      <c r="J13" s="238">
        <f>F13*1000/'B-12 Determinants'!F18</f>
        <v>7.8806615701431699</v>
      </c>
      <c r="K13" s="238">
        <f>G13*1000/'B-12 Determinants'!F18</f>
        <v>0.92025868128850907</v>
      </c>
      <c r="L13" s="238">
        <f t="shared" si="2"/>
        <v>8.8009202514316787</v>
      </c>
      <c r="N13" s="238"/>
      <c r="O13" s="238"/>
      <c r="P13" s="238"/>
      <c r="R13" s="378"/>
      <c r="S13" s="378"/>
      <c r="T13" s="378"/>
    </row>
    <row r="14" spans="1:20" s="22" customFormat="1">
      <c r="A14" s="21">
        <f t="shared" si="0"/>
        <v>4</v>
      </c>
      <c r="C14" s="22" t="s">
        <v>389</v>
      </c>
      <c r="F14" s="477">
        <f>SUM('B-8 DTS Rate'!K20:K23)</f>
        <v>416.35779704739065</v>
      </c>
      <c r="G14" s="76">
        <v>0</v>
      </c>
      <c r="H14" s="477">
        <f t="shared" si="1"/>
        <v>416.35779704739065</v>
      </c>
      <c r="J14" s="186">
        <f>F14*1000/'B-12 Determinants'!F18</f>
        <v>7.1295486187839865</v>
      </c>
      <c r="K14" s="186">
        <f>G14*1000/'B-12 Determinants'!F18</f>
        <v>0</v>
      </c>
      <c r="L14" s="186">
        <f t="shared" si="2"/>
        <v>7.1295486187839865</v>
      </c>
      <c r="N14" s="238"/>
      <c r="O14" s="238"/>
      <c r="P14" s="238"/>
      <c r="Q14" s="58"/>
      <c r="R14" s="378"/>
      <c r="S14" s="378"/>
      <c r="T14" s="378"/>
    </row>
    <row r="15" spans="1:20" s="22" customFormat="1">
      <c r="A15" s="21">
        <f t="shared" si="0"/>
        <v>5</v>
      </c>
      <c r="C15" s="22" t="s">
        <v>151</v>
      </c>
      <c r="F15" s="694">
        <v>0</v>
      </c>
      <c r="G15" s="477">
        <f>'B-8 DTS Rate'!K25</f>
        <v>194.89999999999998</v>
      </c>
      <c r="H15" s="477">
        <f t="shared" si="1"/>
        <v>194.89999999999998</v>
      </c>
      <c r="J15" s="186">
        <f>F15*1000/'B-12 Determinants'!F18</f>
        <v>0</v>
      </c>
      <c r="K15" s="186">
        <f>G15*1000/'B-12 Determinants'!F18</f>
        <v>3.3373916272374688</v>
      </c>
      <c r="L15" s="186">
        <f t="shared" si="2"/>
        <v>3.3373916272374688</v>
      </c>
      <c r="N15" s="238"/>
      <c r="O15" s="238"/>
      <c r="P15" s="238"/>
      <c r="Q15" s="58"/>
      <c r="R15" s="378"/>
      <c r="S15" s="378"/>
      <c r="T15" s="378"/>
    </row>
    <row r="16" spans="1:20" s="22" customFormat="1">
      <c r="A16" s="21">
        <f t="shared" si="0"/>
        <v>6</v>
      </c>
      <c r="C16" s="22" t="s">
        <v>152</v>
      </c>
      <c r="F16" s="694">
        <v>0</v>
      </c>
      <c r="G16" s="477">
        <f>'B-8 DTS Rate'!K29</f>
        <v>0.4</v>
      </c>
      <c r="H16" s="477">
        <f t="shared" si="1"/>
        <v>0.4</v>
      </c>
      <c r="J16" s="186">
        <f>F16*1000/'B-12 Determinants'!F18</f>
        <v>0</v>
      </c>
      <c r="K16" s="186">
        <f>G16*1000/'B-12 Determinants'!F18</f>
        <v>6.8494440784760786E-3</v>
      </c>
      <c r="L16" s="186">
        <f t="shared" si="2"/>
        <v>6.8494440784760786E-3</v>
      </c>
      <c r="N16" s="238"/>
      <c r="O16" s="238"/>
      <c r="P16" s="238"/>
      <c r="Q16" s="58"/>
      <c r="R16" s="378"/>
      <c r="S16" s="378"/>
      <c r="T16" s="378"/>
    </row>
    <row r="17" spans="1:20" s="22" customFormat="1">
      <c r="A17" s="21">
        <f t="shared" si="0"/>
        <v>7</v>
      </c>
      <c r="C17" s="22" t="s">
        <v>153</v>
      </c>
      <c r="F17" s="477">
        <f>'B-8 DTS Rate'!K31</f>
        <v>2.9</v>
      </c>
      <c r="G17" s="477">
        <f>'B-12 Determinants'!C22</f>
        <v>0</v>
      </c>
      <c r="H17" s="477">
        <f t="shared" si="1"/>
        <v>2.9</v>
      </c>
      <c r="J17" s="186">
        <f>F17*1000/'B-12 Determinants'!F18</f>
        <v>4.965846956895157E-2</v>
      </c>
      <c r="K17" s="186">
        <f>G17*1000/'B-12 Determinants'!F18</f>
        <v>0</v>
      </c>
      <c r="L17" s="186">
        <f t="shared" si="2"/>
        <v>4.965846956895157E-2</v>
      </c>
      <c r="N17" s="238"/>
      <c r="O17" s="238"/>
      <c r="P17" s="238"/>
      <c r="Q17" s="58"/>
      <c r="R17" s="378"/>
      <c r="S17" s="378"/>
      <c r="T17" s="378"/>
    </row>
    <row r="18" spans="1:20">
      <c r="A18" s="21">
        <f t="shared" si="0"/>
        <v>8</v>
      </c>
      <c r="C18" s="22" t="s">
        <v>154</v>
      </c>
      <c r="F18" s="478">
        <f>SUM(F12:F17)</f>
        <v>1889.3561666144628</v>
      </c>
      <c r="G18" s="478">
        <f>SUM(G12:G17)</f>
        <v>319.86796791518492</v>
      </c>
      <c r="H18" s="478">
        <f>SUM(H12:H17)</f>
        <v>2209.2241345296479</v>
      </c>
      <c r="J18" s="187">
        <f>SUM(J12:J17)</f>
        <v>32.352598518874238</v>
      </c>
      <c r="K18" s="187">
        <f>SUM(K12:K17)</f>
        <v>5.4772943968270997</v>
      </c>
      <c r="L18" s="187">
        <f>SUM(L12:L17)</f>
        <v>37.829892915701336</v>
      </c>
      <c r="N18" s="400"/>
      <c r="O18" s="400"/>
      <c r="P18" s="400"/>
      <c r="Q18" s="235"/>
      <c r="R18" s="378"/>
      <c r="S18" s="378"/>
      <c r="T18" s="378"/>
    </row>
    <row r="19" spans="1:20" s="167" customFormat="1" ht="27.65" customHeight="1">
      <c r="A19" s="184">
        <f t="shared" si="0"/>
        <v>9</v>
      </c>
      <c r="C19" s="25" t="s">
        <v>338</v>
      </c>
      <c r="G19" s="167">
        <v>0</v>
      </c>
      <c r="J19" s="365"/>
      <c r="K19" s="366" t="s">
        <v>329</v>
      </c>
      <c r="L19" s="365"/>
      <c r="M19" s="367"/>
      <c r="N19" s="365"/>
      <c r="O19" s="366" t="s">
        <v>330</v>
      </c>
      <c r="P19" s="365"/>
      <c r="Q19" s="367"/>
      <c r="R19" s="366"/>
      <c r="S19" s="366" t="s">
        <v>331</v>
      </c>
      <c r="T19" s="366"/>
    </row>
    <row r="20" spans="1:20" s="167" customFormat="1">
      <c r="A20" s="57">
        <f t="shared" si="0"/>
        <v>10</v>
      </c>
      <c r="B20" s="58"/>
      <c r="C20" s="58" t="s">
        <v>387</v>
      </c>
      <c r="D20" s="58"/>
      <c r="J20" s="189">
        <f t="shared" ref="J20:J25" si="3">0*(100%+R12)</f>
        <v>0</v>
      </c>
      <c r="K20" s="189">
        <f>K12</f>
        <v>1.2127946442226452</v>
      </c>
      <c r="L20" s="189">
        <f t="shared" ref="L20:L25" si="4">SUM(J20:K20)</f>
        <v>1.2127946442226452</v>
      </c>
      <c r="M20" s="373"/>
      <c r="N20" s="185">
        <f>0.5*J12</f>
        <v>8.6463649301890655</v>
      </c>
      <c r="O20" s="185">
        <f>K12</f>
        <v>1.2127946442226452</v>
      </c>
      <c r="P20" s="185">
        <f t="shared" ref="P20:P25" si="5">SUM(N20:O20)</f>
        <v>9.8591595744117111</v>
      </c>
      <c r="Q20" s="373"/>
      <c r="R20" s="185">
        <f>J12</f>
        <v>17.292729860378131</v>
      </c>
      <c r="S20" s="185">
        <f>K12</f>
        <v>1.2127946442226452</v>
      </c>
      <c r="T20" s="185">
        <f t="shared" ref="T20:T25" si="6">SUM(R20:S20)</f>
        <v>18.505524504600775</v>
      </c>
    </row>
    <row r="21" spans="1:20" s="22" customFormat="1">
      <c r="A21" s="57">
        <f t="shared" si="0"/>
        <v>11</v>
      </c>
      <c r="B21" s="58"/>
      <c r="C21" s="58" t="s">
        <v>388</v>
      </c>
      <c r="D21" s="58"/>
      <c r="J21" s="368">
        <f t="shared" si="3"/>
        <v>0</v>
      </c>
      <c r="K21" s="368">
        <f>K13</f>
        <v>0.92025868128850907</v>
      </c>
      <c r="L21" s="368">
        <f t="shared" si="4"/>
        <v>0.92025868128850907</v>
      </c>
      <c r="M21" s="369"/>
      <c r="N21" s="186">
        <f>0.5*J13</f>
        <v>3.940330785071585</v>
      </c>
      <c r="O21" s="186">
        <f>K13</f>
        <v>0.92025868128850907</v>
      </c>
      <c r="P21" s="186">
        <f t="shared" si="5"/>
        <v>4.8605894663600937</v>
      </c>
      <c r="Q21" s="369"/>
      <c r="R21" s="186">
        <f>12*J13</f>
        <v>94.567938841718046</v>
      </c>
      <c r="S21" s="186">
        <f>K13</f>
        <v>0.92025868128850907</v>
      </c>
      <c r="T21" s="186">
        <f t="shared" si="6"/>
        <v>95.488197523006562</v>
      </c>
    </row>
    <row r="22" spans="1:20" s="22" customFormat="1">
      <c r="A22" s="21">
        <f t="shared" si="0"/>
        <v>12</v>
      </c>
      <c r="C22" s="22" t="s">
        <v>389</v>
      </c>
      <c r="J22" s="368">
        <f t="shared" si="3"/>
        <v>0</v>
      </c>
      <c r="K22" s="368">
        <f>0*(100%+S14)</f>
        <v>0</v>
      </c>
      <c r="L22" s="368">
        <f t="shared" si="4"/>
        <v>0</v>
      </c>
      <c r="M22" s="369"/>
      <c r="N22" s="186">
        <f>0*(100%+R14)</f>
        <v>0</v>
      </c>
      <c r="O22" s="186">
        <f>0*(100%+S14)</f>
        <v>0</v>
      </c>
      <c r="P22" s="186">
        <f t="shared" si="5"/>
        <v>0</v>
      </c>
      <c r="Q22" s="369"/>
      <c r="R22" s="186">
        <f>0*(100%+R14)</f>
        <v>0</v>
      </c>
      <c r="S22" s="186">
        <f>0*(100%+S14)</f>
        <v>0</v>
      </c>
      <c r="T22" s="186">
        <f t="shared" si="6"/>
        <v>0</v>
      </c>
    </row>
    <row r="23" spans="1:20" s="22" customFormat="1">
      <c r="A23" s="21">
        <f t="shared" si="0"/>
        <v>13</v>
      </c>
      <c r="C23" s="22" t="s">
        <v>151</v>
      </c>
      <c r="J23" s="368">
        <f t="shared" si="3"/>
        <v>0</v>
      </c>
      <c r="K23" s="368">
        <f>K15</f>
        <v>3.3373916272374688</v>
      </c>
      <c r="L23" s="368">
        <f t="shared" si="4"/>
        <v>3.3373916272374688</v>
      </c>
      <c r="M23" s="369"/>
      <c r="N23" s="186">
        <f>0*(100%+R15)</f>
        <v>0</v>
      </c>
      <c r="O23" s="186">
        <f>K15</f>
        <v>3.3373916272374688</v>
      </c>
      <c r="P23" s="186">
        <f t="shared" si="5"/>
        <v>3.3373916272374688</v>
      </c>
      <c r="Q23" s="369"/>
      <c r="R23" s="186">
        <f>0*(100%+R15)</f>
        <v>0</v>
      </c>
      <c r="S23" s="186">
        <f>K15</f>
        <v>3.3373916272374688</v>
      </c>
      <c r="T23" s="186">
        <f t="shared" si="6"/>
        <v>3.3373916272374688</v>
      </c>
    </row>
    <row r="24" spans="1:20" s="22" customFormat="1">
      <c r="A24" s="21">
        <f t="shared" si="0"/>
        <v>14</v>
      </c>
      <c r="C24" s="22" t="s">
        <v>152</v>
      </c>
      <c r="J24" s="368">
        <f t="shared" si="3"/>
        <v>0</v>
      </c>
      <c r="K24" s="368">
        <f>0*(100%+S16)</f>
        <v>0</v>
      </c>
      <c r="L24" s="368">
        <f t="shared" si="4"/>
        <v>0</v>
      </c>
      <c r="M24" s="369"/>
      <c r="N24" s="186">
        <f>0*(100%+R16)</f>
        <v>0</v>
      </c>
      <c r="O24" s="186">
        <f>0*(100%+S16)</f>
        <v>0</v>
      </c>
      <c r="P24" s="186">
        <f t="shared" si="5"/>
        <v>0</v>
      </c>
      <c r="Q24" s="369"/>
      <c r="R24" s="186">
        <f>0*(100%+R16)</f>
        <v>0</v>
      </c>
      <c r="S24" s="186">
        <f>0*(100%+S16)</f>
        <v>0</v>
      </c>
      <c r="T24" s="186">
        <f t="shared" si="6"/>
        <v>0</v>
      </c>
    </row>
    <row r="25" spans="1:20" s="22" customFormat="1">
      <c r="A25" s="21">
        <f t="shared" si="0"/>
        <v>15</v>
      </c>
      <c r="C25" s="22" t="s">
        <v>153</v>
      </c>
      <c r="J25" s="368">
        <f t="shared" si="3"/>
        <v>0</v>
      </c>
      <c r="K25" s="368">
        <f>0*(100%+S17)</f>
        <v>0</v>
      </c>
      <c r="L25" s="368">
        <f t="shared" si="4"/>
        <v>0</v>
      </c>
      <c r="M25" s="369"/>
      <c r="N25" s="186">
        <f>0*(100%+R17)</f>
        <v>0</v>
      </c>
      <c r="O25" s="186">
        <f>0*(100%+S17)</f>
        <v>0</v>
      </c>
      <c r="P25" s="186">
        <f t="shared" si="5"/>
        <v>0</v>
      </c>
      <c r="Q25" s="369"/>
      <c r="R25" s="186">
        <f>0*(100%+R17)</f>
        <v>0</v>
      </c>
      <c r="S25" s="186">
        <f>0*(100%+S17)</f>
        <v>0</v>
      </c>
      <c r="T25" s="186">
        <f t="shared" si="6"/>
        <v>0</v>
      </c>
    </row>
    <row r="26" spans="1:20">
      <c r="A26" s="21">
        <f t="shared" si="0"/>
        <v>16</v>
      </c>
      <c r="C26" s="22" t="s">
        <v>337</v>
      </c>
      <c r="J26" s="187">
        <f>SUM(J20:J25)</f>
        <v>0</v>
      </c>
      <c r="K26" s="187">
        <f>SUM(K20:K25)</f>
        <v>5.4704449527486236</v>
      </c>
      <c r="L26" s="187">
        <f>SUM(L20:L25)</f>
        <v>5.4704449527486236</v>
      </c>
      <c r="M26" s="372"/>
      <c r="N26" s="187">
        <f>SUM(N20:N25)</f>
        <v>12.58669571526065</v>
      </c>
      <c r="O26" s="187">
        <f>SUM(O20:O25)</f>
        <v>5.4704449527486236</v>
      </c>
      <c r="P26" s="187">
        <f>SUM(P20:P25)</f>
        <v>18.057140668009275</v>
      </c>
      <c r="Q26" s="372"/>
      <c r="R26" s="187">
        <f>SUM(R20:R25)</f>
        <v>111.86066870209618</v>
      </c>
      <c r="S26" s="187">
        <f>SUM(S20:S25)</f>
        <v>5.4704449527486236</v>
      </c>
      <c r="T26" s="187">
        <f>SUM(T20:T25)</f>
        <v>117.3311136548448</v>
      </c>
    </row>
    <row r="27" spans="1:20" s="167" customFormat="1" ht="27.65" customHeight="1">
      <c r="A27" s="184">
        <f t="shared" si="0"/>
        <v>17</v>
      </c>
      <c r="C27" s="25" t="s">
        <v>375</v>
      </c>
      <c r="D27" s="25"/>
      <c r="J27" s="365"/>
      <c r="K27" s="366" t="s">
        <v>374</v>
      </c>
      <c r="L27" s="365"/>
      <c r="M27" s="367"/>
      <c r="N27" s="463"/>
      <c r="O27" s="464"/>
      <c r="P27" s="465"/>
      <c r="Q27" s="367"/>
      <c r="R27" s="367"/>
      <c r="S27" s="367"/>
      <c r="T27" s="367"/>
    </row>
    <row r="28" spans="1:20" s="167" customFormat="1">
      <c r="A28" s="57">
        <f t="shared" si="0"/>
        <v>18</v>
      </c>
      <c r="B28" s="58"/>
      <c r="C28" s="58" t="s">
        <v>387</v>
      </c>
      <c r="D28" s="58"/>
      <c r="J28" s="340">
        <f>0.2*J12</f>
        <v>3.4585459720756262</v>
      </c>
      <c r="K28" s="340">
        <f>K12</f>
        <v>1.2127946442226452</v>
      </c>
      <c r="L28" s="340">
        <f t="shared" ref="L28:L33" si="7">SUM(J28:K28)</f>
        <v>4.6713406162982718</v>
      </c>
      <c r="M28" s="373"/>
      <c r="N28" s="340"/>
      <c r="O28" s="340"/>
      <c r="P28" s="340"/>
      <c r="Q28" s="367"/>
      <c r="R28" s="367"/>
      <c r="S28" s="367"/>
      <c r="T28" s="367"/>
    </row>
    <row r="29" spans="1:20" s="22" customFormat="1">
      <c r="A29" s="57">
        <f t="shared" si="0"/>
        <v>19</v>
      </c>
      <c r="B29" s="58"/>
      <c r="C29" s="58" t="s">
        <v>388</v>
      </c>
      <c r="D29" s="58"/>
      <c r="J29" s="371">
        <f>0.2*J13</f>
        <v>1.5761323140286341</v>
      </c>
      <c r="K29" s="371">
        <f>K13</f>
        <v>0.92025868128850907</v>
      </c>
      <c r="L29" s="371">
        <f t="shared" si="7"/>
        <v>2.4963909953171433</v>
      </c>
      <c r="M29" s="369"/>
      <c r="N29" s="371"/>
      <c r="O29" s="371"/>
      <c r="P29" s="371"/>
      <c r="Q29" s="369"/>
      <c r="R29" s="369"/>
      <c r="S29" s="369"/>
      <c r="T29" s="369"/>
    </row>
    <row r="30" spans="1:20" s="22" customFormat="1">
      <c r="A30" s="21">
        <f t="shared" si="0"/>
        <v>20</v>
      </c>
      <c r="C30" s="22" t="s">
        <v>389</v>
      </c>
      <c r="J30" s="371">
        <f>0*(100%+R14)</f>
        <v>0</v>
      </c>
      <c r="K30" s="371">
        <f>0*(100%+S14)</f>
        <v>0</v>
      </c>
      <c r="L30" s="371">
        <f t="shared" si="7"/>
        <v>0</v>
      </c>
      <c r="M30" s="369"/>
      <c r="N30" s="371"/>
      <c r="O30" s="371"/>
      <c r="P30" s="371"/>
      <c r="Q30" s="369"/>
      <c r="R30" s="369"/>
      <c r="S30" s="369"/>
      <c r="T30" s="369"/>
    </row>
    <row r="31" spans="1:20" s="22" customFormat="1">
      <c r="A31" s="21">
        <f t="shared" si="0"/>
        <v>21</v>
      </c>
      <c r="C31" s="22" t="s">
        <v>151</v>
      </c>
      <c r="J31" s="371">
        <f>0*(100%+R15)</f>
        <v>0</v>
      </c>
      <c r="K31" s="371">
        <f>0.32*K15</f>
        <v>1.06796532071599</v>
      </c>
      <c r="L31" s="371">
        <f t="shared" si="7"/>
        <v>1.06796532071599</v>
      </c>
      <c r="M31" s="369"/>
      <c r="N31" s="371"/>
      <c r="O31" s="371"/>
      <c r="P31" s="371"/>
      <c r="Q31" s="369"/>
      <c r="R31" s="369"/>
      <c r="S31" s="369"/>
      <c r="T31" s="369"/>
    </row>
    <row r="32" spans="1:20" s="22" customFormat="1">
      <c r="A32" s="21">
        <f t="shared" si="0"/>
        <v>22</v>
      </c>
      <c r="C32" s="22" t="s">
        <v>152</v>
      </c>
      <c r="J32" s="371">
        <f>0*(100%+R16)</f>
        <v>0</v>
      </c>
      <c r="K32" s="371">
        <f>0*(100%+S16)</f>
        <v>0</v>
      </c>
      <c r="L32" s="371">
        <f t="shared" si="7"/>
        <v>0</v>
      </c>
      <c r="M32" s="369"/>
      <c r="N32" s="371"/>
      <c r="O32" s="371"/>
      <c r="P32" s="371"/>
      <c r="Q32" s="369"/>
      <c r="R32" s="369"/>
      <c r="S32" s="369"/>
      <c r="T32" s="369"/>
    </row>
    <row r="33" spans="1:20" s="22" customFormat="1">
      <c r="A33" s="21">
        <f t="shared" si="0"/>
        <v>23</v>
      </c>
      <c r="C33" s="22" t="s">
        <v>153</v>
      </c>
      <c r="J33" s="371">
        <f>0*(100%+R17)</f>
        <v>0</v>
      </c>
      <c r="K33" s="371">
        <f>0*(100%+S17)</f>
        <v>0</v>
      </c>
      <c r="L33" s="371">
        <f t="shared" si="7"/>
        <v>0</v>
      </c>
      <c r="M33" s="369"/>
      <c r="N33" s="371"/>
      <c r="O33" s="371"/>
      <c r="P33" s="371"/>
      <c r="Q33" s="369"/>
      <c r="R33" s="369"/>
      <c r="S33" s="369"/>
      <c r="T33" s="369"/>
    </row>
    <row r="34" spans="1:20">
      <c r="A34" s="21">
        <f t="shared" si="0"/>
        <v>24</v>
      </c>
      <c r="C34" s="22" t="s">
        <v>361</v>
      </c>
      <c r="J34" s="187">
        <f>SUM(J28:J33)</f>
        <v>5.0346782861042598</v>
      </c>
      <c r="K34" s="187">
        <f>SUM(K28:K33)</f>
        <v>3.2010186462271442</v>
      </c>
      <c r="L34" s="187">
        <f>SUM(L28:L33)</f>
        <v>8.2356969323314058</v>
      </c>
      <c r="M34" s="372"/>
      <c r="N34" s="400"/>
      <c r="O34" s="400"/>
      <c r="P34" s="400"/>
      <c r="Q34" s="370"/>
      <c r="R34" s="370"/>
      <c r="S34" s="370"/>
      <c r="T34" s="370"/>
    </row>
    <row r="35" spans="1:20">
      <c r="F35" s="167"/>
      <c r="G35" s="167"/>
      <c r="H35" s="167"/>
      <c r="J35" s="167"/>
      <c r="K35" s="167"/>
      <c r="L35" s="167"/>
      <c r="N35" s="399"/>
      <c r="O35" s="399"/>
      <c r="P35" s="399"/>
    </row>
    <row r="36" spans="1:20">
      <c r="F36" s="167"/>
      <c r="G36" s="167"/>
      <c r="H36" s="167"/>
      <c r="J36" s="167"/>
      <c r="K36" s="167"/>
      <c r="L36" s="167"/>
      <c r="N36" s="167"/>
      <c r="O36" s="167"/>
      <c r="P36" s="167"/>
    </row>
    <row r="37" spans="1:20">
      <c r="F37" s="22"/>
      <c r="G37" s="22"/>
      <c r="H37" s="22"/>
      <c r="J37" s="22"/>
      <c r="K37" s="22"/>
      <c r="L37" s="22"/>
      <c r="N37" s="22"/>
      <c r="O37" s="22"/>
      <c r="P37" s="22"/>
    </row>
    <row r="38" spans="1:20">
      <c r="F38" s="22"/>
      <c r="G38" s="22"/>
      <c r="H38" s="22"/>
      <c r="J38" s="22"/>
      <c r="K38" s="22"/>
      <c r="L38" s="22"/>
      <c r="N38" s="22"/>
      <c r="O38" s="22"/>
      <c r="P38" s="22"/>
    </row>
    <row r="39" spans="1:20">
      <c r="F39" s="22"/>
      <c r="G39" s="22"/>
      <c r="H39" s="22"/>
      <c r="J39" s="22"/>
      <c r="K39" s="22"/>
      <c r="L39" s="22"/>
      <c r="N39" s="22"/>
      <c r="O39" s="22"/>
      <c r="P39" s="22"/>
    </row>
    <row r="40" spans="1:20">
      <c r="F40" s="22"/>
      <c r="G40" s="22"/>
      <c r="H40" s="22"/>
      <c r="J40" s="22"/>
      <c r="K40" s="22"/>
      <c r="L40" s="22"/>
      <c r="N40" s="22"/>
      <c r="O40" s="22"/>
      <c r="P40" s="22"/>
    </row>
    <row r="41" spans="1:20">
      <c r="F41" s="22"/>
      <c r="G41" s="22"/>
      <c r="H41" s="22"/>
      <c r="J41" s="22"/>
      <c r="K41" s="22"/>
      <c r="L41" s="22"/>
      <c r="N41" s="22"/>
      <c r="O41" s="22"/>
      <c r="P41" s="22"/>
    </row>
  </sheetData>
  <mergeCells count="3">
    <mergeCell ref="J11:L11"/>
    <mergeCell ref="R11:T11"/>
    <mergeCell ref="N11:P11"/>
  </mergeCells>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3"/>
  <sheetViews>
    <sheetView showGridLines="0" topLeftCell="D1" zoomScale="110" zoomScaleNormal="110" workbookViewId="0">
      <selection activeCell="M14" sqref="M14"/>
    </sheetView>
  </sheetViews>
  <sheetFormatPr defaultRowHeight="13"/>
  <cols>
    <col min="1" max="1" width="5.77734375" customWidth="1"/>
    <col min="2" max="2" width="1.77734375" customWidth="1"/>
    <col min="3" max="3" width="2.77734375" customWidth="1"/>
    <col min="4" max="4" width="52.77734375" customWidth="1"/>
    <col min="5" max="5" width="1.77734375" customWidth="1"/>
    <col min="6" max="7" width="12.77734375" customWidth="1"/>
    <col min="8" max="8" width="2.77734375" customWidth="1"/>
    <col min="9" max="9" width="1.77734375" customWidth="1"/>
    <col min="10" max="11" width="12.77734375" customWidth="1"/>
    <col min="13" max="13" width="19" customWidth="1"/>
    <col min="14" max="14" width="16" customWidth="1"/>
    <col min="15" max="15" width="15.6640625" customWidth="1"/>
    <col min="16" max="16" width="13.77734375" customWidth="1"/>
  </cols>
  <sheetData>
    <row r="1" spans="1:16" s="3" customFormat="1">
      <c r="A1" s="5" t="str">
        <f>Applicant</f>
        <v>Alberta Electric System Operator</v>
      </c>
      <c r="B1" s="5"/>
      <c r="C1" s="5"/>
      <c r="D1" s="5"/>
      <c r="E1" s="5"/>
      <c r="F1" s="5"/>
      <c r="G1" s="5"/>
      <c r="H1" s="5"/>
      <c r="K1" s="4" t="str">
        <f ca="1">TablePrefix&amp;TRIM(MID(CELL("filename",M2),FIND("]",CELL("filename",M2))+1,5))&amp;TableSuffix</f>
        <v>Table B-12</v>
      </c>
    </row>
    <row r="2" spans="1:16" s="3" customFormat="1">
      <c r="A2" s="5" t="str">
        <f>Application</f>
        <v>2021 ISO Tariff Update Application</v>
      </c>
      <c r="B2" s="5"/>
      <c r="C2" s="5"/>
      <c r="D2" s="5"/>
      <c r="E2" s="5"/>
      <c r="F2" s="5"/>
      <c r="G2" s="5"/>
      <c r="H2" s="5"/>
      <c r="K2" s="4" t="str">
        <f>TableDate</f>
        <v>November 6, 2020</v>
      </c>
    </row>
    <row r="4" spans="1:16">
      <c r="A4" s="6" t="str">
        <f>TableGroup1</f>
        <v>Appendix B — 2021 Rate Calculations</v>
      </c>
      <c r="B4" s="6"/>
      <c r="C4" s="6"/>
      <c r="D4" s="6"/>
      <c r="E4" s="6"/>
      <c r="F4" s="6"/>
      <c r="G4" s="6"/>
      <c r="H4" s="6"/>
      <c r="I4" s="6"/>
      <c r="J4" s="6"/>
      <c r="K4" s="6"/>
    </row>
    <row r="5" spans="1:16">
      <c r="A5" s="6" t="s">
        <v>503</v>
      </c>
      <c r="B5" s="6"/>
      <c r="C5" s="6"/>
      <c r="D5" s="6"/>
      <c r="E5" s="6"/>
      <c r="F5" s="6"/>
      <c r="G5" s="6"/>
      <c r="H5" s="6"/>
      <c r="I5" s="6"/>
      <c r="J5" s="6"/>
      <c r="K5" s="6"/>
    </row>
    <row r="6" spans="1:16">
      <c r="I6" s="91"/>
    </row>
    <row r="7" spans="1:16" s="252" customFormat="1">
      <c r="F7" s="252" t="s">
        <v>2</v>
      </c>
      <c r="G7" s="252" t="s">
        <v>3</v>
      </c>
      <c r="J7" s="252" t="s">
        <v>4</v>
      </c>
      <c r="K7" s="252" t="s">
        <v>5</v>
      </c>
    </row>
    <row r="9" spans="1:16" s="44" customFormat="1">
      <c r="A9" s="62" t="s">
        <v>57</v>
      </c>
      <c r="F9" s="45" t="s">
        <v>363</v>
      </c>
      <c r="G9" s="45"/>
      <c r="I9" s="98"/>
      <c r="J9" s="45" t="s">
        <v>364</v>
      </c>
      <c r="K9" s="45"/>
      <c r="M9" s="45" t="s">
        <v>507</v>
      </c>
      <c r="N9" s="45"/>
      <c r="O9" s="714" t="s">
        <v>509</v>
      </c>
    </row>
    <row r="10" spans="1:16" s="47" customFormat="1">
      <c r="A10" s="46"/>
      <c r="C10" s="48" t="s">
        <v>55</v>
      </c>
      <c r="D10" s="48"/>
      <c r="F10" s="462" t="s">
        <v>113</v>
      </c>
      <c r="G10" s="49" t="s">
        <v>56</v>
      </c>
      <c r="I10" s="99"/>
      <c r="J10" s="46" t="s">
        <v>113</v>
      </c>
      <c r="K10" s="49" t="s">
        <v>56</v>
      </c>
      <c r="M10" s="462" t="s">
        <v>113</v>
      </c>
      <c r="N10" s="49" t="s">
        <v>56</v>
      </c>
      <c r="O10" s="715" t="s">
        <v>510</v>
      </c>
      <c r="P10" s="716" t="s">
        <v>511</v>
      </c>
    </row>
    <row r="11" spans="1:16" s="22" customFormat="1" ht="25.5" customHeight="1">
      <c r="A11" s="21">
        <v>1</v>
      </c>
      <c r="C11" s="22" t="s">
        <v>170</v>
      </c>
      <c r="F11" s="656">
        <v>91617.175437382641</v>
      </c>
      <c r="G11" s="63" t="s">
        <v>28</v>
      </c>
      <c r="I11" s="121"/>
      <c r="J11" s="66" t="s">
        <v>60</v>
      </c>
      <c r="K11" s="64"/>
      <c r="M11" s="656">
        <v>91210.881907393457</v>
      </c>
      <c r="N11" s="63" t="s">
        <v>28</v>
      </c>
      <c r="O11" s="713">
        <f>(F11-M11)/M11</f>
        <v>4.4544414163399243E-3</v>
      </c>
      <c r="P11" s="220">
        <f>'B-8 DTS Rate'!K13</f>
        <v>1009.8764023620183</v>
      </c>
    </row>
    <row r="12" spans="1:16" s="22" customFormat="1" ht="25.5" customHeight="1">
      <c r="A12" s="21">
        <f t="shared" ref="A12:A21" si="0">A11+1</f>
        <v>2</v>
      </c>
      <c r="C12" s="22" t="s">
        <v>150</v>
      </c>
      <c r="F12" s="657">
        <v>159954.2432156</v>
      </c>
      <c r="G12" s="63" t="s">
        <v>28</v>
      </c>
      <c r="I12" s="121"/>
      <c r="J12" s="66" t="s">
        <v>60</v>
      </c>
      <c r="K12" s="64"/>
      <c r="M12" s="657">
        <v>160561.51688012294</v>
      </c>
      <c r="N12" s="63" t="s">
        <v>28</v>
      </c>
      <c r="O12" s="713">
        <f>(F12-M12)/M12</f>
        <v>-3.7821868921202495E-3</v>
      </c>
      <c r="P12" s="220">
        <f>'B-8 DTS Rate'!$K$16</f>
        <v>460.22196720505383</v>
      </c>
    </row>
    <row r="13" spans="1:16" s="167" customFormat="1" ht="19.399999999999999" customHeight="1">
      <c r="A13" s="184">
        <f t="shared" si="0"/>
        <v>3</v>
      </c>
      <c r="C13" s="167" t="s">
        <v>198</v>
      </c>
      <c r="F13" s="658">
        <v>36754.783780600003</v>
      </c>
      <c r="G13" s="155" t="s">
        <v>28</v>
      </c>
      <c r="I13" s="226"/>
      <c r="J13" s="227" t="s">
        <v>60</v>
      </c>
      <c r="K13" s="228"/>
      <c r="L13" s="22"/>
      <c r="M13" s="657">
        <v>37281.060706223332</v>
      </c>
      <c r="N13" s="63" t="s">
        <v>28</v>
      </c>
      <c r="O13" s="713">
        <f t="shared" ref="O13:O16" si="1">(F13-M13)/M13</f>
        <v>-1.4116468674816382E-2</v>
      </c>
      <c r="P13" s="220">
        <f>'B-8 DTS Rate'!$K20</f>
        <v>178.75438590433185</v>
      </c>
    </row>
    <row r="14" spans="1:16" s="22" customFormat="1">
      <c r="A14" s="21">
        <f t="shared" si="0"/>
        <v>4</v>
      </c>
      <c r="C14" s="22" t="s">
        <v>199</v>
      </c>
      <c r="F14" s="658">
        <v>34657.949192999986</v>
      </c>
      <c r="G14" s="63" t="s">
        <v>28</v>
      </c>
      <c r="I14" s="121"/>
      <c r="J14" s="66" t="s">
        <v>60</v>
      </c>
      <c r="K14" s="64"/>
      <c r="M14" s="657">
        <v>35072.143210095986</v>
      </c>
      <c r="N14" s="63" t="s">
        <v>28</v>
      </c>
      <c r="O14" s="713">
        <f t="shared" si="1"/>
        <v>-1.1809772063680708E-2</v>
      </c>
      <c r="P14" s="220">
        <f>'B-8 DTS Rate'!$K21</f>
        <v>99.962831606508544</v>
      </c>
    </row>
    <row r="15" spans="1:16" s="22" customFormat="1">
      <c r="A15" s="21">
        <f t="shared" si="0"/>
        <v>5</v>
      </c>
      <c r="C15" s="22" t="s">
        <v>200</v>
      </c>
      <c r="F15" s="658">
        <v>43642.496507200012</v>
      </c>
      <c r="G15" s="63" t="s">
        <v>28</v>
      </c>
      <c r="I15" s="121"/>
      <c r="J15" s="66" t="s">
        <v>60</v>
      </c>
      <c r="K15" s="64"/>
      <c r="M15" s="657">
        <v>43920.892937122189</v>
      </c>
      <c r="N15" s="63" t="s">
        <v>28</v>
      </c>
      <c r="O15" s="713">
        <f t="shared" si="1"/>
        <v>-6.3385876585144467E-3</v>
      </c>
      <c r="P15" s="220">
        <f>'B-8 DTS Rate'!$K22</f>
        <v>84.268906131971278</v>
      </c>
    </row>
    <row r="16" spans="1:16" s="35" customFormat="1" ht="19.399999999999999" customHeight="1">
      <c r="A16" s="34">
        <f t="shared" si="0"/>
        <v>6</v>
      </c>
      <c r="C16" s="35" t="s">
        <v>201</v>
      </c>
      <c r="F16" s="658">
        <v>44899.013734799999</v>
      </c>
      <c r="G16" s="156" t="s">
        <v>28</v>
      </c>
      <c r="I16" s="229"/>
      <c r="J16" s="230" t="s">
        <v>60</v>
      </c>
      <c r="K16" s="231"/>
      <c r="L16" s="22"/>
      <c r="M16" s="657">
        <v>44287.42002668143</v>
      </c>
      <c r="N16" s="63" t="s">
        <v>28</v>
      </c>
      <c r="O16" s="713">
        <f t="shared" si="1"/>
        <v>1.380964860337559E-2</v>
      </c>
      <c r="P16" s="220">
        <f>'B-8 DTS Rate'!$K23</f>
        <v>53.371673404578971</v>
      </c>
    </row>
    <row r="17" spans="1:17" s="22" customFormat="1" ht="25.5" customHeight="1">
      <c r="A17" s="21">
        <f>A16+1</f>
        <v>7</v>
      </c>
      <c r="C17" s="22" t="s">
        <v>157</v>
      </c>
      <c r="F17" s="659">
        <v>117932.02213583802</v>
      </c>
      <c r="G17" s="63" t="s">
        <v>28</v>
      </c>
      <c r="I17" s="121"/>
      <c r="J17" s="66" t="s">
        <v>60</v>
      </c>
      <c r="K17" s="64"/>
      <c r="M17" s="659">
        <v>120191.40646960001</v>
      </c>
      <c r="N17" s="63" t="s">
        <v>28</v>
      </c>
      <c r="O17" s="713">
        <f>(F17-M17)/M17</f>
        <v>-1.8798218609193632E-2</v>
      </c>
      <c r="P17" s="220">
        <f>'B-8 DTS Rate'!$K$31</f>
        <v>2.9</v>
      </c>
    </row>
    <row r="18" spans="1:17" s="22" customFormat="1" ht="25.5" customHeight="1">
      <c r="A18" s="21">
        <f t="shared" si="0"/>
        <v>8</v>
      </c>
      <c r="C18" s="22" t="s">
        <v>59</v>
      </c>
      <c r="F18" s="660">
        <v>58398.900030000004</v>
      </c>
      <c r="G18" s="63" t="s">
        <v>29</v>
      </c>
      <c r="I18" s="121"/>
      <c r="J18" s="202">
        <f>F18</f>
        <v>58398.900030000004</v>
      </c>
      <c r="K18" s="63" t="s">
        <v>29</v>
      </c>
      <c r="M18" s="660">
        <v>61157.422436618195</v>
      </c>
      <c r="N18" s="63" t="s">
        <v>29</v>
      </c>
      <c r="O18" s="713">
        <f>(F18-M18)/M18</f>
        <v>-4.5105275806498299E-2</v>
      </c>
      <c r="P18" s="220">
        <f>'B-8 DTS Rate'!K14+'B-8 DTS Rate'!K17+'B-8 DTS Rate'!K25+'B-8 DTS Rate'!K27+'B-8 DTS Rate'!K29</f>
        <v>319.96796791518494</v>
      </c>
    </row>
    <row r="19" spans="1:17" s="22" customFormat="1" ht="25.5" customHeight="1">
      <c r="A19" s="21">
        <f t="shared" si="0"/>
        <v>9</v>
      </c>
      <c r="C19" s="22" t="s">
        <v>353</v>
      </c>
      <c r="F19" s="661">
        <v>5387.0289699999985</v>
      </c>
      <c r="G19" s="63" t="s">
        <v>111</v>
      </c>
      <c r="I19" s="121"/>
      <c r="J19" s="66" t="s">
        <v>60</v>
      </c>
      <c r="K19" s="64"/>
      <c r="M19" s="661">
        <v>5477.6108201989991</v>
      </c>
      <c r="N19" s="63" t="s">
        <v>111</v>
      </c>
      <c r="O19" s="713">
        <f>(F19-M19)/M19</f>
        <v>-1.6536744426050673E-2</v>
      </c>
      <c r="P19" s="220">
        <f>'B-8 DTS Rate'!$K$19</f>
        <v>79.606015818469274</v>
      </c>
    </row>
    <row r="20" spans="1:17" s="22" customFormat="1" ht="25.5" customHeight="1">
      <c r="A20" s="21">
        <f t="shared" si="0"/>
        <v>10</v>
      </c>
      <c r="C20" s="22" t="s">
        <v>185</v>
      </c>
      <c r="F20" s="201">
        <v>53.93</v>
      </c>
      <c r="G20" s="67" t="s">
        <v>62</v>
      </c>
      <c r="I20" s="121"/>
      <c r="J20" s="201">
        <f>F20</f>
        <v>53.93</v>
      </c>
      <c r="K20" s="67" t="s">
        <v>62</v>
      </c>
      <c r="M20" s="718" t="s">
        <v>508</v>
      </c>
      <c r="N20" s="719"/>
      <c r="O20" s="719"/>
      <c r="P20" s="717">
        <f>SUMPRODUCT(P11:P19,O11:O19)/SUM(P11:P19)</f>
        <v>-7.2288853245125609E-3</v>
      </c>
      <c r="Q20" s="457"/>
    </row>
    <row r="21" spans="1:17" s="22" customFormat="1" ht="25.5" customHeight="1">
      <c r="A21" s="21">
        <f t="shared" si="0"/>
        <v>11</v>
      </c>
      <c r="C21" s="22" t="s">
        <v>61</v>
      </c>
      <c r="F21" s="66" t="s">
        <v>60</v>
      </c>
      <c r="G21" s="64"/>
      <c r="I21" s="121"/>
      <c r="J21" s="202">
        <v>58262.400000000001</v>
      </c>
      <c r="K21" s="63" t="s">
        <v>28</v>
      </c>
    </row>
    <row r="22" spans="1:17" s="22" customFormat="1" ht="12.75" customHeight="1">
      <c r="A22" s="21"/>
      <c r="F22" s="66"/>
      <c r="G22" s="64"/>
      <c r="I22" s="58"/>
      <c r="J22" s="65"/>
      <c r="K22" s="63"/>
    </row>
    <row r="23" spans="1:17">
      <c r="A23" t="s">
        <v>52</v>
      </c>
      <c r="C23" s="204" t="s">
        <v>139</v>
      </c>
      <c r="D23" s="585" t="s">
        <v>460</v>
      </c>
    </row>
    <row r="24" spans="1:17">
      <c r="D24" s="584" t="s">
        <v>459</v>
      </c>
    </row>
    <row r="25" spans="1:17">
      <c r="C25" s="203" t="s">
        <v>138</v>
      </c>
      <c r="D25" s="496" t="s">
        <v>458</v>
      </c>
    </row>
    <row r="26" spans="1:17">
      <c r="C26" s="203"/>
      <c r="D26" s="496" t="s">
        <v>457</v>
      </c>
    </row>
    <row r="27" spans="1:17">
      <c r="C27" s="91" t="s">
        <v>184</v>
      </c>
      <c r="D27" s="496" t="str">
        <f>"The 2021 ISO Tariff pool price is the 2021 BRP forecast pool price for 2021,  "&amp;DOLLAR('B-12 Determinants'!$J$20,2)&amp;"/MWh"</f>
        <v>The 2021 ISO Tariff pool price is the 2021 BRP forecast pool price for 2021,  $53.93/MWh</v>
      </c>
    </row>
    <row r="30" spans="1:17">
      <c r="K30" s="414"/>
    </row>
    <row r="33" spans="6:6">
      <c r="F33" s="426"/>
    </row>
  </sheetData>
  <phoneticPr fontId="14" type="noConversion"/>
  <printOptions horizontalCentered="1"/>
  <pageMargins left="0.75" right="0.5" top="0.75" bottom="0.5" header="0.5" footer="0.5"/>
  <pageSetup scale="92"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7"/>
  <sheetViews>
    <sheetView showGridLines="0" zoomScale="130" zoomScaleNormal="130" workbookViewId="0">
      <selection activeCell="N24" sqref="N24"/>
    </sheetView>
  </sheetViews>
  <sheetFormatPr defaultRowHeight="13"/>
  <cols>
    <col min="1" max="1" width="6.109375" customWidth="1"/>
    <col min="2" max="2" width="1.77734375" customWidth="1"/>
    <col min="3" max="3" width="2.77734375" customWidth="1"/>
    <col min="4" max="4" width="38.44140625" customWidth="1"/>
    <col min="5" max="6" width="1.77734375" customWidth="1"/>
    <col min="7" max="7" width="11.77734375" customWidth="1"/>
    <col min="8" max="8" width="13.33203125" customWidth="1"/>
    <col min="9" max="9" width="11.44140625" bestFit="1" customWidth="1"/>
    <col min="10" max="11" width="1.77734375" customWidth="1"/>
    <col min="12" max="12" width="11.77734375" customWidth="1"/>
    <col min="13" max="13" width="13" bestFit="1" customWidth="1"/>
    <col min="14" max="14" width="10.44140625" bestFit="1" customWidth="1"/>
    <col min="15" max="16" width="1.77734375" customWidth="1"/>
    <col min="17" max="17" width="10.6640625" customWidth="1"/>
    <col min="18" max="18" width="9.777343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B-13</v>
      </c>
    </row>
    <row r="2" spans="1:20" s="3" customFormat="1">
      <c r="A2" s="5" t="str">
        <f>Application</f>
        <v>2021 ISO Tariff Update Application</v>
      </c>
      <c r="B2" s="5"/>
      <c r="C2" s="5"/>
      <c r="D2" s="5"/>
      <c r="E2" s="5"/>
      <c r="F2" s="5"/>
      <c r="G2" s="5"/>
      <c r="H2" s="5"/>
      <c r="I2" s="5"/>
      <c r="J2" s="5"/>
      <c r="K2" s="5"/>
      <c r="L2" s="5"/>
      <c r="M2" s="5"/>
      <c r="N2" s="5"/>
      <c r="O2" s="5"/>
      <c r="R2" s="4" t="str">
        <f>TableDate</f>
        <v>November 6, 2020</v>
      </c>
    </row>
    <row r="4" spans="1:20">
      <c r="A4" s="347" t="str">
        <f>TableGroup1</f>
        <v>Appendix B — 2021 Rate Calculations</v>
      </c>
      <c r="B4" s="6"/>
      <c r="C4" s="6"/>
      <c r="D4" s="6"/>
      <c r="E4" s="6"/>
      <c r="F4" s="6"/>
      <c r="G4" s="6"/>
      <c r="H4" s="6"/>
      <c r="I4" s="6"/>
      <c r="J4" s="6"/>
      <c r="K4" s="6"/>
      <c r="L4" s="6"/>
      <c r="M4" s="6"/>
      <c r="N4" s="6"/>
      <c r="O4" s="6"/>
      <c r="P4" s="6"/>
      <c r="Q4" s="6"/>
      <c r="R4" s="6"/>
    </row>
    <row r="5" spans="1:20">
      <c r="A5" s="6" t="s">
        <v>490</v>
      </c>
      <c r="B5" s="6"/>
      <c r="C5" s="6"/>
      <c r="D5" s="6"/>
      <c r="E5" s="6"/>
      <c r="F5" s="6"/>
      <c r="G5" s="6"/>
      <c r="H5" s="6"/>
      <c r="I5" s="6"/>
      <c r="J5" s="6"/>
      <c r="K5" s="6"/>
      <c r="L5" s="6"/>
      <c r="M5" s="6"/>
      <c r="N5" s="6"/>
      <c r="O5" s="6"/>
      <c r="P5" s="6"/>
      <c r="Q5" s="6"/>
      <c r="R5" s="6"/>
    </row>
    <row r="6" spans="1:20">
      <c r="I6" s="91"/>
    </row>
    <row r="7" spans="1:20" s="252" customFormat="1">
      <c r="G7" s="252" t="s">
        <v>2</v>
      </c>
      <c r="H7" s="252" t="s">
        <v>3</v>
      </c>
      <c r="I7" s="252" t="s">
        <v>4</v>
      </c>
      <c r="L7" s="252" t="s">
        <v>5</v>
      </c>
      <c r="M7" s="252" t="s">
        <v>25</v>
      </c>
      <c r="N7" s="252" t="s">
        <v>26</v>
      </c>
      <c r="Q7" s="252" t="s">
        <v>27</v>
      </c>
      <c r="R7" s="252" t="s">
        <v>50</v>
      </c>
    </row>
    <row r="9" spans="1:20" s="44" customFormat="1">
      <c r="F9" s="98"/>
      <c r="G9" s="45" t="s">
        <v>497</v>
      </c>
      <c r="H9" s="45"/>
      <c r="I9" s="45"/>
      <c r="K9" s="98"/>
      <c r="L9" s="45" t="s">
        <v>498</v>
      </c>
      <c r="M9" s="45"/>
      <c r="N9" s="45"/>
      <c r="P9" s="98"/>
      <c r="Q9" s="45" t="s">
        <v>67</v>
      </c>
      <c r="R9" s="45"/>
    </row>
    <row r="10" spans="1:20" s="47" customFormat="1" ht="26">
      <c r="A10" s="46"/>
      <c r="C10" s="48" t="s">
        <v>1</v>
      </c>
      <c r="D10" s="48"/>
      <c r="F10" s="99"/>
      <c r="G10" s="423" t="s">
        <v>477</v>
      </c>
      <c r="H10" s="423" t="s">
        <v>499</v>
      </c>
      <c r="I10" s="49" t="s">
        <v>23</v>
      </c>
      <c r="K10" s="99"/>
      <c r="L10" s="423" t="s">
        <v>500</v>
      </c>
      <c r="M10" s="423" t="s">
        <v>499</v>
      </c>
      <c r="N10" s="49" t="s">
        <v>23</v>
      </c>
      <c r="P10" s="99"/>
      <c r="Q10" s="49" t="s">
        <v>23</v>
      </c>
      <c r="R10" s="49" t="s">
        <v>66</v>
      </c>
    </row>
    <row r="11" spans="1:20" ht="19" customHeight="1">
      <c r="A11" s="7">
        <v>1</v>
      </c>
      <c r="C11" s="2" t="s">
        <v>63</v>
      </c>
      <c r="D11" s="2"/>
      <c r="E11" s="18"/>
      <c r="F11" s="109"/>
      <c r="G11" s="39"/>
      <c r="H11" s="39"/>
      <c r="I11" s="39"/>
      <c r="J11" s="18"/>
      <c r="K11" s="109"/>
      <c r="L11" s="39"/>
      <c r="M11" s="39"/>
      <c r="N11" s="39"/>
      <c r="O11" s="18"/>
      <c r="P11" s="109"/>
      <c r="Q11" s="39"/>
      <c r="R11" s="39"/>
    </row>
    <row r="12" spans="1:20">
      <c r="A12" s="7">
        <f t="shared" ref="A12:A32" si="0">A11+1</f>
        <v>2</v>
      </c>
      <c r="C12" s="431" t="s">
        <v>390</v>
      </c>
      <c r="D12" s="2"/>
      <c r="E12" s="18"/>
      <c r="F12" s="109"/>
      <c r="G12" s="39"/>
      <c r="H12" s="39"/>
      <c r="I12" s="39"/>
      <c r="J12" s="18"/>
      <c r="K12" s="109"/>
      <c r="L12" s="39"/>
      <c r="M12" s="39"/>
      <c r="N12" s="39"/>
      <c r="O12" s="18"/>
      <c r="P12" s="109"/>
      <c r="Q12" s="39"/>
      <c r="R12" s="39"/>
    </row>
    <row r="13" spans="1:20" s="22" customFormat="1">
      <c r="A13" s="21">
        <f t="shared" si="0"/>
        <v>3</v>
      </c>
      <c r="D13" s="22" t="s">
        <v>128</v>
      </c>
      <c r="E13" s="23"/>
      <c r="F13" s="112"/>
      <c r="G13" s="666">
        <v>10814</v>
      </c>
      <c r="H13" s="51">
        <f>'B-12 Determinants'!F11</f>
        <v>91617.175437382641</v>
      </c>
      <c r="I13" s="43">
        <f>G13*H13/1000000</f>
        <v>990.74813517985581</v>
      </c>
      <c r="J13" s="122"/>
      <c r="K13" s="112"/>
      <c r="L13" s="233">
        <f>'B-8 DTS Rate'!T13</f>
        <v>11023</v>
      </c>
      <c r="M13" s="51">
        <f>'B-12 Determinants'!F11</f>
        <v>91617.175437382641</v>
      </c>
      <c r="N13" s="176">
        <f>L13*M13/1000000</f>
        <v>1009.8961248462689</v>
      </c>
      <c r="O13" s="23"/>
      <c r="P13" s="112"/>
      <c r="Q13" s="232">
        <f>N13-I13</f>
        <v>19.147989666413082</v>
      </c>
      <c r="R13" s="68">
        <f>Q13/I13</f>
        <v>1.932679859441476E-2</v>
      </c>
      <c r="S13" s="77"/>
      <c r="T13" s="68"/>
    </row>
    <row r="14" spans="1:20" s="22" customFormat="1">
      <c r="A14" s="21">
        <f t="shared" si="0"/>
        <v>4</v>
      </c>
      <c r="D14" s="22" t="s">
        <v>129</v>
      </c>
      <c r="E14" s="23"/>
      <c r="F14" s="112"/>
      <c r="G14" s="666">
        <v>1.1299999999999999</v>
      </c>
      <c r="H14" s="51">
        <f>'B-12 Determinants'!F18</f>
        <v>58398.900030000004</v>
      </c>
      <c r="I14" s="51">
        <f>G14*H14/1000</f>
        <v>65.990757033899996</v>
      </c>
      <c r="J14" s="122"/>
      <c r="K14" s="112"/>
      <c r="L14" s="233">
        <f>'B-8 DTS Rate'!T14</f>
        <v>1.21</v>
      </c>
      <c r="M14" s="51">
        <f>'B-12 Determinants'!$F$18</f>
        <v>58398.900030000004</v>
      </c>
      <c r="N14" s="51">
        <f>L14*M14/1000</f>
        <v>70.662669036300002</v>
      </c>
      <c r="O14" s="23"/>
      <c r="P14" s="112"/>
      <c r="Q14" s="197">
        <f t="shared" ref="Q14:Q21" si="1">N14-I14</f>
        <v>4.6719120024000063</v>
      </c>
      <c r="R14" s="68">
        <f t="shared" ref="R14:R21" si="2">Q14/I14</f>
        <v>7.0796460176991247E-2</v>
      </c>
      <c r="S14" s="77"/>
      <c r="T14" s="68"/>
    </row>
    <row r="15" spans="1:20" s="22" customFormat="1">
      <c r="A15" s="21">
        <f t="shared" si="0"/>
        <v>5</v>
      </c>
      <c r="D15" s="22" t="s">
        <v>376</v>
      </c>
      <c r="E15" s="23"/>
      <c r="F15" s="112"/>
      <c r="G15" s="666">
        <v>2799</v>
      </c>
      <c r="H15" s="51">
        <f>'B-12 Determinants'!F12</f>
        <v>159954.2432156</v>
      </c>
      <c r="I15" s="79">
        <f>G15*H15/1000000</f>
        <v>447.71192676046439</v>
      </c>
      <c r="J15" s="122"/>
      <c r="K15" s="112"/>
      <c r="L15" s="233">
        <f>'B-8 DTS Rate'!T16</f>
        <v>2877</v>
      </c>
      <c r="M15" s="51">
        <f>'B-12 Determinants'!F12</f>
        <v>159954.2432156</v>
      </c>
      <c r="N15" s="224">
        <f>L15*M15/1000000</f>
        <v>460.1883577312812</v>
      </c>
      <c r="O15" s="23"/>
      <c r="P15" s="112"/>
      <c r="Q15" s="197">
        <f t="shared" si="1"/>
        <v>12.476430970816807</v>
      </c>
      <c r="R15" s="68">
        <f t="shared" si="2"/>
        <v>2.7867095391211162E-2</v>
      </c>
      <c r="S15" s="77"/>
      <c r="T15" s="68"/>
    </row>
    <row r="16" spans="1:20" s="22" customFormat="1">
      <c r="A16" s="21">
        <f t="shared" si="0"/>
        <v>6</v>
      </c>
      <c r="D16" s="22" t="s">
        <v>377</v>
      </c>
      <c r="E16" s="23"/>
      <c r="F16" s="112"/>
      <c r="G16" s="666">
        <v>0.86</v>
      </c>
      <c r="H16" s="51">
        <f>'B-12 Determinants'!F18</f>
        <v>58398.900030000004</v>
      </c>
      <c r="I16" s="51">
        <f>G16*H16/1000</f>
        <v>50.223054025800003</v>
      </c>
      <c r="J16" s="23"/>
      <c r="K16" s="112"/>
      <c r="L16" s="233">
        <f>'B-8 DTS Rate'!T17</f>
        <v>0.92</v>
      </c>
      <c r="M16" s="51">
        <f>'B-12 Determinants'!F18</f>
        <v>58398.900030000004</v>
      </c>
      <c r="N16" s="51">
        <f>L16*M16/1000</f>
        <v>53.726988027600001</v>
      </c>
      <c r="O16" s="23"/>
      <c r="P16" s="112"/>
      <c r="Q16" s="197">
        <f t="shared" si="1"/>
        <v>3.5039340017999976</v>
      </c>
      <c r="R16" s="68">
        <f t="shared" si="2"/>
        <v>6.976744186046506E-2</v>
      </c>
      <c r="S16" s="77"/>
      <c r="T16" s="68"/>
    </row>
    <row r="17" spans="1:24" s="22" customFormat="1">
      <c r="A17" s="21">
        <f>A16+1</f>
        <v>7</v>
      </c>
      <c r="D17" s="22" t="s">
        <v>334</v>
      </c>
      <c r="E17" s="23"/>
      <c r="F17" s="112"/>
      <c r="G17" s="666">
        <v>14291</v>
      </c>
      <c r="H17" s="51">
        <f>'B-12 Determinants'!F19</f>
        <v>5387.0289699999985</v>
      </c>
      <c r="I17" s="79">
        <f>G17*H17/1000000</f>
        <v>76.986031010269983</v>
      </c>
      <c r="J17" s="23"/>
      <c r="K17" s="112"/>
      <c r="L17" s="53">
        <f>'B-8 DTS Rate'!T19</f>
        <v>14777</v>
      </c>
      <c r="M17" s="51">
        <f>'B-12 Determinants'!F19</f>
        <v>5387.0289699999985</v>
      </c>
      <c r="N17" s="79">
        <f>L17*M17/1000000</f>
        <v>79.604127089689982</v>
      </c>
      <c r="O17" s="23"/>
      <c r="P17" s="112"/>
      <c r="Q17" s="197">
        <f t="shared" si="1"/>
        <v>2.618096079419999</v>
      </c>
      <c r="R17" s="68">
        <f t="shared" si="2"/>
        <v>3.4007417255615416E-2</v>
      </c>
      <c r="S17" s="77"/>
      <c r="T17" s="68"/>
    </row>
    <row r="18" spans="1:24" s="22" customFormat="1">
      <c r="A18" s="21">
        <f>A17+1</f>
        <v>8</v>
      </c>
      <c r="D18" s="22" t="s">
        <v>202</v>
      </c>
      <c r="E18" s="23"/>
      <c r="F18" s="112"/>
      <c r="G18" s="666">
        <v>4703</v>
      </c>
      <c r="H18" s="51">
        <f>'B-12 Determinants'!F13</f>
        <v>36754.783780600003</v>
      </c>
      <c r="I18" s="133">
        <f>G18*H18/1000000</f>
        <v>172.8577481201618</v>
      </c>
      <c r="J18" s="23"/>
      <c r="K18" s="112"/>
      <c r="L18" s="53">
        <f>'B-8 DTS Rate'!T20</f>
        <v>4863</v>
      </c>
      <c r="M18" s="51">
        <f>'B-12 Determinants'!F13</f>
        <v>36754.783780600003</v>
      </c>
      <c r="N18" s="79">
        <f>L18*M18/1000000</f>
        <v>178.73851352505781</v>
      </c>
      <c r="O18" s="23"/>
      <c r="P18" s="112"/>
      <c r="Q18" s="197">
        <f t="shared" si="1"/>
        <v>5.8807654048960103</v>
      </c>
      <c r="R18" s="68">
        <f t="shared" si="2"/>
        <v>3.4020837763129974E-2</v>
      </c>
      <c r="S18" s="77"/>
      <c r="T18" s="68"/>
    </row>
    <row r="19" spans="1:24" s="22" customFormat="1">
      <c r="A19" s="21">
        <f t="shared" si="0"/>
        <v>9</v>
      </c>
      <c r="D19" s="22" t="s">
        <v>203</v>
      </c>
      <c r="E19" s="23"/>
      <c r="F19" s="112"/>
      <c r="G19" s="666">
        <v>2789</v>
      </c>
      <c r="H19" s="51">
        <f>'B-12 Determinants'!F14</f>
        <v>34657.949192999986</v>
      </c>
      <c r="I19" s="133">
        <f>G19*H19/1000000</f>
        <v>96.661020299276956</v>
      </c>
      <c r="J19" s="23"/>
      <c r="K19" s="112"/>
      <c r="L19" s="53">
        <f>'B-8 DTS Rate'!T21</f>
        <v>2884</v>
      </c>
      <c r="M19" s="51">
        <f>'B-12 Determinants'!F14</f>
        <v>34657.949192999986</v>
      </c>
      <c r="N19" s="79">
        <f>L19*M19/1000000</f>
        <v>99.953525472611958</v>
      </c>
      <c r="O19" s="23"/>
      <c r="P19" s="112"/>
      <c r="Q19" s="197">
        <f t="shared" si="1"/>
        <v>3.2925051733350017</v>
      </c>
      <c r="R19" s="68">
        <f t="shared" si="2"/>
        <v>3.406238795267124E-2</v>
      </c>
      <c r="S19" s="77"/>
      <c r="T19" s="68"/>
    </row>
    <row r="20" spans="1:24" s="22" customFormat="1">
      <c r="A20" s="21">
        <f t="shared" si="0"/>
        <v>10</v>
      </c>
      <c r="D20" s="22" t="s">
        <v>204</v>
      </c>
      <c r="E20" s="23"/>
      <c r="F20" s="112"/>
      <c r="G20" s="666">
        <v>1867</v>
      </c>
      <c r="H20" s="51">
        <f>'B-12 Determinants'!F15</f>
        <v>43642.496507200012</v>
      </c>
      <c r="I20" s="133">
        <f>G20*H20/1000000</f>
        <v>81.480540978942429</v>
      </c>
      <c r="J20" s="23"/>
      <c r="K20" s="112"/>
      <c r="L20" s="53">
        <f>'B-8 DTS Rate'!T22</f>
        <v>1931</v>
      </c>
      <c r="M20" s="51">
        <f>'B-12 Determinants'!F15</f>
        <v>43642.496507200012</v>
      </c>
      <c r="N20" s="79">
        <f>L20*M20/1000000</f>
        <v>84.273660755403228</v>
      </c>
      <c r="O20" s="23"/>
      <c r="P20" s="112"/>
      <c r="Q20" s="197">
        <f t="shared" si="1"/>
        <v>2.7931197764607987</v>
      </c>
      <c r="R20" s="68">
        <f t="shared" si="2"/>
        <v>3.427959292983393E-2</v>
      </c>
      <c r="S20" s="77"/>
      <c r="T20" s="588"/>
    </row>
    <row r="21" spans="1:24" s="22" customFormat="1">
      <c r="A21" s="21">
        <f t="shared" si="0"/>
        <v>11</v>
      </c>
      <c r="D21" s="22" t="s">
        <v>205</v>
      </c>
      <c r="E21" s="23"/>
      <c r="F21" s="112"/>
      <c r="G21" s="666">
        <v>1150</v>
      </c>
      <c r="H21" s="51">
        <f>'B-12 Determinants'!F16</f>
        <v>44899.013734799999</v>
      </c>
      <c r="I21" s="133">
        <f>G21*H21/1000000</f>
        <v>51.63386579502</v>
      </c>
      <c r="J21" s="23"/>
      <c r="K21" s="112"/>
      <c r="L21" s="53">
        <f>'B-8 DTS Rate'!T23</f>
        <v>1189</v>
      </c>
      <c r="M21" s="51">
        <f>'B-12 Determinants'!F16</f>
        <v>44899.013734799999</v>
      </c>
      <c r="N21" s="79">
        <f>L21*M21/1000000</f>
        <v>53.384927330677193</v>
      </c>
      <c r="O21" s="23"/>
      <c r="P21" s="112"/>
      <c r="Q21" s="197">
        <f t="shared" si="1"/>
        <v>1.7510615356571932</v>
      </c>
      <c r="R21" s="68">
        <f t="shared" si="2"/>
        <v>3.391304347826074E-2</v>
      </c>
      <c r="S21" s="77"/>
      <c r="T21" s="68"/>
      <c r="U21" s="457"/>
    </row>
    <row r="22" spans="1:24" s="22" customFormat="1">
      <c r="A22" s="21">
        <f>A21+1</f>
        <v>12</v>
      </c>
      <c r="D22" s="457" t="s">
        <v>370</v>
      </c>
      <c r="E22" s="23"/>
      <c r="F22" s="112"/>
      <c r="G22" s="198" t="s">
        <v>60</v>
      </c>
      <c r="H22" s="198" t="s">
        <v>60</v>
      </c>
      <c r="I22" s="199">
        <f>SUM(I13:I21)</f>
        <v>2034.2930792036914</v>
      </c>
      <c r="J22" s="93"/>
      <c r="K22" s="112"/>
      <c r="L22" s="198" t="s">
        <v>60</v>
      </c>
      <c r="M22" s="198" t="s">
        <v>60</v>
      </c>
      <c r="N22" s="199">
        <f>SUM(N13:N21)</f>
        <v>2090.4288938148902</v>
      </c>
      <c r="O22" s="23"/>
      <c r="P22" s="112"/>
      <c r="Q22" s="607">
        <f>N22-I22</f>
        <v>56.135814611198839</v>
      </c>
      <c r="R22" s="200">
        <f>Q22/I22</f>
        <v>2.7594752784182296E-2</v>
      </c>
      <c r="S22" s="77"/>
      <c r="T22" s="588"/>
    </row>
    <row r="23" spans="1:24" s="22" customFormat="1">
      <c r="A23" s="21">
        <f t="shared" si="0"/>
        <v>13</v>
      </c>
      <c r="C23" s="457" t="s">
        <v>64</v>
      </c>
      <c r="E23" s="23"/>
      <c r="F23" s="112"/>
      <c r="G23" s="667">
        <v>7.1300000000000002E-2</v>
      </c>
      <c r="H23" s="51">
        <f>'B-12 Determinants'!F18</f>
        <v>58398.900030000004</v>
      </c>
      <c r="I23" s="51">
        <f>G23*'B-12 Determinants'!$F$20*H23/1000</f>
        <v>224.55597598545629</v>
      </c>
      <c r="J23" s="23"/>
      <c r="K23" s="112"/>
      <c r="L23" s="69">
        <f>'B-8 DTS Rate'!T25</f>
        <v>6.1899999999999997E-2</v>
      </c>
      <c r="M23" s="51">
        <f>'B-12 Determinants'!$F$18</f>
        <v>58398.900030000004</v>
      </c>
      <c r="N23" s="51">
        <f>L23*'B-12 Determinants'!$F$20*M23/1000</f>
        <v>194.95112080644802</v>
      </c>
      <c r="O23" s="122"/>
      <c r="P23" s="112"/>
      <c r="Q23" s="51">
        <f>N23-I23</f>
        <v>-29.604855179008268</v>
      </c>
      <c r="R23" s="68">
        <f>Q23/I23</f>
        <v>-0.1318373071528752</v>
      </c>
      <c r="S23" s="77"/>
      <c r="T23" s="690"/>
      <c r="U23" s="695"/>
      <c r="V23" s="695"/>
      <c r="W23" s="695"/>
      <c r="X23" s="695"/>
    </row>
    <row r="24" spans="1:24" s="22" customFormat="1">
      <c r="A24" s="21">
        <f t="shared" si="0"/>
        <v>14</v>
      </c>
      <c r="C24" s="457" t="s">
        <v>438</v>
      </c>
      <c r="E24" s="23"/>
      <c r="F24" s="112"/>
      <c r="G24" s="668">
        <v>2E-3</v>
      </c>
      <c r="H24" s="51">
        <f>'B-12 Determinants'!F18</f>
        <v>58398.900030000004</v>
      </c>
      <c r="I24" s="51">
        <f>G24*H24/1000</f>
        <v>0.11679780006000001</v>
      </c>
      <c r="J24" s="23"/>
      <c r="K24" s="112"/>
      <c r="L24" s="614">
        <f>'B-8 DTS Rate'!T27</f>
        <v>2E-3</v>
      </c>
      <c r="M24" s="51">
        <f>'B-12 Determinants'!F18</f>
        <v>58398.900030000004</v>
      </c>
      <c r="N24" s="51">
        <f>L24*M24/1000</f>
        <v>0.11679780006000001</v>
      </c>
      <c r="O24" s="122"/>
      <c r="P24" s="112"/>
      <c r="Q24" s="51">
        <f>N24-I24</f>
        <v>0</v>
      </c>
      <c r="R24" s="68">
        <f>Q24/I24</f>
        <v>0</v>
      </c>
      <c r="S24" s="77"/>
      <c r="T24" s="588"/>
    </row>
    <row r="25" spans="1:24" s="22" customFormat="1">
      <c r="A25" s="21">
        <f t="shared" si="0"/>
        <v>15</v>
      </c>
      <c r="C25" s="457" t="s">
        <v>89</v>
      </c>
      <c r="E25" s="23"/>
      <c r="F25" s="112"/>
      <c r="G25" s="666">
        <v>0.05</v>
      </c>
      <c r="H25" s="51">
        <f>'B-12 Determinants'!F18</f>
        <v>58398.900030000004</v>
      </c>
      <c r="I25" s="51">
        <f>G25*H25/1000</f>
        <v>2.9199450015000004</v>
      </c>
      <c r="J25" s="23"/>
      <c r="K25" s="112"/>
      <c r="L25" s="53">
        <f>'B-8 DTS Rate'!T29</f>
        <v>0.01</v>
      </c>
      <c r="M25" s="51">
        <f>'B-12 Determinants'!$F$18</f>
        <v>58398.900030000004</v>
      </c>
      <c r="N25" s="51">
        <f>L25*M25/1000</f>
        <v>0.58398900030000001</v>
      </c>
      <c r="O25" s="122"/>
      <c r="P25" s="112"/>
      <c r="Q25" s="51">
        <f>N25-I25</f>
        <v>-2.3359560012000005</v>
      </c>
      <c r="R25" s="68">
        <f>IF(I25=0,0,Q25/I25)</f>
        <v>-0.8</v>
      </c>
      <c r="T25" s="68"/>
    </row>
    <row r="26" spans="1:24" s="22" customFormat="1">
      <c r="A26" s="21">
        <f t="shared" si="0"/>
        <v>16</v>
      </c>
      <c r="C26" s="22" t="s">
        <v>65</v>
      </c>
      <c r="E26" s="23"/>
      <c r="F26" s="112"/>
      <c r="G26" s="666">
        <v>24</v>
      </c>
      <c r="H26" s="51">
        <f>'B-12 Determinants'!F17</f>
        <v>117932.02213583802</v>
      </c>
      <c r="I26" s="51">
        <f>G26*H26/1000000</f>
        <v>2.8303685312601123</v>
      </c>
      <c r="J26" s="23"/>
      <c r="K26" s="112"/>
      <c r="L26" s="53">
        <f>'B-8 DTS Rate'!T31</f>
        <v>25</v>
      </c>
      <c r="M26" s="51">
        <f>'B-12 Determinants'!F17</f>
        <v>117932.02213583802</v>
      </c>
      <c r="N26" s="51">
        <f>L26*M26/1000000</f>
        <v>2.9483005533959505</v>
      </c>
      <c r="O26" s="23"/>
      <c r="P26" s="112"/>
      <c r="Q26" s="51">
        <f>N26-I26</f>
        <v>0.1179320221358382</v>
      </c>
      <c r="R26" s="68">
        <f>Q26/I26</f>
        <v>4.1666666666666734E-2</v>
      </c>
      <c r="T26" s="68"/>
    </row>
    <row r="27" spans="1:24" s="35" customFormat="1">
      <c r="A27" s="21">
        <f t="shared" si="0"/>
        <v>17</v>
      </c>
      <c r="C27" s="12" t="s">
        <v>49</v>
      </c>
      <c r="D27" s="12"/>
      <c r="E27" s="19"/>
      <c r="F27" s="110"/>
      <c r="G27" s="52"/>
      <c r="H27" s="54"/>
      <c r="I27" s="31">
        <f>SUM(I22:I26)</f>
        <v>2264.7161665219678</v>
      </c>
      <c r="J27" s="19"/>
      <c r="K27" s="110"/>
      <c r="L27" s="52"/>
      <c r="M27" s="54"/>
      <c r="N27" s="31">
        <f>SUM(N22:N26)</f>
        <v>2289.0291019750944</v>
      </c>
      <c r="O27" s="19"/>
      <c r="P27" s="110"/>
      <c r="Q27" s="31">
        <f>SUM(Q22:Q26)</f>
        <v>24.312935453126411</v>
      </c>
      <c r="R27" s="70">
        <f>Q27/I27</f>
        <v>1.0735533137675677E-2</v>
      </c>
      <c r="T27" s="68"/>
    </row>
    <row r="28" spans="1:24" ht="19" customHeight="1">
      <c r="A28" s="21">
        <f t="shared" si="0"/>
        <v>18</v>
      </c>
      <c r="C28" s="2" t="s">
        <v>68</v>
      </c>
      <c r="D28" s="2"/>
      <c r="E28" s="18"/>
      <c r="F28" s="109"/>
      <c r="G28" s="39"/>
      <c r="H28" s="39"/>
      <c r="I28" s="39"/>
      <c r="J28" s="18"/>
      <c r="K28" s="109"/>
      <c r="L28" s="39"/>
      <c r="M28" s="39"/>
      <c r="N28" s="39"/>
      <c r="O28" s="18"/>
      <c r="P28" s="109"/>
      <c r="Q28" s="39"/>
      <c r="R28" s="39"/>
      <c r="T28" s="68"/>
    </row>
    <row r="29" spans="1:24" s="22" customFormat="1">
      <c r="A29" s="21">
        <f t="shared" si="0"/>
        <v>19</v>
      </c>
      <c r="C29" s="22" t="s">
        <v>69</v>
      </c>
      <c r="E29" s="23"/>
      <c r="F29" s="112"/>
      <c r="G29" s="669">
        <v>3.2199999999999999E-2</v>
      </c>
      <c r="H29" s="51">
        <f>'B-12 Determinants'!J18</f>
        <v>58398.900030000004</v>
      </c>
      <c r="I29" s="51">
        <f>G29*'B-12 Determinants'!J20*H29/1000</f>
        <v>101.41237625149638</v>
      </c>
      <c r="J29" s="23"/>
      <c r="K29" s="112"/>
      <c r="L29" s="69">
        <f>'B-10 STS Rate'!T12</f>
        <v>2.98E-2</v>
      </c>
      <c r="M29" s="51">
        <f>'B-12 Determinants'!$J$18</f>
        <v>58398.900030000004</v>
      </c>
      <c r="N29" s="182">
        <f>L29*'B-12 Determinants'!$F$20*M29/1000</f>
        <v>93.853689822813422</v>
      </c>
      <c r="O29" s="93"/>
      <c r="P29" s="112"/>
      <c r="Q29" s="182">
        <f>N29-I29</f>
        <v>-7.5586864286829609</v>
      </c>
      <c r="R29" s="68">
        <f>Q29/I29</f>
        <v>-7.4534161490683232E-2</v>
      </c>
      <c r="T29" s="68"/>
    </row>
    <row r="30" spans="1:24" s="22" customFormat="1">
      <c r="A30" s="21">
        <f t="shared" si="0"/>
        <v>20</v>
      </c>
      <c r="C30" s="22" t="s">
        <v>70</v>
      </c>
      <c r="E30" s="23"/>
      <c r="F30" s="112"/>
      <c r="G30" s="670">
        <v>15</v>
      </c>
      <c r="H30" s="51">
        <f>'B-12 Determinants'!J21</f>
        <v>58262.400000000001</v>
      </c>
      <c r="I30" s="51">
        <f>G30*H30/1000000</f>
        <v>0.87393600000000005</v>
      </c>
      <c r="J30" s="23"/>
      <c r="K30" s="112"/>
      <c r="L30" s="53">
        <f>'B-10 STS Rate'!T14</f>
        <v>0</v>
      </c>
      <c r="M30" s="51">
        <f>'B-12 Determinants'!J21</f>
        <v>58262.400000000001</v>
      </c>
      <c r="N30" s="51">
        <f>L30*M30/1000000</f>
        <v>0</v>
      </c>
      <c r="O30" s="93"/>
      <c r="P30" s="112"/>
      <c r="Q30" s="51">
        <f>N30-I30</f>
        <v>-0.87393600000000005</v>
      </c>
      <c r="R30" s="68">
        <f>Q30/I30</f>
        <v>-1</v>
      </c>
      <c r="T30" s="68"/>
    </row>
    <row r="31" spans="1:24" s="35" customFormat="1" ht="19.399999999999999" customHeight="1">
      <c r="A31" s="21">
        <f t="shared" si="0"/>
        <v>21</v>
      </c>
      <c r="C31" s="12" t="s">
        <v>53</v>
      </c>
      <c r="D31" s="12"/>
      <c r="E31" s="19"/>
      <c r="F31" s="110"/>
      <c r="G31" s="52"/>
      <c r="H31" s="54"/>
      <c r="I31" s="31">
        <f>SUM(I29:I30)</f>
        <v>102.28631225149638</v>
      </c>
      <c r="J31" s="19"/>
      <c r="K31" s="110"/>
      <c r="L31" s="52"/>
      <c r="M31" s="54"/>
      <c r="N31" s="31">
        <f>SUM(N29:N30)</f>
        <v>93.853689822813422</v>
      </c>
      <c r="O31" s="19"/>
      <c r="P31" s="110"/>
      <c r="Q31" s="181">
        <f>SUM(Q28:Q30)</f>
        <v>-8.4326224286829614</v>
      </c>
      <c r="R31" s="70">
        <f>Q31/I31</f>
        <v>-8.244135743157166E-2</v>
      </c>
      <c r="T31" s="68"/>
    </row>
    <row r="32" spans="1:24" s="24" customFormat="1" ht="19.399999999999999" customHeight="1">
      <c r="A32" s="21">
        <f t="shared" si="0"/>
        <v>22</v>
      </c>
      <c r="C32" s="25" t="s">
        <v>71</v>
      </c>
      <c r="D32" s="25"/>
      <c r="E32" s="114"/>
      <c r="F32" s="111"/>
      <c r="G32" s="106"/>
      <c r="H32" s="118"/>
      <c r="I32" s="32">
        <f>SUM(I27,I31)</f>
        <v>2367.0024787734642</v>
      </c>
      <c r="J32" s="28"/>
      <c r="K32" s="111"/>
      <c r="L32" s="106"/>
      <c r="M32" s="118"/>
      <c r="N32" s="32">
        <f>SUM(N27,N31)</f>
        <v>2382.8827917979079</v>
      </c>
      <c r="O32" s="116"/>
      <c r="P32" s="117"/>
      <c r="Q32" s="376">
        <f>SUM(Q27,Q31)</f>
        <v>15.880313024443449</v>
      </c>
      <c r="R32" s="88">
        <f>Q32/I32</f>
        <v>6.7090394568037484E-3</v>
      </c>
      <c r="T32" s="68"/>
    </row>
    <row r="33" spans="1:24" s="10" customFormat="1" ht="12.75" customHeight="1">
      <c r="A33" s="21"/>
      <c r="C33" s="11"/>
      <c r="D33" s="11"/>
      <c r="E33" s="20"/>
      <c r="F33" s="20"/>
      <c r="G33" s="60"/>
      <c r="H33" s="61"/>
      <c r="I33" s="60"/>
      <c r="J33" s="17"/>
      <c r="K33" s="20"/>
      <c r="L33" s="60"/>
      <c r="M33" s="61"/>
      <c r="N33" s="60"/>
      <c r="O33" s="36"/>
      <c r="P33" s="120"/>
      <c r="Q33" s="60"/>
      <c r="R33" s="123"/>
    </row>
    <row r="34" spans="1:24">
      <c r="A34" s="55" t="s">
        <v>137</v>
      </c>
      <c r="B34" s="92"/>
      <c r="C34" s="91" t="s">
        <v>139</v>
      </c>
      <c r="D34" t="s">
        <v>455</v>
      </c>
      <c r="G34" s="56"/>
    </row>
    <row r="35" spans="1:24">
      <c r="A35" s="55"/>
      <c r="B35" s="92"/>
      <c r="C35" s="91"/>
      <c r="D35" t="s">
        <v>456</v>
      </c>
      <c r="G35" s="56"/>
    </row>
    <row r="36" spans="1:24">
      <c r="B36" s="92"/>
      <c r="C36" s="91" t="s">
        <v>138</v>
      </c>
      <c r="D36" s="175" t="str">
        <f>"The 2020 ISO Tariff pool price is the 2020 BRP forecast pool price for 2020, "&amp;DOLLAR('B-12 Determinants'!$F$20,2)&amp;"/MWh"</f>
        <v>The 2020 ISO Tariff pool price is the 2020 BRP forecast pool price for 2020, $53.93/MWh</v>
      </c>
    </row>
    <row r="37" spans="1:24">
      <c r="B37" s="92"/>
      <c r="C37" s="91" t="s">
        <v>184</v>
      </c>
      <c r="D37" s="175" t="s">
        <v>505</v>
      </c>
      <c r="E37" s="175"/>
      <c r="F37" s="175"/>
      <c r="G37" s="175"/>
      <c r="H37" s="175"/>
      <c r="I37" s="175"/>
      <c r="J37" s="175"/>
      <c r="K37" s="175"/>
      <c r="L37" s="175"/>
      <c r="M37" s="175"/>
      <c r="N37" s="175"/>
      <c r="O37" s="175"/>
      <c r="P37" s="175"/>
      <c r="Q37" s="175"/>
      <c r="R37" s="175"/>
      <c r="S37" s="175"/>
      <c r="T37" s="175"/>
      <c r="U37" s="175"/>
      <c r="V37" s="175"/>
      <c r="W37" s="175"/>
      <c r="X37" s="175"/>
    </row>
  </sheetData>
  <phoneticPr fontId="14"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8"/>
  <sheetViews>
    <sheetView showGridLines="0" zoomScale="130" zoomScaleNormal="130" workbookViewId="0">
      <selection activeCell="A5" sqref="A5"/>
    </sheetView>
  </sheetViews>
  <sheetFormatPr defaultRowHeight="13"/>
  <cols>
    <col min="1" max="1" width="4.77734375" customWidth="1"/>
    <col min="2" max="2" width="1.77734375" customWidth="1"/>
    <col min="3" max="3" width="2.77734375" customWidth="1"/>
    <col min="4" max="4" width="30.77734375" customWidth="1"/>
    <col min="5" max="5" width="1.77734375" customWidth="1"/>
    <col min="6" max="6" width="9.77734375" customWidth="1"/>
    <col min="7" max="8" width="1.77734375" customWidth="1"/>
    <col min="9" max="9" width="12.77734375" customWidth="1"/>
    <col min="10" max="10" width="16.77734375" customWidth="1"/>
    <col min="11" max="12" width="1.77734375" customWidth="1"/>
    <col min="13" max="13" width="10.77734375" customWidth="1"/>
    <col min="14" max="14" width="12.77734375" customWidth="1"/>
    <col min="15" max="16" width="1.77734375" customWidth="1"/>
    <col min="17" max="17" width="11.777343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B-14</v>
      </c>
    </row>
    <row r="2" spans="1:17" s="3" customFormat="1">
      <c r="A2" s="5" t="str">
        <f>Application</f>
        <v>2021 ISO Tariff Update Application</v>
      </c>
      <c r="B2" s="5"/>
      <c r="C2" s="5"/>
      <c r="D2" s="5"/>
      <c r="E2" s="5"/>
      <c r="F2" s="5"/>
      <c r="G2" s="5"/>
      <c r="H2" s="5"/>
      <c r="K2" s="5"/>
      <c r="L2" s="5"/>
      <c r="M2" s="5"/>
      <c r="N2" s="5"/>
      <c r="Q2" s="4" t="str">
        <f>TableDate</f>
        <v>November 6, 2020</v>
      </c>
    </row>
    <row r="4" spans="1:17">
      <c r="A4" s="347" t="str">
        <f>TableGroup1</f>
        <v>Appendix B — 2021 Rate Calculations</v>
      </c>
      <c r="B4" s="6"/>
      <c r="C4" s="6"/>
      <c r="D4" s="6"/>
      <c r="E4" s="6"/>
      <c r="F4" s="6"/>
      <c r="G4" s="6"/>
      <c r="H4" s="6"/>
      <c r="I4" s="6"/>
      <c r="J4" s="6"/>
      <c r="K4" s="6"/>
      <c r="L4" s="6"/>
      <c r="M4" s="6"/>
      <c r="N4" s="6"/>
      <c r="O4" s="6"/>
      <c r="P4" s="6"/>
      <c r="Q4" s="6"/>
    </row>
    <row r="5" spans="1:17">
      <c r="A5" s="6" t="s">
        <v>362</v>
      </c>
      <c r="B5" s="6"/>
      <c r="C5" s="6"/>
      <c r="D5" s="6"/>
      <c r="E5" s="6"/>
      <c r="F5" s="6"/>
      <c r="G5" s="6"/>
      <c r="H5" s="6"/>
      <c r="I5" s="6"/>
      <c r="J5" s="6"/>
      <c r="K5" s="6"/>
      <c r="L5" s="6"/>
      <c r="M5" s="6"/>
      <c r="N5" s="6"/>
      <c r="O5" s="6"/>
      <c r="P5" s="6"/>
      <c r="Q5" s="6"/>
    </row>
    <row r="6" spans="1:17">
      <c r="I6" s="91"/>
    </row>
    <row r="7" spans="1:17" s="252" customFormat="1">
      <c r="I7" s="252" t="s">
        <v>2</v>
      </c>
      <c r="J7" s="252" t="s">
        <v>3</v>
      </c>
      <c r="M7" s="252" t="s">
        <v>4</v>
      </c>
      <c r="N7" s="252" t="s">
        <v>5</v>
      </c>
      <c r="Q7" s="252" t="s">
        <v>25</v>
      </c>
    </row>
    <row r="8" spans="1:17" s="1" customFormat="1"/>
    <row r="9" spans="1:17" s="62" customFormat="1">
      <c r="A9" s="62" t="s">
        <v>57</v>
      </c>
      <c r="F9" s="468" t="s">
        <v>450</v>
      </c>
      <c r="G9" s="154"/>
      <c r="H9" s="153"/>
      <c r="I9" s="45" t="s">
        <v>109</v>
      </c>
      <c r="J9" s="45"/>
      <c r="K9" s="154"/>
      <c r="L9" s="153"/>
      <c r="M9" s="45" t="s">
        <v>108</v>
      </c>
      <c r="N9" s="45"/>
      <c r="P9" s="153"/>
      <c r="Q9" s="165" t="s">
        <v>130</v>
      </c>
    </row>
    <row r="10" spans="1:17" s="47" customFormat="1">
      <c r="A10" s="46"/>
      <c r="C10" s="48" t="s">
        <v>1</v>
      </c>
      <c r="D10" s="48"/>
      <c r="F10" s="46" t="s">
        <v>120</v>
      </c>
      <c r="H10" s="99"/>
      <c r="I10" s="49" t="s">
        <v>80</v>
      </c>
      <c r="J10" s="49" t="s">
        <v>56</v>
      </c>
      <c r="L10" s="99"/>
      <c r="M10" s="49" t="s">
        <v>113</v>
      </c>
      <c r="N10" s="49" t="s">
        <v>56</v>
      </c>
      <c r="P10" s="99"/>
      <c r="Q10" s="151" t="s">
        <v>136</v>
      </c>
    </row>
    <row r="11" spans="1:17" ht="19" customHeight="1">
      <c r="A11" s="7">
        <v>1</v>
      </c>
      <c r="C11" s="2" t="s">
        <v>172</v>
      </c>
      <c r="D11" s="2"/>
      <c r="E11" s="18"/>
      <c r="F11" s="71"/>
      <c r="G11" s="18"/>
      <c r="H11" s="109"/>
      <c r="I11" s="39"/>
      <c r="J11" s="155"/>
      <c r="K11" s="18"/>
      <c r="L11" s="109"/>
      <c r="M11" s="39"/>
      <c r="N11" s="155"/>
      <c r="O11" s="18"/>
      <c r="P11" s="109"/>
      <c r="Q11" s="39"/>
    </row>
    <row r="12" spans="1:17" s="167" customFormat="1">
      <c r="A12" s="184">
        <f t="shared" ref="A12:A25" si="0">A11+1</f>
        <v>2</v>
      </c>
      <c r="C12" s="24" t="s">
        <v>169</v>
      </c>
      <c r="E12" s="190"/>
      <c r="F12" s="75" t="s">
        <v>98</v>
      </c>
      <c r="G12" s="190"/>
      <c r="H12" s="191"/>
      <c r="I12" s="192">
        <f>'B-8 DTS Rate'!T13</f>
        <v>11023</v>
      </c>
      <c r="J12" s="193" t="s">
        <v>107</v>
      </c>
      <c r="K12" s="190"/>
      <c r="L12" s="191"/>
      <c r="M12" s="254">
        <f>'B-15 FTS Determinants'!F11</f>
        <v>55.917068</v>
      </c>
      <c r="N12" s="195" t="str">
        <f>'B-15 FTS Determinants'!G12</f>
        <v>MW-months</v>
      </c>
      <c r="O12" s="190"/>
      <c r="P12" s="191"/>
      <c r="Q12" s="255">
        <f>I12*M12/1000</f>
        <v>616.37384056399992</v>
      </c>
    </row>
    <row r="13" spans="1:17" s="22" customFormat="1">
      <c r="A13" s="21">
        <f t="shared" si="0"/>
        <v>3</v>
      </c>
      <c r="C13" t="s">
        <v>114</v>
      </c>
      <c r="E13" s="23"/>
      <c r="F13" s="72" t="s">
        <v>76</v>
      </c>
      <c r="G13" s="23"/>
      <c r="H13" s="112"/>
      <c r="I13" s="136">
        <f>'B-8 DTS Rate'!T14</f>
        <v>1.21</v>
      </c>
      <c r="J13" s="137" t="s">
        <v>62</v>
      </c>
      <c r="K13" s="23"/>
      <c r="L13" s="112"/>
      <c r="M13" s="79">
        <f>'B-15 FTS Determinants'!F14</f>
        <v>23.111450217600002</v>
      </c>
      <c r="N13" s="134" t="str">
        <f>'B-15 FTS Determinants'!G14</f>
        <v>GWh</v>
      </c>
      <c r="O13" s="23"/>
      <c r="P13" s="112"/>
      <c r="Q13" s="197">
        <f>I13*M13</f>
        <v>27.964854763296</v>
      </c>
    </row>
    <row r="14" spans="1:17" s="235" customFormat="1" ht="19" customHeight="1">
      <c r="A14" s="234">
        <f t="shared" si="0"/>
        <v>4</v>
      </c>
      <c r="C14" s="236" t="s">
        <v>378</v>
      </c>
      <c r="D14" s="236"/>
      <c r="E14" s="237"/>
      <c r="F14" s="75"/>
      <c r="G14" s="237"/>
      <c r="H14" s="109"/>
      <c r="I14" s="135"/>
      <c r="J14" s="138"/>
      <c r="K14" s="237"/>
      <c r="L14" s="109"/>
      <c r="M14" s="135"/>
      <c r="N14" s="138"/>
      <c r="O14" s="237"/>
      <c r="P14" s="109"/>
      <c r="Q14" s="135"/>
    </row>
    <row r="15" spans="1:17" s="167" customFormat="1">
      <c r="A15" s="184">
        <f t="shared" si="0"/>
        <v>5</v>
      </c>
      <c r="C15" s="24" t="s">
        <v>110</v>
      </c>
      <c r="E15" s="190"/>
      <c r="F15" s="75" t="s">
        <v>145</v>
      </c>
      <c r="G15" s="190"/>
      <c r="H15" s="191"/>
      <c r="I15" s="192">
        <f>M36</f>
        <v>2877</v>
      </c>
      <c r="J15" s="417" t="s">
        <v>107</v>
      </c>
      <c r="K15" s="190"/>
      <c r="L15" s="191"/>
      <c r="M15" s="194">
        <f>'B-15 FTS Determinants'!F12</f>
        <v>415.99999999999994</v>
      </c>
      <c r="N15" s="195" t="str">
        <f>'B-15 FTS Determinants'!G12</f>
        <v>MW-months</v>
      </c>
      <c r="O15" s="190"/>
      <c r="P15" s="191"/>
      <c r="Q15" s="196">
        <f>I15*M15/1000</f>
        <v>1196.8319999999999</v>
      </c>
    </row>
    <row r="16" spans="1:17" s="22" customFormat="1">
      <c r="A16" s="21">
        <f t="shared" si="0"/>
        <v>6</v>
      </c>
      <c r="C16" t="s">
        <v>173</v>
      </c>
      <c r="E16" s="23"/>
      <c r="F16" s="72" t="s">
        <v>145</v>
      </c>
      <c r="G16" s="23"/>
      <c r="H16" s="112"/>
      <c r="I16" s="136">
        <f>M37</f>
        <v>0.92</v>
      </c>
      <c r="J16" s="137" t="s">
        <v>62</v>
      </c>
      <c r="K16" s="23"/>
      <c r="L16" s="112"/>
      <c r="M16" s="79">
        <f>'B-15 FTS Determinants'!F14</f>
        <v>23.111450217600002</v>
      </c>
      <c r="N16" s="134" t="str">
        <f>'B-15 FTS Determinants'!G14</f>
        <v>GWh</v>
      </c>
      <c r="O16" s="23"/>
      <c r="P16" s="112"/>
      <c r="Q16" s="133">
        <f>I16*M16</f>
        <v>21.262534200192004</v>
      </c>
    </row>
    <row r="17" spans="1:17" ht="19" customHeight="1">
      <c r="A17" s="7">
        <f t="shared" si="0"/>
        <v>7</v>
      </c>
      <c r="C17" s="2" t="s">
        <v>131</v>
      </c>
      <c r="D17" s="2"/>
      <c r="E17" s="18"/>
      <c r="F17" s="75"/>
      <c r="G17" s="18"/>
      <c r="H17" s="109"/>
      <c r="I17" s="39"/>
      <c r="J17" s="155"/>
      <c r="K17" s="18"/>
      <c r="L17" s="109"/>
      <c r="M17" s="39"/>
      <c r="N17" s="155"/>
      <c r="O17" s="18"/>
      <c r="P17" s="109"/>
      <c r="Q17" s="80"/>
    </row>
    <row r="18" spans="1:17" s="9" customFormat="1">
      <c r="A18" s="8">
        <f t="shared" si="0"/>
        <v>8</v>
      </c>
      <c r="C18" s="9" t="s">
        <v>115</v>
      </c>
      <c r="E18" s="146"/>
      <c r="F18" s="74" t="s">
        <v>75</v>
      </c>
      <c r="G18" s="146"/>
      <c r="H18" s="147"/>
      <c r="I18" s="150">
        <f>'B-8 DTS Rate'!T25</f>
        <v>6.1899999999999997E-2</v>
      </c>
      <c r="J18" s="163" t="s">
        <v>140</v>
      </c>
      <c r="K18" s="146"/>
      <c r="L18" s="147"/>
      <c r="M18" s="149">
        <f>'B-15 FTS Determinants'!F14</f>
        <v>23.111450217600002</v>
      </c>
      <c r="N18" s="156" t="str">
        <f>'B-12 Determinants'!G18</f>
        <v>GWh</v>
      </c>
      <c r="O18" s="146"/>
      <c r="P18" s="147"/>
      <c r="Q18" s="148">
        <f>I18*M18*'B-15 FTS Determinants'!F15</f>
        <v>77.152191583556899</v>
      </c>
    </row>
    <row r="19" spans="1:17" s="9" customFormat="1">
      <c r="A19" s="8">
        <f t="shared" si="0"/>
        <v>9</v>
      </c>
      <c r="C19" s="12" t="s">
        <v>451</v>
      </c>
      <c r="E19" s="146"/>
      <c r="F19" s="74"/>
      <c r="G19" s="146"/>
      <c r="H19" s="147"/>
      <c r="I19" s="467"/>
      <c r="J19" s="163"/>
      <c r="K19" s="146"/>
      <c r="L19" s="147"/>
      <c r="M19" s="149"/>
      <c r="N19" s="156"/>
      <c r="O19" s="146"/>
      <c r="P19" s="147"/>
      <c r="Q19" s="148"/>
    </row>
    <row r="20" spans="1:17" s="9" customFormat="1">
      <c r="A20" s="8">
        <f t="shared" si="0"/>
        <v>10</v>
      </c>
      <c r="C20" s="9" t="s">
        <v>115</v>
      </c>
      <c r="E20" s="146"/>
      <c r="F20" s="469" t="s">
        <v>183</v>
      </c>
      <c r="G20" s="146"/>
      <c r="H20" s="147"/>
      <c r="I20" s="574">
        <f>'B-8 DTS Rate'!T27</f>
        <v>2E-3</v>
      </c>
      <c r="J20" s="137" t="s">
        <v>62</v>
      </c>
      <c r="K20" s="146"/>
      <c r="L20" s="147"/>
      <c r="M20" s="149">
        <f>'B-15 FTS Determinants'!F14</f>
        <v>23.111450217600002</v>
      </c>
      <c r="N20" s="156" t="str">
        <f>'B-15 FTS Determinants'!G14</f>
        <v>GWh</v>
      </c>
      <c r="O20" s="146"/>
      <c r="P20" s="147"/>
      <c r="Q20" s="143">
        <f>I20*M20</f>
        <v>4.6222900435200005E-2</v>
      </c>
    </row>
    <row r="21" spans="1:17" s="24" customFormat="1" ht="19" customHeight="1">
      <c r="A21" s="8">
        <f t="shared" si="0"/>
        <v>11</v>
      </c>
      <c r="C21" s="25" t="s">
        <v>132</v>
      </c>
      <c r="D21" s="25"/>
      <c r="E21" s="491"/>
      <c r="F21" s="75"/>
      <c r="G21" s="491"/>
      <c r="H21" s="492"/>
      <c r="I21" s="135"/>
      <c r="J21" s="138"/>
      <c r="K21" s="491"/>
      <c r="L21" s="492"/>
      <c r="M21" s="39"/>
      <c r="N21" s="155"/>
      <c r="O21" s="491"/>
      <c r="P21" s="492"/>
      <c r="Q21" s="143"/>
    </row>
    <row r="22" spans="1:17" s="35" customFormat="1">
      <c r="A22" s="8">
        <f t="shared" si="0"/>
        <v>12</v>
      </c>
      <c r="C22" s="9" t="s">
        <v>114</v>
      </c>
      <c r="E22" s="141"/>
      <c r="F22" s="469" t="s">
        <v>101</v>
      </c>
      <c r="G22" s="141"/>
      <c r="H22" s="142"/>
      <c r="I22" s="136">
        <f>'B-8 DTS Rate'!T29</f>
        <v>0.01</v>
      </c>
      <c r="J22" s="137" t="s">
        <v>62</v>
      </c>
      <c r="K22" s="141"/>
      <c r="L22" s="142"/>
      <c r="M22" s="144">
        <f>'B-15 FTS Determinants'!F14</f>
        <v>23.111450217600002</v>
      </c>
      <c r="N22" s="145" t="str">
        <f>'B-12 Determinants'!G18</f>
        <v>GWh</v>
      </c>
      <c r="O22" s="141"/>
      <c r="P22" s="142"/>
      <c r="Q22" s="143">
        <f>I22*M22</f>
        <v>0.23111450217600002</v>
      </c>
    </row>
    <row r="23" spans="1:17" s="24" customFormat="1" ht="19" customHeight="1">
      <c r="A23" s="8">
        <f t="shared" si="0"/>
        <v>13</v>
      </c>
      <c r="C23" s="25" t="s">
        <v>133</v>
      </c>
      <c r="D23" s="25"/>
      <c r="E23" s="491"/>
      <c r="F23" s="75"/>
      <c r="G23" s="491"/>
      <c r="H23" s="492"/>
      <c r="I23" s="39"/>
      <c r="J23" s="155"/>
      <c r="K23" s="491"/>
      <c r="L23" s="492"/>
      <c r="M23" s="39"/>
      <c r="N23" s="155"/>
      <c r="O23" s="491"/>
      <c r="P23" s="492"/>
      <c r="Q23" s="80"/>
    </row>
    <row r="24" spans="1:17" s="35" customFormat="1">
      <c r="A24" s="8">
        <f t="shared" si="0"/>
        <v>14</v>
      </c>
      <c r="C24" s="9" t="s">
        <v>159</v>
      </c>
      <c r="E24" s="141"/>
      <c r="F24" s="469" t="s">
        <v>371</v>
      </c>
      <c r="G24" s="141"/>
      <c r="H24" s="142"/>
      <c r="I24" s="136">
        <f>'B-8 DTS Rate'!T31</f>
        <v>25</v>
      </c>
      <c r="J24" s="137" t="s">
        <v>107</v>
      </c>
      <c r="K24" s="141"/>
      <c r="L24" s="142"/>
      <c r="M24" s="144">
        <f>'B-15 FTS Determinants'!$F$13</f>
        <v>181.81110039999999</v>
      </c>
      <c r="N24" s="145" t="str">
        <f>'B-12 Determinants'!G13</f>
        <v>MW-months</v>
      </c>
      <c r="O24" s="141"/>
      <c r="P24" s="142"/>
      <c r="Q24" s="143">
        <f>I24*M24/1000</f>
        <v>4.54527751</v>
      </c>
    </row>
    <row r="25" spans="1:17" s="24" customFormat="1" ht="19.399999999999999" customHeight="1">
      <c r="A25" s="8">
        <f t="shared" si="0"/>
        <v>15</v>
      </c>
      <c r="C25" s="25" t="s">
        <v>134</v>
      </c>
      <c r="D25" s="25"/>
      <c r="E25" s="114"/>
      <c r="F25" s="115"/>
      <c r="G25" s="114"/>
      <c r="H25" s="117"/>
      <c r="I25" s="106"/>
      <c r="J25" s="157"/>
      <c r="K25" s="28"/>
      <c r="L25" s="117"/>
      <c r="M25" s="106"/>
      <c r="N25" s="157"/>
      <c r="O25" s="114"/>
      <c r="P25" s="117"/>
      <c r="Q25" s="376">
        <f>SUM(Q12:Q24)</f>
        <v>1944.408036023656</v>
      </c>
    </row>
    <row r="26" spans="1:17" s="24" customFormat="1" ht="12.75" customHeight="1">
      <c r="A26" s="7"/>
      <c r="C26" s="167"/>
      <c r="D26" s="25"/>
      <c r="E26" s="114"/>
      <c r="F26" s="115"/>
      <c r="G26" s="28"/>
      <c r="H26" s="119"/>
      <c r="I26" s="106"/>
      <c r="J26" s="106"/>
      <c r="K26" s="28"/>
      <c r="L26" s="119"/>
      <c r="M26" s="106"/>
      <c r="N26" s="106"/>
      <c r="O26" s="114"/>
      <c r="P26" s="119"/>
      <c r="Q26" s="106"/>
    </row>
    <row r="27" spans="1:17">
      <c r="A27" s="55" t="s">
        <v>137</v>
      </c>
      <c r="C27" s="166" t="s">
        <v>139</v>
      </c>
      <c r="D27" t="s">
        <v>156</v>
      </c>
    </row>
    <row r="28" spans="1:17">
      <c r="D28" t="s">
        <v>391</v>
      </c>
    </row>
    <row r="29" spans="1:17">
      <c r="D29" t="s">
        <v>379</v>
      </c>
      <c r="I29" s="136">
        <f>'B-8 DTS Rate'!R16</f>
        <v>2670</v>
      </c>
      <c r="J29" s="137" t="s">
        <v>107</v>
      </c>
      <c r="K29" s="168" t="s">
        <v>141</v>
      </c>
      <c r="M29">
        <f>'B-15 FTS Determinants'!F12</f>
        <v>415.99999999999994</v>
      </c>
      <c r="N29" s="134" t="str">
        <f>'B-15 FTS Determinants'!G12</f>
        <v>MW-months</v>
      </c>
      <c r="O29" s="91" t="s">
        <v>142</v>
      </c>
      <c r="Q29" s="263">
        <f>I29*M29</f>
        <v>1110719.9999999998</v>
      </c>
    </row>
    <row r="30" spans="1:17">
      <c r="D30" t="s">
        <v>380</v>
      </c>
      <c r="I30" s="136">
        <f>'B-8 DTS Rate'!R17</f>
        <v>0.85</v>
      </c>
      <c r="J30" s="137" t="s">
        <v>62</v>
      </c>
      <c r="K30" s="168" t="s">
        <v>141</v>
      </c>
      <c r="M30">
        <f>'B-15 FTS Determinants'!F14</f>
        <v>23.111450217600002</v>
      </c>
      <c r="N30" s="145" t="str">
        <f>'B-15 FTS Determinants'!G14</f>
        <v>GWh</v>
      </c>
      <c r="O30" s="91" t="s">
        <v>142</v>
      </c>
      <c r="Q30" s="126">
        <f>I30*M30*1000</f>
        <v>19644.732684959999</v>
      </c>
    </row>
    <row r="31" spans="1:17">
      <c r="D31" t="s">
        <v>384</v>
      </c>
      <c r="Q31" s="264">
        <f>SUM(Q29:Q30)</f>
        <v>1130364.7326849597</v>
      </c>
    </row>
    <row r="32" spans="1:17">
      <c r="D32" t="s">
        <v>162</v>
      </c>
    </row>
    <row r="33" spans="3:14">
      <c r="D33" t="s">
        <v>381</v>
      </c>
    </row>
    <row r="34" spans="3:14">
      <c r="D34" t="s">
        <v>366</v>
      </c>
    </row>
    <row r="35" spans="3:14">
      <c r="I35" s="169" t="s">
        <v>117</v>
      </c>
      <c r="J35" s="169" t="s">
        <v>144</v>
      </c>
      <c r="M35" t="s">
        <v>121</v>
      </c>
      <c r="N35" t="s">
        <v>143</v>
      </c>
    </row>
    <row r="36" spans="3:14">
      <c r="D36" t="s">
        <v>382</v>
      </c>
      <c r="I36" s="170">
        <f>MAX('B-8 DTS Rate'!R16,ROUND((410139*Q29/Q31)/M29,0))</f>
        <v>2670</v>
      </c>
      <c r="J36" s="170">
        <f>'B-8 DTS Rate'!S16</f>
        <v>207</v>
      </c>
      <c r="M36" s="170">
        <f>IF('B-8 DTS Rate'!R16&gt;(410139*Q29/Q31)/M29,'B-8 DTS Rate'!T16,ROUND((((410139*Q29/Q31)/M29)+'B-14 FTS Rate'!J36),0))</f>
        <v>2877</v>
      </c>
      <c r="N36" s="92" t="s">
        <v>107</v>
      </c>
    </row>
    <row r="37" spans="3:14">
      <c r="D37" t="s">
        <v>383</v>
      </c>
      <c r="I37" s="170">
        <f>MAX('B-8 DTS Rate'!R17,ROUND((410139*Q30/Q31)/(M30*1000),2))</f>
        <v>0.85</v>
      </c>
      <c r="J37" s="170">
        <f>'B-8 DTS Rate'!S17</f>
        <v>7.0000000000000007E-2</v>
      </c>
      <c r="M37" s="170">
        <f>MAX('B-8 DTS Rate'!T17,ROUND((410139*Q30/Q31)/(M30*1000),2)+J37)</f>
        <v>0.92</v>
      </c>
      <c r="N37" s="92" t="s">
        <v>62</v>
      </c>
    </row>
    <row r="38" spans="3:14">
      <c r="C38" s="91" t="s">
        <v>138</v>
      </c>
      <c r="D38" t="str">
        <f>"The 2020 ISO Tariff pool price is the 2020 BRP forecast pool price for 2020, "&amp;DOLLAR('B-12 Determinants'!$F$20,2)&amp;"/MWh"</f>
        <v>The 2020 ISO Tariff pool price is the 2020 BRP forecast pool price for 2020, $53.93/MWh</v>
      </c>
    </row>
  </sheetData>
  <phoneticPr fontId="14"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election activeCell="F15" sqref="F15"/>
    </sheetView>
  </sheetViews>
  <sheetFormatPr defaultRowHeight="13"/>
  <cols>
    <col min="1" max="1" width="5.77734375" customWidth="1"/>
    <col min="2" max="2" width="1.77734375" customWidth="1"/>
    <col min="3" max="3" width="2.77734375" customWidth="1"/>
    <col min="4" max="4" width="60.77734375" customWidth="1"/>
    <col min="5" max="5" width="1.77734375" customWidth="1"/>
    <col min="6" max="7" width="12.77734375" customWidth="1"/>
  </cols>
  <sheetData>
    <row r="1" spans="1:9" s="3" customFormat="1">
      <c r="A1" s="5" t="str">
        <f>Applicant</f>
        <v>Alberta Electric System Operator</v>
      </c>
      <c r="B1" s="5"/>
      <c r="C1" s="5"/>
      <c r="D1" s="5"/>
      <c r="G1" s="4" t="str">
        <f ca="1">TablePrefix&amp;TRIM(MID(CELL("filename",I2),FIND("]",CELL("filename",I2))+1,5))&amp;TableSuffix</f>
        <v>Table B-15</v>
      </c>
    </row>
    <row r="2" spans="1:9" s="3" customFormat="1">
      <c r="A2" s="5" t="str">
        <f>Application</f>
        <v>2021 ISO Tariff Update Application</v>
      </c>
      <c r="B2" s="5"/>
      <c r="C2" s="5"/>
      <c r="D2" s="5"/>
      <c r="G2" s="4" t="str">
        <f>TableDate</f>
        <v>November 6, 2020</v>
      </c>
    </row>
    <row r="4" spans="1:9">
      <c r="A4" s="347" t="str">
        <f>TableGroup1</f>
        <v>Appendix B — 2021 Rate Calculations</v>
      </c>
      <c r="B4" s="6"/>
      <c r="C4" s="6"/>
      <c r="D4" s="6"/>
      <c r="E4" s="6"/>
      <c r="F4" s="6"/>
      <c r="G4" s="6"/>
    </row>
    <row r="5" spans="1:9">
      <c r="A5" s="6" t="s">
        <v>495</v>
      </c>
      <c r="B5" s="6"/>
      <c r="C5" s="6"/>
      <c r="D5" s="6"/>
      <c r="E5" s="6"/>
      <c r="F5" s="6"/>
      <c r="G5" s="6"/>
    </row>
    <row r="6" spans="1:9">
      <c r="I6" s="91"/>
    </row>
    <row r="7" spans="1:9" s="252" customFormat="1">
      <c r="F7" s="252" t="s">
        <v>2</v>
      </c>
      <c r="G7" s="252" t="s">
        <v>3</v>
      </c>
    </row>
    <row r="9" spans="1:9" s="44" customFormat="1">
      <c r="A9" s="62" t="s">
        <v>57</v>
      </c>
      <c r="F9" s="45" t="s">
        <v>365</v>
      </c>
      <c r="G9" s="45"/>
    </row>
    <row r="10" spans="1:9" s="47" customFormat="1">
      <c r="A10" s="46"/>
      <c r="C10" s="48" t="s">
        <v>55</v>
      </c>
      <c r="D10" s="48"/>
      <c r="F10" s="46" t="s">
        <v>113</v>
      </c>
      <c r="G10" s="49" t="s">
        <v>56</v>
      </c>
    </row>
    <row r="11" spans="1:9" s="22" customFormat="1" ht="25.5" customHeight="1">
      <c r="A11" s="21">
        <v>1</v>
      </c>
      <c r="C11" s="22" t="s">
        <v>171</v>
      </c>
      <c r="F11" s="202">
        <v>55.917068</v>
      </c>
      <c r="G11" s="63" t="s">
        <v>28</v>
      </c>
      <c r="I11" s="457"/>
    </row>
    <row r="12" spans="1:9" s="22" customFormat="1" ht="25.5" customHeight="1">
      <c r="A12" s="21">
        <f>A11+1</f>
        <v>2</v>
      </c>
      <c r="C12" s="22" t="s">
        <v>135</v>
      </c>
      <c r="F12" s="202">
        <v>415.99999999999994</v>
      </c>
      <c r="G12" s="63" t="s">
        <v>28</v>
      </c>
    </row>
    <row r="13" spans="1:9" s="22" customFormat="1" ht="25.5" customHeight="1">
      <c r="A13" s="21">
        <f>A12+1</f>
        <v>3</v>
      </c>
      <c r="C13" s="457" t="s">
        <v>480</v>
      </c>
      <c r="F13" s="662">
        <v>181.81110039999999</v>
      </c>
      <c r="G13" s="63" t="s">
        <v>28</v>
      </c>
    </row>
    <row r="14" spans="1:9" s="22" customFormat="1" ht="25.5" customHeight="1">
      <c r="A14" s="21">
        <f>A13+1</f>
        <v>4</v>
      </c>
      <c r="C14" s="22" t="s">
        <v>59</v>
      </c>
      <c r="F14" s="662">
        <v>23.111450217600002</v>
      </c>
      <c r="G14" s="63" t="s">
        <v>29</v>
      </c>
    </row>
    <row r="15" spans="1:9" s="22" customFormat="1" ht="25.5" customHeight="1">
      <c r="A15" s="21">
        <f>A14+1</f>
        <v>5</v>
      </c>
      <c r="C15" s="22" t="s">
        <v>146</v>
      </c>
      <c r="F15" s="201">
        <f>'B-12 Determinants'!$F$20</f>
        <v>53.93</v>
      </c>
      <c r="G15" s="67" t="s">
        <v>62</v>
      </c>
      <c r="I15" s="457"/>
    </row>
    <row r="16" spans="1:9" s="22" customFormat="1" ht="12.75" customHeight="1">
      <c r="A16" s="21"/>
      <c r="F16" s="65"/>
      <c r="G16" s="63"/>
      <c r="I16" s="457"/>
    </row>
    <row r="17" spans="1:11">
      <c r="A17" t="s">
        <v>52</v>
      </c>
      <c r="C17" s="457" t="str">
        <f>"The 2021 ISO Tariff pool price is the 2021 BRP forecast pool price for 2021, "&amp;DOLLAR('B-12 Determinants'!$F$20,2)&amp;"/MWh"</f>
        <v>The 2021 ISO Tariff pool price is the 2021 BRP forecast pool price for 2021, $53.93/MWh</v>
      </c>
      <c r="K17" s="415"/>
    </row>
    <row r="18" spans="1:11" s="175" customFormat="1">
      <c r="C18" s="606"/>
    </row>
    <row r="19" spans="1:11">
      <c r="K19" s="415"/>
    </row>
    <row r="21" spans="1:11">
      <c r="K21" s="414"/>
    </row>
  </sheetData>
  <phoneticPr fontId="14"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6"/>
  <sheetViews>
    <sheetView showGridLines="0" zoomScale="130" zoomScaleNormal="130" workbookViewId="0">
      <selection activeCell="I23" sqref="I23"/>
    </sheetView>
  </sheetViews>
  <sheetFormatPr defaultColWidth="12" defaultRowHeight="12.5"/>
  <cols>
    <col min="1" max="1" width="10.109375" style="382" customWidth="1"/>
    <col min="2" max="2" width="35.77734375" style="382" customWidth="1"/>
    <col min="3" max="5" width="12.44140625" style="382" customWidth="1"/>
    <col min="6" max="8" width="18.33203125" style="382" customWidth="1"/>
    <col min="9" max="9" width="12" style="382"/>
    <col min="10" max="10" width="12.33203125" style="382" bestFit="1" customWidth="1"/>
    <col min="11" max="16384" width="12" style="382"/>
  </cols>
  <sheetData>
    <row r="1" spans="1:11" s="3" customFormat="1" ht="13">
      <c r="A1" s="5" t="str">
        <f>Applicant</f>
        <v>Alberta Electric System Operator</v>
      </c>
      <c r="B1" s="5"/>
      <c r="C1" s="5"/>
      <c r="D1" s="5"/>
      <c r="H1" s="4" t="str">
        <f ca="1">TablePrefix&amp;TRIM(MID(CELL("filename",I2),FIND("]",CELL("filename",I2))+1,5))&amp;TableSuffix</f>
        <v>Table B-16</v>
      </c>
    </row>
    <row r="2" spans="1:11" s="3" customFormat="1" ht="13">
      <c r="A2" s="5" t="str">
        <f>Application</f>
        <v>2021 ISO Tariff Update Application</v>
      </c>
      <c r="B2" s="5"/>
      <c r="C2" s="5"/>
      <c r="D2" s="5"/>
      <c r="H2" s="4" t="str">
        <f>TableDate</f>
        <v>November 6, 2020</v>
      </c>
    </row>
    <row r="3" spans="1:11" customFormat="1" ht="13"/>
    <row r="4" spans="1:11" s="385" customFormat="1" ht="13">
      <c r="B4" s="349"/>
      <c r="C4" s="349"/>
      <c r="D4" s="394" t="str">
        <f>TableGroup1</f>
        <v>Appendix B — 2021 Rate Calculations</v>
      </c>
      <c r="E4" s="349"/>
      <c r="F4" s="384"/>
      <c r="G4" s="384"/>
      <c r="H4" s="386"/>
    </row>
    <row r="5" spans="1:11" s="385" customFormat="1" ht="13">
      <c r="B5" s="349"/>
      <c r="C5" s="349"/>
      <c r="D5" s="472" t="s">
        <v>339</v>
      </c>
      <c r="E5" s="349"/>
      <c r="F5" s="384"/>
      <c r="G5" s="384"/>
      <c r="H5" s="384"/>
    </row>
    <row r="6" spans="1:11" s="385" customFormat="1"/>
    <row r="7" spans="1:11" s="385" customFormat="1" ht="13">
      <c r="A7" s="385" t="s">
        <v>357</v>
      </c>
      <c r="B7" s="350" t="s">
        <v>218</v>
      </c>
      <c r="C7" s="351"/>
      <c r="D7" s="351"/>
      <c r="E7" s="351"/>
      <c r="F7" s="352"/>
      <c r="G7" s="386" t="s">
        <v>219</v>
      </c>
      <c r="H7" s="353" t="s">
        <v>220</v>
      </c>
    </row>
    <row r="8" spans="1:11" s="265" customFormat="1">
      <c r="I8" s="354"/>
    </row>
    <row r="9" spans="1:11" s="265" customFormat="1" ht="13">
      <c r="A9" s="471" t="s">
        <v>479</v>
      </c>
      <c r="B9" s="356"/>
      <c r="C9" s="356"/>
      <c r="D9" s="356"/>
      <c r="E9" s="356"/>
      <c r="F9" s="356"/>
      <c r="G9" s="356"/>
      <c r="H9" s="357"/>
      <c r="I9" s="354"/>
    </row>
    <row r="11" spans="1:11" s="283" customFormat="1" ht="13">
      <c r="A11" s="380" t="s">
        <v>1</v>
      </c>
      <c r="B11" s="380"/>
      <c r="C11" s="380"/>
      <c r="D11" s="380"/>
      <c r="E11" s="380"/>
      <c r="F11" s="383" t="s">
        <v>32</v>
      </c>
      <c r="G11" s="383" t="s">
        <v>206</v>
      </c>
      <c r="H11" s="383" t="s">
        <v>121</v>
      </c>
      <c r="J11" s="284"/>
      <c r="K11" s="285"/>
    </row>
    <row r="12" spans="1:11" s="280" customFormat="1">
      <c r="A12" s="282" t="s">
        <v>221</v>
      </c>
      <c r="B12" s="280" t="s">
        <v>492</v>
      </c>
      <c r="D12" s="382"/>
      <c r="E12" s="382"/>
      <c r="F12" s="286">
        <f>'B-16 Bill Estimator'!H94</f>
        <v>356199.61</v>
      </c>
      <c r="G12" s="287">
        <f>F28*F30</f>
        <v>511795.7</v>
      </c>
      <c r="H12" s="286">
        <f>SUM(F12:G12)</f>
        <v>867995.31</v>
      </c>
      <c r="K12" s="282"/>
    </row>
    <row r="13" spans="1:11" s="280" customFormat="1">
      <c r="A13" s="282" t="s">
        <v>222</v>
      </c>
      <c r="B13" s="280" t="s">
        <v>493</v>
      </c>
      <c r="D13" s="382"/>
      <c r="E13" s="382"/>
      <c r="F13" s="286">
        <f>'B-16 Bill Estimator'!H66</f>
        <v>359833.23</v>
      </c>
      <c r="G13" s="287">
        <f>F28*F30</f>
        <v>511795.7</v>
      </c>
      <c r="H13" s="286">
        <f>SUM(F13:G13)</f>
        <v>871628.92999999993</v>
      </c>
      <c r="K13" s="282"/>
    </row>
    <row r="14" spans="1:11" s="280" customFormat="1">
      <c r="A14" s="282" t="s">
        <v>223</v>
      </c>
      <c r="B14" s="280" t="s">
        <v>67</v>
      </c>
      <c r="D14" s="382"/>
      <c r="E14" s="382"/>
      <c r="F14" s="288">
        <f>F13-F12</f>
        <v>3633.6199999999953</v>
      </c>
      <c r="G14" s="288">
        <f>G13-G12</f>
        <v>0</v>
      </c>
      <c r="H14" s="288">
        <f>SUM(F14:G14)</f>
        <v>3633.6199999999953</v>
      </c>
      <c r="K14" s="282"/>
    </row>
    <row r="15" spans="1:11" s="280" customFormat="1">
      <c r="A15" s="282" t="s">
        <v>224</v>
      </c>
      <c r="B15" s="280" t="s">
        <v>312</v>
      </c>
      <c r="D15" s="382"/>
      <c r="E15" s="382"/>
      <c r="F15" s="379">
        <f>F14/F12</f>
        <v>1.0201077985458759E-2</v>
      </c>
      <c r="G15" s="379">
        <f>G14/G12</f>
        <v>0</v>
      </c>
      <c r="H15" s="379">
        <f>H14/H12</f>
        <v>4.1862207757781492E-3</v>
      </c>
      <c r="K15" s="282"/>
    </row>
    <row r="17" spans="1:11" s="265" customFormat="1" ht="13">
      <c r="A17" s="355" t="s">
        <v>328</v>
      </c>
      <c r="B17" s="356"/>
      <c r="C17" s="356"/>
      <c r="D17" s="356"/>
      <c r="E17" s="356"/>
      <c r="F17" s="356"/>
      <c r="G17" s="356"/>
      <c r="H17" s="357"/>
      <c r="I17" s="354"/>
    </row>
    <row r="18" spans="1:11" s="280" customFormat="1">
      <c r="A18" s="382"/>
      <c r="B18" s="382"/>
      <c r="C18" s="382"/>
      <c r="D18" s="382"/>
      <c r="E18" s="382"/>
      <c r="F18" s="382"/>
      <c r="G18" s="382"/>
      <c r="H18" s="382"/>
      <c r="K18" s="282"/>
    </row>
    <row r="19" spans="1:11" s="283" customFormat="1" ht="13">
      <c r="A19" s="380" t="s">
        <v>229</v>
      </c>
      <c r="B19" s="380"/>
      <c r="C19" s="380"/>
      <c r="D19" s="380"/>
      <c r="E19" s="289" t="s">
        <v>143</v>
      </c>
      <c r="F19" s="289" t="s">
        <v>32</v>
      </c>
      <c r="G19" s="341"/>
      <c r="H19" s="341"/>
      <c r="J19" s="284"/>
      <c r="K19" s="285"/>
    </row>
    <row r="20" spans="1:11" s="280" customFormat="1" ht="13">
      <c r="A20" s="282" t="s">
        <v>230</v>
      </c>
      <c r="B20" s="280" t="s">
        <v>231</v>
      </c>
      <c r="E20" s="290" t="s">
        <v>232</v>
      </c>
      <c r="F20" s="291">
        <v>20</v>
      </c>
      <c r="G20" s="341"/>
      <c r="H20" s="341"/>
      <c r="J20" s="281"/>
      <c r="K20" s="282"/>
    </row>
    <row r="21" spans="1:11" s="280" customFormat="1" ht="13">
      <c r="A21" s="282" t="s">
        <v>233</v>
      </c>
      <c r="B21" s="280" t="s">
        <v>234</v>
      </c>
      <c r="E21" s="292" t="s">
        <v>232</v>
      </c>
      <c r="F21" s="291">
        <v>20</v>
      </c>
      <c r="G21" s="341"/>
      <c r="H21" s="341"/>
      <c r="J21" s="281"/>
      <c r="K21" s="282"/>
    </row>
    <row r="22" spans="1:11" s="280" customFormat="1" ht="13">
      <c r="A22" s="282" t="s">
        <v>235</v>
      </c>
      <c r="B22" s="280" t="s">
        <v>236</v>
      </c>
      <c r="E22" s="290" t="s">
        <v>207</v>
      </c>
      <c r="F22" s="293">
        <v>0.75</v>
      </c>
      <c r="G22" s="341"/>
      <c r="H22" s="341"/>
      <c r="J22" s="281"/>
      <c r="K22" s="282"/>
    </row>
    <row r="23" spans="1:11" s="280" customFormat="1" ht="13">
      <c r="A23" s="282" t="s">
        <v>237</v>
      </c>
      <c r="B23" s="280" t="s">
        <v>210</v>
      </c>
      <c r="E23" s="290" t="s">
        <v>232</v>
      </c>
      <c r="F23" s="294">
        <f>F21*F22</f>
        <v>15</v>
      </c>
      <c r="G23" s="3"/>
      <c r="H23" s="3"/>
      <c r="J23" s="281"/>
      <c r="K23" s="282"/>
    </row>
    <row r="24" spans="1:11" s="280" customFormat="1" ht="13">
      <c r="A24" s="282" t="s">
        <v>238</v>
      </c>
      <c r="B24" s="280" t="s">
        <v>239</v>
      </c>
      <c r="E24" s="290" t="s">
        <v>232</v>
      </c>
      <c r="F24" s="291">
        <v>22</v>
      </c>
      <c r="G24" s="341"/>
      <c r="H24" s="341"/>
      <c r="J24" s="281"/>
      <c r="K24" s="282"/>
    </row>
    <row r="25" spans="1:11" s="280" customFormat="1" ht="13">
      <c r="A25" s="282" t="s">
        <v>240</v>
      </c>
      <c r="B25" s="280" t="s">
        <v>241</v>
      </c>
      <c r="E25" s="292" t="s">
        <v>232</v>
      </c>
      <c r="F25" s="295">
        <f>MAX(90%*F20,F21,90%*F24)</f>
        <v>20</v>
      </c>
      <c r="G25" s="3"/>
      <c r="H25" s="3"/>
      <c r="J25" s="281"/>
      <c r="K25" s="282"/>
    </row>
    <row r="26" spans="1:11" s="280" customFormat="1" ht="13">
      <c r="A26" s="282" t="s">
        <v>242</v>
      </c>
      <c r="B26" s="280" t="s">
        <v>211</v>
      </c>
      <c r="E26" s="290" t="s">
        <v>207</v>
      </c>
      <c r="F26" s="296">
        <v>0.65</v>
      </c>
      <c r="G26" s="341"/>
      <c r="H26" s="341"/>
      <c r="J26" s="281"/>
      <c r="K26" s="282"/>
    </row>
    <row r="27" spans="1:11" s="280" customFormat="1" ht="13">
      <c r="A27" s="282" t="s">
        <v>243</v>
      </c>
      <c r="B27" s="280" t="s">
        <v>244</v>
      </c>
      <c r="E27" s="292" t="s">
        <v>245</v>
      </c>
      <c r="F27" s="297">
        <v>730</v>
      </c>
      <c r="G27" s="341"/>
      <c r="H27" s="341"/>
      <c r="J27" s="281"/>
      <c r="K27" s="282"/>
    </row>
    <row r="28" spans="1:11" s="280" customFormat="1" ht="13">
      <c r="A28" s="282" t="s">
        <v>246</v>
      </c>
      <c r="B28" s="280" t="s">
        <v>247</v>
      </c>
      <c r="E28" s="292" t="s">
        <v>248</v>
      </c>
      <c r="F28" s="298">
        <f>F21*F26*F27</f>
        <v>9490</v>
      </c>
      <c r="G28" s="3"/>
      <c r="H28" s="3"/>
      <c r="J28" s="281"/>
      <c r="K28" s="282"/>
    </row>
    <row r="29" spans="1:11" s="280" customFormat="1" ht="13">
      <c r="A29" s="282" t="s">
        <v>249</v>
      </c>
      <c r="B29" s="280" t="s">
        <v>216</v>
      </c>
      <c r="E29" s="292"/>
      <c r="F29" s="381">
        <v>1</v>
      </c>
      <c r="G29" s="341"/>
      <c r="H29" s="341"/>
      <c r="J29" s="281"/>
      <c r="K29" s="282"/>
    </row>
    <row r="30" spans="1:11" s="280" customFormat="1" ht="13">
      <c r="A30" s="282" t="s">
        <v>250</v>
      </c>
      <c r="B30" s="280" t="s">
        <v>251</v>
      </c>
      <c r="E30" s="290" t="s">
        <v>252</v>
      </c>
      <c r="F30" s="299">
        <f>'B-12 Determinants'!F20</f>
        <v>53.93</v>
      </c>
      <c r="G30" s="341"/>
      <c r="H30" s="341"/>
      <c r="J30" s="281"/>
      <c r="K30" s="282"/>
    </row>
    <row r="31" spans="1:11" s="280" customFormat="1">
      <c r="J31" s="281"/>
      <c r="K31" s="282"/>
    </row>
    <row r="32" spans="1:11" s="388" customFormat="1" ht="11.5">
      <c r="A32" s="387" t="s">
        <v>137</v>
      </c>
      <c r="B32" s="388" t="s">
        <v>354</v>
      </c>
    </row>
    <row r="33" spans="1:12" s="388" customFormat="1" ht="11.5">
      <c r="B33" s="388" t="s">
        <v>314</v>
      </c>
    </row>
    <row r="34" spans="1:12" s="388" customFormat="1" ht="11.5">
      <c r="B34" s="388" t="s">
        <v>315</v>
      </c>
    </row>
    <row r="35" spans="1:12" s="389" customFormat="1" ht="11.5">
      <c r="A35" s="388"/>
      <c r="B35" s="388" t="s">
        <v>355</v>
      </c>
      <c r="C35" s="388"/>
      <c r="D35" s="388"/>
      <c r="E35" s="388"/>
      <c r="F35" s="388"/>
      <c r="G35" s="388"/>
      <c r="H35" s="388"/>
      <c r="K35" s="390"/>
    </row>
    <row r="36" spans="1:12" s="388" customFormat="1" ht="11.5">
      <c r="B36" s="388" t="s">
        <v>356</v>
      </c>
    </row>
    <row r="37" spans="1:12" s="388" customFormat="1" ht="11.5">
      <c r="B37" s="388" t="s">
        <v>313</v>
      </c>
    </row>
    <row r="38" spans="1:12" s="388" customFormat="1" ht="11.5">
      <c r="B38" s="388" t="s">
        <v>227</v>
      </c>
    </row>
    <row r="39" spans="1:12" s="388" customFormat="1" ht="11.5">
      <c r="B39" s="388" t="s">
        <v>228</v>
      </c>
    </row>
    <row r="40" spans="1:12" s="388" customFormat="1" ht="11.5"/>
    <row r="41" spans="1:12" s="385" customFormat="1" ht="13">
      <c r="A41" s="471" t="s">
        <v>494</v>
      </c>
      <c r="B41" s="356"/>
      <c r="C41" s="356"/>
      <c r="D41" s="356"/>
      <c r="E41" s="356"/>
      <c r="F41" s="356"/>
      <c r="G41" s="356"/>
      <c r="H41" s="357"/>
    </row>
    <row r="42" spans="1:12" s="280" customFormat="1">
      <c r="J42" s="281"/>
      <c r="K42" s="282"/>
    </row>
    <row r="43" spans="1:12" s="280" customFormat="1" ht="13">
      <c r="A43" s="358" t="s">
        <v>253</v>
      </c>
      <c r="B43" s="359"/>
      <c r="C43" s="362"/>
      <c r="D43" s="363" t="s">
        <v>254</v>
      </c>
      <c r="E43" s="360"/>
      <c r="F43" s="363" t="s">
        <v>55</v>
      </c>
      <c r="G43" s="360"/>
      <c r="H43" s="361" t="s">
        <v>80</v>
      </c>
      <c r="J43" s="281"/>
      <c r="K43" s="282"/>
    </row>
    <row r="44" spans="1:12" s="283" customFormat="1" ht="13">
      <c r="A44" s="283" t="s">
        <v>390</v>
      </c>
      <c r="H44" s="284"/>
      <c r="J44" s="284"/>
      <c r="K44" s="285"/>
    </row>
    <row r="45" spans="1:12" s="280" customFormat="1" ht="13">
      <c r="A45" s="301" t="s">
        <v>221</v>
      </c>
      <c r="B45" s="302" t="s">
        <v>317</v>
      </c>
      <c r="C45" s="332"/>
      <c r="D45" s="303"/>
      <c r="E45" s="304"/>
      <c r="F45" s="304"/>
      <c r="G45" s="304"/>
      <c r="H45" s="305"/>
      <c r="J45" s="281"/>
      <c r="K45" s="282"/>
    </row>
    <row r="46" spans="1:12" s="280" customFormat="1">
      <c r="A46" s="306" t="s">
        <v>255</v>
      </c>
      <c r="B46" s="307" t="s">
        <v>210</v>
      </c>
      <c r="C46" s="307"/>
      <c r="D46" s="308">
        <f>'B-13 Impact'!L13</f>
        <v>11023</v>
      </c>
      <c r="E46" s="309" t="s">
        <v>107</v>
      </c>
      <c r="F46" s="310">
        <f>F23</f>
        <v>15</v>
      </c>
      <c r="G46" s="309" t="s">
        <v>232</v>
      </c>
      <c r="H46" s="311">
        <f>ROUND(D46*F46,2)</f>
        <v>165345</v>
      </c>
      <c r="K46" s="282"/>
      <c r="L46" s="693"/>
    </row>
    <row r="47" spans="1:12" s="280" customFormat="1">
      <c r="A47" s="312" t="s">
        <v>256</v>
      </c>
      <c r="B47" s="313" t="s">
        <v>247</v>
      </c>
      <c r="C47" s="313"/>
      <c r="D47" s="308">
        <f>'B-13 Impact'!L14</f>
        <v>1.21</v>
      </c>
      <c r="E47" s="314" t="s">
        <v>62</v>
      </c>
      <c r="F47" s="315">
        <f>F28</f>
        <v>9490</v>
      </c>
      <c r="G47" s="314" t="s">
        <v>248</v>
      </c>
      <c r="H47" s="316">
        <f>ROUND(D47*F47,2)</f>
        <v>11482.9</v>
      </c>
      <c r="K47" s="282"/>
      <c r="L47" s="693"/>
    </row>
    <row r="48" spans="1:12" s="280" customFormat="1" ht="13">
      <c r="A48" s="301" t="s">
        <v>222</v>
      </c>
      <c r="B48" s="302" t="s">
        <v>385</v>
      </c>
      <c r="C48" s="304"/>
      <c r="D48" s="332"/>
      <c r="E48" s="304"/>
      <c r="F48" s="304"/>
      <c r="G48" s="304"/>
      <c r="H48" s="305"/>
      <c r="K48" s="282"/>
      <c r="L48" s="693"/>
    </row>
    <row r="49" spans="1:12" s="280" customFormat="1">
      <c r="A49" s="306" t="s">
        <v>257</v>
      </c>
      <c r="B49" s="307" t="s">
        <v>208</v>
      </c>
      <c r="C49" s="307"/>
      <c r="D49" s="308">
        <f>'B-13 Impact'!L15</f>
        <v>2877</v>
      </c>
      <c r="E49" s="309" t="s">
        <v>107</v>
      </c>
      <c r="F49" s="310">
        <f>F25</f>
        <v>20</v>
      </c>
      <c r="G49" s="309" t="s">
        <v>232</v>
      </c>
      <c r="H49" s="311">
        <f>ROUND(D49*F49,2)</f>
        <v>57540</v>
      </c>
      <c r="K49" s="282"/>
      <c r="L49" s="693"/>
    </row>
    <row r="50" spans="1:12" s="280" customFormat="1">
      <c r="A50" s="312" t="s">
        <v>258</v>
      </c>
      <c r="B50" s="313" t="s">
        <v>247</v>
      </c>
      <c r="C50" s="313"/>
      <c r="D50" s="308">
        <f>'B-13 Impact'!L16</f>
        <v>0.92</v>
      </c>
      <c r="E50" s="314" t="s">
        <v>62</v>
      </c>
      <c r="F50" s="315">
        <f>F28</f>
        <v>9490</v>
      </c>
      <c r="G50" s="314" t="s">
        <v>248</v>
      </c>
      <c r="H50" s="316">
        <f>ROUND(D50*F50,2)</f>
        <v>8730.7999999999993</v>
      </c>
      <c r="K50" s="282"/>
      <c r="L50" s="693"/>
    </row>
    <row r="51" spans="1:12" s="280" customFormat="1" ht="13">
      <c r="A51" s="266" t="s">
        <v>223</v>
      </c>
      <c r="B51" s="302" t="s">
        <v>215</v>
      </c>
      <c r="C51" s="304"/>
      <c r="D51" s="332"/>
      <c r="E51" s="304"/>
      <c r="F51" s="304"/>
      <c r="G51" s="304"/>
      <c r="H51" s="305"/>
      <c r="K51" s="282"/>
      <c r="L51" s="693"/>
    </row>
    <row r="52" spans="1:12" s="280" customFormat="1">
      <c r="A52" s="270" t="s">
        <v>259</v>
      </c>
      <c r="B52" s="307" t="s">
        <v>265</v>
      </c>
      <c r="C52" s="333"/>
      <c r="D52" s="308">
        <f>'B-13 Impact'!L17</f>
        <v>14777</v>
      </c>
      <c r="E52" s="309" t="s">
        <v>112</v>
      </c>
      <c r="F52" s="393">
        <f>F29</f>
        <v>1</v>
      </c>
      <c r="G52" s="307"/>
      <c r="H52" s="311">
        <f>ROUND(D52*F52,2)</f>
        <v>14777</v>
      </c>
      <c r="J52" s="281"/>
      <c r="K52" s="282"/>
      <c r="L52" s="693"/>
    </row>
    <row r="53" spans="1:12" s="280" customFormat="1">
      <c r="A53" s="270" t="s">
        <v>260</v>
      </c>
      <c r="B53" s="307" t="s">
        <v>270</v>
      </c>
      <c r="C53" s="307"/>
      <c r="D53" s="308">
        <f>'B-13 Impact'!L18</f>
        <v>4863</v>
      </c>
      <c r="E53" s="309" t="s">
        <v>107</v>
      </c>
      <c r="F53" s="310">
        <f>MIN(F25,7.5*F29)</f>
        <v>7.5</v>
      </c>
      <c r="G53" s="309" t="s">
        <v>232</v>
      </c>
      <c r="H53" s="311">
        <f>ROUND(D53*F53,2)</f>
        <v>36472.5</v>
      </c>
      <c r="K53" s="282"/>
      <c r="L53" s="693"/>
    </row>
    <row r="54" spans="1:12" s="280" customFormat="1">
      <c r="A54" s="270" t="s">
        <v>261</v>
      </c>
      <c r="B54" s="307" t="s">
        <v>271</v>
      </c>
      <c r="C54" s="307"/>
      <c r="D54" s="308">
        <f>'B-13 Impact'!L19</f>
        <v>2884</v>
      </c>
      <c r="E54" s="309" t="s">
        <v>62</v>
      </c>
      <c r="F54" s="339">
        <f>MAX(MIN(F25,17*F29)-(7.5*F29),0)</f>
        <v>9.5</v>
      </c>
      <c r="G54" s="309" t="s">
        <v>248</v>
      </c>
      <c r="H54" s="311">
        <f>ROUND(D54*F54,2)</f>
        <v>27398</v>
      </c>
      <c r="K54" s="282"/>
      <c r="L54" s="693"/>
    </row>
    <row r="55" spans="1:12" s="280" customFormat="1">
      <c r="A55" s="270" t="s">
        <v>262</v>
      </c>
      <c r="B55" s="307" t="s">
        <v>272</v>
      </c>
      <c r="C55" s="307"/>
      <c r="D55" s="308">
        <f>'B-13 Impact'!L20</f>
        <v>1931</v>
      </c>
      <c r="E55" s="309" t="s">
        <v>112</v>
      </c>
      <c r="F55" s="338">
        <f>MAX(MIN(F25,40*F29)-(17*F29),0)</f>
        <v>3</v>
      </c>
      <c r="G55" s="307" t="s">
        <v>232</v>
      </c>
      <c r="H55" s="311">
        <f>ROUND(D55*F55,2)</f>
        <v>5793</v>
      </c>
      <c r="K55" s="282"/>
      <c r="L55" s="693"/>
    </row>
    <row r="56" spans="1:12" s="280" customFormat="1">
      <c r="A56" s="276" t="s">
        <v>264</v>
      </c>
      <c r="B56" s="313" t="s">
        <v>263</v>
      </c>
      <c r="C56" s="407" t="s">
        <v>273</v>
      </c>
      <c r="D56" s="408">
        <f>'B-13 Impact'!L21</f>
        <v>1189</v>
      </c>
      <c r="E56" s="314" t="s">
        <v>107</v>
      </c>
      <c r="F56" s="409">
        <f>MAX(F25-(40*F29),0)</f>
        <v>0</v>
      </c>
      <c r="G56" s="313" t="s">
        <v>232</v>
      </c>
      <c r="H56" s="316">
        <f>ROUND(D56*F56,2)</f>
        <v>0</v>
      </c>
      <c r="K56" s="282"/>
      <c r="L56" s="693"/>
    </row>
    <row r="57" spans="1:12" s="300" customFormat="1" ht="13">
      <c r="A57" s="300" t="s">
        <v>213</v>
      </c>
      <c r="C57" s="334"/>
      <c r="D57" s="317"/>
      <c r="E57" s="318"/>
      <c r="F57" s="319"/>
      <c r="H57" s="320"/>
      <c r="J57" s="317"/>
      <c r="K57" s="318"/>
      <c r="L57" s="693"/>
    </row>
    <row r="58" spans="1:12" s="280" customFormat="1">
      <c r="A58" s="321" t="s">
        <v>224</v>
      </c>
      <c r="B58" s="322" t="s">
        <v>266</v>
      </c>
      <c r="C58" s="322"/>
      <c r="D58" s="323">
        <f>'B-13 Impact'!L23</f>
        <v>6.1899999999999997E-2</v>
      </c>
      <c r="E58" s="322" t="s">
        <v>316</v>
      </c>
      <c r="F58" s="324">
        <f>F28</f>
        <v>9490</v>
      </c>
      <c r="G58" s="325" t="s">
        <v>248</v>
      </c>
      <c r="H58" s="326">
        <f>ROUND(D58*F30*F58,2)</f>
        <v>31680.15</v>
      </c>
      <c r="J58" s="281"/>
      <c r="K58" s="282"/>
      <c r="L58" s="693"/>
    </row>
    <row r="59" spans="1:12" s="280" customFormat="1" ht="13">
      <c r="A59" s="579" t="s">
        <v>452</v>
      </c>
      <c r="B59" s="307"/>
      <c r="C59" s="307"/>
      <c r="D59" s="575"/>
      <c r="E59" s="307"/>
      <c r="F59" s="576"/>
      <c r="G59" s="309"/>
      <c r="H59" s="308"/>
      <c r="J59" s="281"/>
      <c r="K59" s="282"/>
      <c r="L59" s="693"/>
    </row>
    <row r="60" spans="1:12" s="280" customFormat="1">
      <c r="A60" s="321" t="s">
        <v>225</v>
      </c>
      <c r="B60" s="577" t="s">
        <v>247</v>
      </c>
      <c r="C60" s="577"/>
      <c r="D60" s="610">
        <f>'B-13 Impact'!L24</f>
        <v>2E-3</v>
      </c>
      <c r="E60" s="325" t="s">
        <v>62</v>
      </c>
      <c r="F60" s="578">
        <f>F28</f>
        <v>9490</v>
      </c>
      <c r="G60" s="325" t="s">
        <v>248</v>
      </c>
      <c r="H60" s="326">
        <f>ROUND(D60*F60,2)</f>
        <v>18.98</v>
      </c>
      <c r="J60" s="281"/>
      <c r="K60" s="282"/>
      <c r="L60" s="693"/>
    </row>
    <row r="61" spans="1:12" s="300" customFormat="1" ht="13">
      <c r="A61" s="300" t="s">
        <v>217</v>
      </c>
      <c r="D61" s="327"/>
      <c r="F61" s="328"/>
      <c r="G61" s="318"/>
      <c r="H61" s="317"/>
      <c r="J61" s="317"/>
      <c r="K61" s="318"/>
      <c r="L61" s="693"/>
    </row>
    <row r="62" spans="1:12" s="280" customFormat="1">
      <c r="A62" s="321" t="s">
        <v>226</v>
      </c>
      <c r="B62" s="322" t="s">
        <v>247</v>
      </c>
      <c r="C62" s="322"/>
      <c r="D62" s="329">
        <f>'B-13 Impact'!L25</f>
        <v>0.01</v>
      </c>
      <c r="E62" s="325" t="s">
        <v>62</v>
      </c>
      <c r="F62" s="324">
        <f>F28</f>
        <v>9490</v>
      </c>
      <c r="G62" s="325" t="s">
        <v>248</v>
      </c>
      <c r="H62" s="326">
        <f>ROUND(D62*F62,2)</f>
        <v>94.9</v>
      </c>
      <c r="J62" s="281"/>
      <c r="K62" s="282"/>
      <c r="L62" s="693"/>
    </row>
    <row r="63" spans="1:12" s="300" customFormat="1" ht="13">
      <c r="A63" s="300" t="s">
        <v>214</v>
      </c>
      <c r="D63" s="317"/>
      <c r="E63" s="318"/>
      <c r="F63" s="328"/>
      <c r="G63" s="318"/>
      <c r="H63" s="317"/>
      <c r="J63" s="317"/>
      <c r="K63" s="318"/>
      <c r="L63" s="693"/>
    </row>
    <row r="64" spans="1:12" s="280" customFormat="1">
      <c r="A64" s="321" t="s">
        <v>453</v>
      </c>
      <c r="B64" s="322" t="s">
        <v>267</v>
      </c>
      <c r="C64" s="322"/>
      <c r="D64" s="329">
        <f>'B-13 Impact'!L26</f>
        <v>25</v>
      </c>
      <c r="E64" s="325" t="s">
        <v>107</v>
      </c>
      <c r="F64" s="330">
        <f>F21</f>
        <v>20</v>
      </c>
      <c r="G64" s="325" t="s">
        <v>232</v>
      </c>
      <c r="H64" s="326">
        <f>ROUND(D64*F64,2)</f>
        <v>500</v>
      </c>
      <c r="J64" s="281"/>
      <c r="K64" s="282"/>
      <c r="L64" s="693"/>
    </row>
    <row r="65" spans="1:11" s="280" customFormat="1">
      <c r="H65" s="332"/>
      <c r="J65" s="281"/>
      <c r="K65" s="282"/>
    </row>
    <row r="66" spans="1:11" s="300" customFormat="1" ht="13">
      <c r="A66" s="300" t="s">
        <v>274</v>
      </c>
      <c r="G66" s="300" t="s">
        <v>268</v>
      </c>
      <c r="H66" s="331">
        <f>SUM(H44:H64)</f>
        <v>359833.23</v>
      </c>
      <c r="J66" s="317"/>
      <c r="K66" s="318"/>
    </row>
    <row r="67" spans="1:11" ht="13">
      <c r="G67" s="300" t="s">
        <v>269</v>
      </c>
      <c r="H67" s="331">
        <f>H66*12</f>
        <v>4317998.76</v>
      </c>
    </row>
    <row r="69" spans="1:11" s="385" customFormat="1" ht="13">
      <c r="A69" s="471" t="s">
        <v>506</v>
      </c>
      <c r="B69" s="356"/>
      <c r="C69" s="356"/>
      <c r="D69" s="356"/>
      <c r="E69" s="356"/>
      <c r="F69" s="356"/>
      <c r="G69" s="356"/>
      <c r="H69" s="357"/>
    </row>
    <row r="70" spans="1:11" s="280" customFormat="1">
      <c r="J70" s="281"/>
      <c r="K70" s="282"/>
    </row>
    <row r="71" spans="1:11" s="280" customFormat="1" ht="13">
      <c r="A71" s="358" t="s">
        <v>253</v>
      </c>
      <c r="B71" s="359"/>
      <c r="C71" s="362"/>
      <c r="D71" s="363" t="s">
        <v>254</v>
      </c>
      <c r="E71" s="360"/>
      <c r="F71" s="363" t="s">
        <v>55</v>
      </c>
      <c r="G71" s="360"/>
      <c r="H71" s="361" t="s">
        <v>80</v>
      </c>
      <c r="J71" s="281"/>
      <c r="K71" s="282"/>
    </row>
    <row r="72" spans="1:11" s="283" customFormat="1" ht="13">
      <c r="A72" s="283" t="s">
        <v>390</v>
      </c>
      <c r="H72" s="284"/>
      <c r="J72" s="284"/>
      <c r="K72" s="285"/>
    </row>
    <row r="73" spans="1:11" s="280" customFormat="1" ht="13">
      <c r="A73" s="301" t="s">
        <v>221</v>
      </c>
      <c r="B73" s="302" t="s">
        <v>209</v>
      </c>
      <c r="C73" s="303"/>
      <c r="D73" s="304"/>
      <c r="E73" s="304"/>
      <c r="F73" s="304"/>
      <c r="G73" s="304"/>
      <c r="H73" s="305"/>
      <c r="J73" s="281"/>
      <c r="K73" s="282"/>
    </row>
    <row r="74" spans="1:11" s="280" customFormat="1">
      <c r="A74" s="306" t="s">
        <v>255</v>
      </c>
      <c r="B74" s="307" t="s">
        <v>210</v>
      </c>
      <c r="C74" s="307"/>
      <c r="D74" s="308">
        <f>'B-13 Impact'!G13</f>
        <v>10814</v>
      </c>
      <c r="E74" s="309" t="s">
        <v>107</v>
      </c>
      <c r="F74" s="310">
        <f>F23</f>
        <v>15</v>
      </c>
      <c r="G74" s="309" t="s">
        <v>232</v>
      </c>
      <c r="H74" s="311">
        <f>ROUND(D74*F74,2)</f>
        <v>162210</v>
      </c>
      <c r="K74" s="282"/>
    </row>
    <row r="75" spans="1:11" s="280" customFormat="1">
      <c r="A75" s="312" t="s">
        <v>256</v>
      </c>
      <c r="B75" s="313" t="s">
        <v>247</v>
      </c>
      <c r="C75" s="313"/>
      <c r="D75" s="308">
        <f>'B-13 Impact'!G14</f>
        <v>1.1299999999999999</v>
      </c>
      <c r="E75" s="314" t="s">
        <v>62</v>
      </c>
      <c r="F75" s="315">
        <f>F28</f>
        <v>9490</v>
      </c>
      <c r="G75" s="314" t="s">
        <v>248</v>
      </c>
      <c r="H75" s="316">
        <f>ROUND(D75*F75,2)</f>
        <v>10723.7</v>
      </c>
      <c r="K75" s="282"/>
    </row>
    <row r="76" spans="1:11" s="280" customFormat="1" ht="13">
      <c r="A76" s="301" t="s">
        <v>222</v>
      </c>
      <c r="B76" s="302" t="s">
        <v>212</v>
      </c>
      <c r="C76" s="303"/>
      <c r="D76" s="304"/>
      <c r="E76" s="304"/>
      <c r="F76" s="304"/>
      <c r="G76" s="304"/>
      <c r="H76" s="305"/>
      <c r="J76" s="281"/>
      <c r="K76" s="282"/>
    </row>
    <row r="77" spans="1:11" s="280" customFormat="1">
      <c r="A77" s="306" t="s">
        <v>257</v>
      </c>
      <c r="B77" s="307" t="s">
        <v>208</v>
      </c>
      <c r="C77" s="307"/>
      <c r="D77" s="308">
        <f>'B-13 Impact'!G15</f>
        <v>2799</v>
      </c>
      <c r="E77" s="309" t="s">
        <v>107</v>
      </c>
      <c r="F77" s="310">
        <f>F25</f>
        <v>20</v>
      </c>
      <c r="G77" s="309" t="s">
        <v>232</v>
      </c>
      <c r="H77" s="311">
        <f>ROUND(D77*F77,2)</f>
        <v>55980</v>
      </c>
      <c r="K77" s="282"/>
    </row>
    <row r="78" spans="1:11" s="280" customFormat="1">
      <c r="A78" s="312" t="s">
        <v>258</v>
      </c>
      <c r="B78" s="313" t="s">
        <v>247</v>
      </c>
      <c r="C78" s="313"/>
      <c r="D78" s="308">
        <f>'B-13 Impact'!G16</f>
        <v>0.86</v>
      </c>
      <c r="E78" s="314" t="s">
        <v>62</v>
      </c>
      <c r="F78" s="315">
        <f>F28</f>
        <v>9490</v>
      </c>
      <c r="G78" s="314" t="s">
        <v>248</v>
      </c>
      <c r="H78" s="316">
        <f>ROUND(D78*F78,2)</f>
        <v>8161.4</v>
      </c>
      <c r="K78" s="282"/>
    </row>
    <row r="79" spans="1:11" s="385" customFormat="1" ht="13">
      <c r="A79" s="266" t="s">
        <v>223</v>
      </c>
      <c r="B79" s="267" t="s">
        <v>215</v>
      </c>
      <c r="C79" s="279"/>
      <c r="D79" s="268"/>
      <c r="E79" s="268"/>
      <c r="F79" s="268"/>
      <c r="G79" s="268"/>
      <c r="H79" s="269"/>
    </row>
    <row r="80" spans="1:11" s="385" customFormat="1">
      <c r="A80" s="270" t="s">
        <v>259</v>
      </c>
      <c r="B80" s="271" t="s">
        <v>265</v>
      </c>
      <c r="C80" s="271"/>
      <c r="D80" s="272">
        <f>'B-13 Impact'!G17</f>
        <v>14291</v>
      </c>
      <c r="E80" s="273" t="s">
        <v>112</v>
      </c>
      <c r="F80" s="402">
        <f>F29</f>
        <v>1</v>
      </c>
      <c r="G80" s="271"/>
      <c r="H80" s="403">
        <f>ROUND(D80*F80,2)</f>
        <v>14291</v>
      </c>
    </row>
    <row r="81" spans="1:11" s="385" customFormat="1">
      <c r="A81" s="270" t="s">
        <v>260</v>
      </c>
      <c r="B81" s="271" t="s">
        <v>270</v>
      </c>
      <c r="C81" s="271"/>
      <c r="D81" s="272">
        <f>'B-13 Impact'!G18</f>
        <v>4703</v>
      </c>
      <c r="E81" s="273" t="s">
        <v>107</v>
      </c>
      <c r="F81" s="274">
        <f>MIN(F25,7.5*F29)</f>
        <v>7.5</v>
      </c>
      <c r="G81" s="271" t="s">
        <v>232</v>
      </c>
      <c r="H81" s="275">
        <f>ROUND(D81*F81,2)</f>
        <v>35272.5</v>
      </c>
    </row>
    <row r="82" spans="1:11" s="385" customFormat="1">
      <c r="A82" s="270" t="s">
        <v>261</v>
      </c>
      <c r="B82" s="271" t="s">
        <v>271</v>
      </c>
      <c r="C82" s="271"/>
      <c r="D82" s="272">
        <f>'B-13 Impact'!G19</f>
        <v>2789</v>
      </c>
      <c r="E82" s="273" t="s">
        <v>107</v>
      </c>
      <c r="F82" s="274">
        <f>MAX(MIN(F25,17*F29)-(7.5*F29),0)</f>
        <v>9.5</v>
      </c>
      <c r="G82" s="273" t="s">
        <v>232</v>
      </c>
      <c r="H82" s="275">
        <f>ROUND(D82*F82,2)</f>
        <v>26495.5</v>
      </c>
    </row>
    <row r="83" spans="1:11" s="385" customFormat="1">
      <c r="A83" s="270" t="s">
        <v>262</v>
      </c>
      <c r="B83" s="271" t="s">
        <v>272</v>
      </c>
      <c r="C83" s="271"/>
      <c r="D83" s="272">
        <f>'B-13 Impact'!G20</f>
        <v>1867</v>
      </c>
      <c r="E83" s="273" t="s">
        <v>107</v>
      </c>
      <c r="F83" s="274">
        <f>MAX(MIN(F25,40*F29)-(17*F29),0)</f>
        <v>3</v>
      </c>
      <c r="G83" s="273" t="s">
        <v>232</v>
      </c>
      <c r="H83" s="275">
        <f>ROUND(D83*F83,2)</f>
        <v>5601</v>
      </c>
    </row>
    <row r="84" spans="1:11" s="385" customFormat="1">
      <c r="A84" s="276" t="s">
        <v>264</v>
      </c>
      <c r="B84" s="277" t="s">
        <v>263</v>
      </c>
      <c r="C84" s="277"/>
      <c r="D84" s="392">
        <f>'B-13 Impact'!G21</f>
        <v>1150</v>
      </c>
      <c r="E84" s="278" t="s">
        <v>107</v>
      </c>
      <c r="F84" s="404">
        <f>MAX(F25-(40*F29),0)</f>
        <v>0</v>
      </c>
      <c r="G84" s="278" t="s">
        <v>232</v>
      </c>
      <c r="H84" s="405">
        <f>ROUND(D84*F84,2)</f>
        <v>0</v>
      </c>
    </row>
    <row r="85" spans="1:11" s="300" customFormat="1" ht="13">
      <c r="A85" s="300" t="s">
        <v>213</v>
      </c>
      <c r="C85" s="317"/>
      <c r="D85" s="318"/>
      <c r="F85" s="319"/>
      <c r="H85" s="320"/>
      <c r="J85" s="317"/>
      <c r="K85" s="318"/>
    </row>
    <row r="86" spans="1:11" s="280" customFormat="1">
      <c r="A86" s="321" t="s">
        <v>223</v>
      </c>
      <c r="B86" s="322" t="s">
        <v>266</v>
      </c>
      <c r="C86" s="322"/>
      <c r="D86" s="323">
        <f>'B-13 Impact'!G23</f>
        <v>7.1300000000000002E-2</v>
      </c>
      <c r="E86" s="322" t="s">
        <v>316</v>
      </c>
      <c r="F86" s="324">
        <f>F28</f>
        <v>9490</v>
      </c>
      <c r="G86" s="325" t="s">
        <v>248</v>
      </c>
      <c r="H86" s="326">
        <f>ROUND(D86*F30*F86,2)</f>
        <v>36491.03</v>
      </c>
      <c r="J86" s="281"/>
      <c r="K86" s="282"/>
    </row>
    <row r="87" spans="1:11" s="280" customFormat="1" ht="13">
      <c r="A87" s="579" t="s">
        <v>452</v>
      </c>
      <c r="B87" s="307"/>
      <c r="C87" s="307"/>
      <c r="D87" s="575"/>
      <c r="E87" s="307"/>
      <c r="F87" s="576"/>
      <c r="G87" s="309"/>
      <c r="H87" s="308"/>
      <c r="J87" s="281"/>
      <c r="K87" s="282"/>
    </row>
    <row r="88" spans="1:11" s="280" customFormat="1">
      <c r="A88" s="321" t="s">
        <v>224</v>
      </c>
      <c r="B88" s="577" t="s">
        <v>247</v>
      </c>
      <c r="C88" s="577"/>
      <c r="D88" s="329">
        <f>'B-13 Impact'!G24</f>
        <v>2E-3</v>
      </c>
      <c r="E88" s="325" t="s">
        <v>62</v>
      </c>
      <c r="F88" s="578">
        <f>F28</f>
        <v>9490</v>
      </c>
      <c r="G88" s="325" t="s">
        <v>248</v>
      </c>
      <c r="H88" s="326">
        <f>ROUND(D88*F88,2)</f>
        <v>18.98</v>
      </c>
      <c r="J88" s="281"/>
      <c r="K88" s="282"/>
    </row>
    <row r="89" spans="1:11" s="300" customFormat="1" ht="13">
      <c r="A89" s="300" t="s">
        <v>217</v>
      </c>
      <c r="C89" s="327"/>
      <c r="F89" s="328"/>
      <c r="G89" s="318"/>
      <c r="H89" s="317"/>
      <c r="J89" s="317"/>
      <c r="K89" s="318"/>
    </row>
    <row r="90" spans="1:11" s="280" customFormat="1">
      <c r="A90" s="321" t="s">
        <v>225</v>
      </c>
      <c r="B90" s="322" t="s">
        <v>247</v>
      </c>
      <c r="C90" s="322"/>
      <c r="D90" s="329">
        <f>'B-13 Impact'!G25</f>
        <v>0.05</v>
      </c>
      <c r="E90" s="325" t="s">
        <v>62</v>
      </c>
      <c r="F90" s="324">
        <f>F28</f>
        <v>9490</v>
      </c>
      <c r="G90" s="325" t="s">
        <v>248</v>
      </c>
      <c r="H90" s="326">
        <f>ROUND(D90*F90,2)</f>
        <v>474.5</v>
      </c>
      <c r="J90" s="281"/>
      <c r="K90" s="282"/>
    </row>
    <row r="91" spans="1:11" s="300" customFormat="1" ht="13">
      <c r="A91" s="300" t="s">
        <v>214</v>
      </c>
      <c r="C91" s="317"/>
      <c r="D91" s="318"/>
      <c r="F91" s="328"/>
      <c r="G91" s="318"/>
      <c r="H91" s="317"/>
      <c r="J91" s="317"/>
      <c r="K91" s="318"/>
    </row>
    <row r="92" spans="1:11" s="280" customFormat="1">
      <c r="A92" s="321" t="s">
        <v>226</v>
      </c>
      <c r="B92" s="322" t="s">
        <v>267</v>
      </c>
      <c r="C92" s="322"/>
      <c r="D92" s="329">
        <f>'B-13 Impact'!G26</f>
        <v>24</v>
      </c>
      <c r="E92" s="325" t="s">
        <v>107</v>
      </c>
      <c r="F92" s="330">
        <f>F21</f>
        <v>20</v>
      </c>
      <c r="G92" s="325" t="s">
        <v>232</v>
      </c>
      <c r="H92" s="326">
        <f>ROUND(D92*F92,2)</f>
        <v>480</v>
      </c>
      <c r="J92" s="281"/>
      <c r="K92" s="282"/>
    </row>
    <row r="93" spans="1:11" s="280" customFormat="1">
      <c r="H93" s="308"/>
      <c r="J93" s="281"/>
      <c r="K93" s="282"/>
    </row>
    <row r="94" spans="1:11" s="300" customFormat="1" ht="13">
      <c r="A94" s="300" t="s">
        <v>274</v>
      </c>
      <c r="G94" s="300" t="s">
        <v>268</v>
      </c>
      <c r="H94" s="331">
        <f>SUM(H72:H92)</f>
        <v>356199.61</v>
      </c>
      <c r="J94" s="317"/>
      <c r="K94" s="318"/>
    </row>
    <row r="95" spans="1:11" ht="13">
      <c r="G95" s="300" t="s">
        <v>269</v>
      </c>
      <c r="H95" s="331">
        <f>H94*12</f>
        <v>4274395.32</v>
      </c>
    </row>
    <row r="96" spans="1:11">
      <c r="H96" s="587"/>
    </row>
  </sheetData>
  <phoneticPr fontId="17"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9"/>
  <sheetViews>
    <sheetView showGridLines="0" zoomScale="110" zoomScaleNormal="110" workbookViewId="0">
      <selection activeCell="H94" sqref="H94"/>
    </sheetView>
  </sheetViews>
  <sheetFormatPr defaultColWidth="9.33203125" defaultRowHeight="13"/>
  <cols>
    <col min="1" max="1" width="4.77734375" style="435" customWidth="1"/>
    <col min="2" max="2" width="1.77734375" style="435" customWidth="1"/>
    <col min="3" max="5" width="2.77734375" style="435" customWidth="1"/>
    <col min="6" max="6" width="33.44140625" style="435" customWidth="1"/>
    <col min="7" max="7" width="1.77734375" style="435" customWidth="1"/>
    <col min="8" max="9" width="10.33203125" style="435" customWidth="1"/>
    <col min="10" max="11" width="10.33203125" style="537" customWidth="1"/>
    <col min="12" max="12" width="9.33203125" style="435"/>
    <col min="13" max="13" width="18.44140625" style="435" bestFit="1" customWidth="1"/>
    <col min="14" max="14" width="17.77734375" style="435" bestFit="1" customWidth="1"/>
    <col min="15" max="16384" width="9.33203125" style="435"/>
  </cols>
  <sheetData>
    <row r="1" spans="1:12" s="504" customFormat="1">
      <c r="A1" s="538" t="str">
        <f>Applicant</f>
        <v>Alberta Electric System Operator</v>
      </c>
      <c r="B1" s="495"/>
      <c r="C1" s="538"/>
      <c r="D1" s="495"/>
      <c r="E1" s="495"/>
      <c r="F1" s="495"/>
      <c r="G1" s="495"/>
      <c r="H1" s="495"/>
      <c r="I1" s="495"/>
      <c r="J1" s="495"/>
      <c r="K1" s="432" t="str">
        <f ca="1">TablePrefix&amp;TRIM(MID(CELL("filename",K2),FIND("]",CELL("filename",K2))+1,4))&amp;TableSuffix</f>
        <v>Table B-1</v>
      </c>
    </row>
    <row r="2" spans="1:12" s="504" customFormat="1">
      <c r="A2" s="2" t="str">
        <f>Application</f>
        <v>2021 ISO Tariff Update Application</v>
      </c>
      <c r="B2" s="495"/>
      <c r="C2" s="2"/>
      <c r="D2" s="495"/>
      <c r="E2" s="495"/>
      <c r="F2" s="495"/>
      <c r="G2" s="495"/>
      <c r="H2" s="495"/>
      <c r="I2" s="495"/>
      <c r="J2" s="495"/>
      <c r="K2" s="432" t="str">
        <f>TableDate</f>
        <v>November 6, 2020</v>
      </c>
    </row>
    <row r="3" spans="1:12" s="504" customFormat="1">
      <c r="A3" s="495"/>
      <c r="B3" s="495"/>
      <c r="C3" s="538"/>
      <c r="D3" s="495"/>
      <c r="E3" s="495"/>
      <c r="F3" s="495"/>
      <c r="G3" s="495"/>
      <c r="H3" s="495"/>
      <c r="I3" s="495"/>
      <c r="J3" s="495"/>
      <c r="K3" s="495"/>
    </row>
    <row r="4" spans="1:12">
      <c r="A4" s="539" t="str">
        <f>TableGroup1</f>
        <v>Appendix B — 2021 Rate Calculations</v>
      </c>
      <c r="B4" s="539"/>
      <c r="C4" s="539"/>
      <c r="D4" s="539"/>
      <c r="E4" s="539"/>
      <c r="F4" s="539"/>
      <c r="G4" s="539"/>
      <c r="H4" s="539"/>
      <c r="I4" s="539"/>
      <c r="J4" s="540"/>
      <c r="K4" s="540"/>
    </row>
    <row r="5" spans="1:12" s="541" customFormat="1">
      <c r="A5" s="539" t="s">
        <v>501</v>
      </c>
      <c r="B5" s="539"/>
      <c r="C5" s="539"/>
      <c r="D5" s="539"/>
      <c r="E5" s="539"/>
      <c r="F5" s="539"/>
      <c r="G5" s="539"/>
      <c r="H5" s="539"/>
      <c r="I5" s="539"/>
      <c r="J5" s="540"/>
      <c r="K5" s="540"/>
    </row>
    <row r="6" spans="1:12" s="431" customFormat="1">
      <c r="A6" s="606"/>
      <c r="B6" s="606"/>
      <c r="C6" s="606"/>
      <c r="D6" s="606"/>
      <c r="E6" s="606"/>
      <c r="F6" s="606"/>
      <c r="G6" s="457"/>
      <c r="H6" s="457"/>
      <c r="I6" s="457"/>
      <c r="J6" s="531"/>
      <c r="K6" s="531"/>
    </row>
    <row r="7" spans="1:12" s="431" customFormat="1">
      <c r="A7" s="457"/>
      <c r="B7" s="457"/>
      <c r="C7" s="457"/>
      <c r="D7" s="457"/>
      <c r="E7" s="457"/>
      <c r="F7" s="457"/>
      <c r="G7" s="457"/>
      <c r="H7" s="418" t="s">
        <v>2</v>
      </c>
      <c r="I7" s="418" t="s">
        <v>3</v>
      </c>
      <c r="J7" s="418" t="s">
        <v>5</v>
      </c>
      <c r="K7" s="418" t="s">
        <v>25</v>
      </c>
    </row>
    <row r="8" spans="1:12" s="431" customFormat="1">
      <c r="A8" s="457"/>
      <c r="B8" s="457"/>
      <c r="C8" s="457"/>
      <c r="D8" s="457"/>
      <c r="E8" s="457"/>
      <c r="F8" s="457"/>
      <c r="G8" s="457"/>
      <c r="H8" s="457"/>
      <c r="I8" s="457"/>
      <c r="J8" s="457"/>
      <c r="K8" s="531"/>
    </row>
    <row r="9" spans="1:12" s="345" customFormat="1" ht="12.75" customHeight="1">
      <c r="H9" s="479">
        <v>2021</v>
      </c>
      <c r="I9" s="479">
        <v>2020</v>
      </c>
      <c r="J9" s="696">
        <v>2019</v>
      </c>
      <c r="K9" s="697">
        <v>2018</v>
      </c>
      <c r="L9" s="416"/>
    </row>
    <row r="10" spans="1:12" s="345" customFormat="1">
      <c r="A10" s="342"/>
      <c r="H10" s="480"/>
      <c r="I10" s="480"/>
      <c r="J10" s="698"/>
      <c r="K10" s="698"/>
      <c r="L10" s="416"/>
    </row>
    <row r="11" spans="1:12" s="345" customFormat="1">
      <c r="A11" s="342"/>
      <c r="H11" s="480" t="s">
        <v>461</v>
      </c>
      <c r="I11" s="480" t="s">
        <v>461</v>
      </c>
      <c r="J11" s="698" t="s">
        <v>343</v>
      </c>
      <c r="K11" s="698" t="s">
        <v>343</v>
      </c>
      <c r="L11" s="416"/>
    </row>
    <row r="12" spans="1:12" s="343" customFormat="1">
      <c r="A12" s="344" t="s">
        <v>58</v>
      </c>
      <c r="C12" s="348" t="s">
        <v>1</v>
      </c>
      <c r="D12" s="348"/>
      <c r="E12" s="348"/>
      <c r="F12" s="348"/>
      <c r="H12" s="398" t="s">
        <v>344</v>
      </c>
      <c r="I12" s="398" t="s">
        <v>344</v>
      </c>
      <c r="J12" s="699" t="s">
        <v>344</v>
      </c>
      <c r="K12" s="699" t="s">
        <v>344</v>
      </c>
      <c r="L12" s="422"/>
    </row>
    <row r="13" spans="1:12" s="413" customFormat="1">
      <c r="A13" s="532"/>
      <c r="I13" s="550"/>
      <c r="K13" s="533"/>
    </row>
    <row r="14" spans="1:12" s="345" customFormat="1">
      <c r="A14" s="532"/>
      <c r="C14" s="345" t="s">
        <v>275</v>
      </c>
      <c r="K14" s="375"/>
    </row>
    <row r="15" spans="1:12" s="345" customFormat="1">
      <c r="A15" s="532"/>
      <c r="C15" s="345" t="s">
        <v>276</v>
      </c>
      <c r="K15" s="375"/>
    </row>
    <row r="16" spans="1:12" s="413" customFormat="1">
      <c r="A16" s="532">
        <v>1</v>
      </c>
      <c r="D16" s="413" t="s">
        <v>277</v>
      </c>
      <c r="H16" s="672">
        <f>'B-2 TFO Rev Req'!M11</f>
        <v>879.44784700000002</v>
      </c>
      <c r="I16" s="552">
        <v>859.58310798068896</v>
      </c>
      <c r="J16" s="552">
        <v>857.81252573920995</v>
      </c>
      <c r="K16" s="552">
        <v>887.84159999999997</v>
      </c>
      <c r="L16" s="531"/>
    </row>
    <row r="17" spans="1:20" s="413" customFormat="1">
      <c r="A17" s="532">
        <f>A16+1</f>
        <v>2</v>
      </c>
      <c r="D17" s="413" t="s">
        <v>326</v>
      </c>
      <c r="H17" s="672">
        <f>'B-2 TFO Rev Req'!M12</f>
        <v>710.41186463849908</v>
      </c>
      <c r="I17" s="552">
        <v>706.85891699258309</v>
      </c>
      <c r="J17" s="552">
        <v>686.48817555635696</v>
      </c>
      <c r="K17" s="552">
        <v>686.45488015039996</v>
      </c>
      <c r="L17" s="531"/>
    </row>
    <row r="18" spans="1:20" s="413" customFormat="1">
      <c r="A18" s="532">
        <f t="shared" ref="A18:A24" si="0">A17+1</f>
        <v>3</v>
      </c>
      <c r="E18" s="413" t="s">
        <v>278</v>
      </c>
      <c r="H18" s="673">
        <v>-0.70909237999999997</v>
      </c>
      <c r="I18" s="553">
        <v>-0.68105614999999997</v>
      </c>
      <c r="J18" s="553">
        <v>-2.0872218600000001</v>
      </c>
      <c r="K18" s="553">
        <v>-3.5987881599999998</v>
      </c>
      <c r="L18" s="531"/>
      <c r="M18" s="534"/>
      <c r="N18" s="534"/>
      <c r="O18" s="534"/>
      <c r="P18" s="534"/>
      <c r="Q18" s="534"/>
      <c r="R18" s="534"/>
      <c r="S18" s="534"/>
      <c r="T18" s="534"/>
    </row>
    <row r="19" spans="1:20" s="413" customFormat="1">
      <c r="A19" s="532">
        <f t="shared" si="0"/>
        <v>4</v>
      </c>
      <c r="F19" s="413" t="s">
        <v>279</v>
      </c>
      <c r="H19" s="672">
        <f>SUM(H17:H18)</f>
        <v>709.70277225849907</v>
      </c>
      <c r="I19" s="542">
        <f>SUM(I17:I18)</f>
        <v>706.17786084258307</v>
      </c>
      <c r="J19" s="542">
        <f t="shared" ref="J19" si="1">SUM(J17:J18)</f>
        <v>684.40095369635696</v>
      </c>
      <c r="K19" s="542">
        <f t="shared" ref="K19" si="2">SUM(K17:K18)</f>
        <v>682.85609199039993</v>
      </c>
      <c r="L19" s="531"/>
      <c r="M19" s="664"/>
      <c r="N19" s="534"/>
      <c r="O19" s="534"/>
      <c r="P19" s="534"/>
      <c r="Q19" s="534"/>
      <c r="R19" s="534"/>
      <c r="S19" s="534"/>
      <c r="T19" s="534"/>
    </row>
    <row r="20" spans="1:20" s="413" customFormat="1">
      <c r="A20" s="532">
        <f t="shared" si="0"/>
        <v>5</v>
      </c>
      <c r="D20" s="413" t="s">
        <v>324</v>
      </c>
      <c r="H20" s="672">
        <f>'B-2 TFO Rev Req'!M13</f>
        <v>102.75431729526056</v>
      </c>
      <c r="I20" s="554">
        <v>106.36344136</v>
      </c>
      <c r="J20" s="554">
        <v>91.663464140000002</v>
      </c>
      <c r="K20" s="554">
        <v>84.553297709999981</v>
      </c>
      <c r="L20" s="531"/>
      <c r="M20" s="534"/>
      <c r="N20" s="534"/>
      <c r="O20" s="534"/>
      <c r="P20" s="534"/>
      <c r="Q20" s="534"/>
      <c r="R20" s="534"/>
      <c r="S20" s="534"/>
      <c r="T20" s="534"/>
    </row>
    <row r="21" spans="1:20" s="413" customFormat="1">
      <c r="A21" s="532">
        <f t="shared" si="0"/>
        <v>6</v>
      </c>
      <c r="D21" s="413" t="s">
        <v>325</v>
      </c>
      <c r="H21" s="672">
        <f>'B-2 TFO Rev Req'!M14</f>
        <v>110.63413676</v>
      </c>
      <c r="I21" s="554">
        <v>107.85401136489848</v>
      </c>
      <c r="J21" s="554">
        <v>102.651792</v>
      </c>
      <c r="K21" s="554">
        <v>99.19</v>
      </c>
      <c r="L21" s="531"/>
      <c r="M21" s="534"/>
      <c r="N21" s="534"/>
      <c r="O21" s="534"/>
      <c r="P21" s="534"/>
      <c r="Q21" s="534"/>
      <c r="R21" s="534"/>
      <c r="S21" s="534"/>
      <c r="T21" s="534"/>
    </row>
    <row r="22" spans="1:20" s="413" customFormat="1">
      <c r="A22" s="532">
        <f t="shared" si="0"/>
        <v>7</v>
      </c>
      <c r="D22" s="413" t="s">
        <v>280</v>
      </c>
      <c r="H22" s="672">
        <f>'B-2 TFO Rev Req'!M15</f>
        <v>9.1096439999999994</v>
      </c>
      <c r="I22" s="554">
        <v>8.370695534951917</v>
      </c>
      <c r="J22" s="554">
        <v>8.0644353912</v>
      </c>
      <c r="K22" s="554">
        <v>7.1215200000000003</v>
      </c>
      <c r="L22" s="531"/>
      <c r="M22" s="534"/>
      <c r="N22" s="534"/>
      <c r="O22" s="534"/>
      <c r="P22" s="534"/>
      <c r="Q22" s="534"/>
      <c r="R22" s="534"/>
      <c r="S22" s="534"/>
      <c r="T22" s="534"/>
    </row>
    <row r="23" spans="1:20" s="413" customFormat="1">
      <c r="A23" s="532">
        <f t="shared" si="0"/>
        <v>8</v>
      </c>
      <c r="D23" s="413" t="s">
        <v>327</v>
      </c>
      <c r="H23" s="672">
        <f>'B-2 TFO Rev Req'!M16</f>
        <v>6.9457929900000002</v>
      </c>
      <c r="I23" s="554">
        <v>6.9457923031778801</v>
      </c>
      <c r="J23" s="554">
        <v>6.945792</v>
      </c>
      <c r="K23" s="554">
        <v>6.7528019056000002</v>
      </c>
      <c r="L23" s="531"/>
      <c r="M23" s="534"/>
      <c r="N23" s="534"/>
      <c r="O23" s="534"/>
      <c r="P23" s="534"/>
      <c r="Q23" s="534"/>
      <c r="R23" s="534"/>
      <c r="S23" s="534"/>
      <c r="T23" s="534"/>
    </row>
    <row r="24" spans="1:20" s="413" customFormat="1">
      <c r="A24" s="532">
        <f t="shared" si="0"/>
        <v>9</v>
      </c>
      <c r="D24" s="413" t="s">
        <v>281</v>
      </c>
      <c r="H24" s="672">
        <f>'B-2 TFO Rev Req'!M17</f>
        <v>5.2749959999999998</v>
      </c>
      <c r="I24" s="554">
        <v>5.2749959999999998</v>
      </c>
      <c r="J24" s="554">
        <v>5.1047960000000003</v>
      </c>
      <c r="K24" s="554">
        <v>4.7129060000000003</v>
      </c>
      <c r="L24" s="531"/>
      <c r="M24" s="534"/>
      <c r="N24" s="534"/>
      <c r="O24" s="534"/>
      <c r="P24" s="534"/>
      <c r="Q24" s="534"/>
      <c r="R24" s="534"/>
      <c r="S24" s="534"/>
      <c r="T24" s="534"/>
    </row>
    <row r="25" spans="1:20" s="550" customFormat="1">
      <c r="A25" s="548">
        <f>A23+1</f>
        <v>9</v>
      </c>
      <c r="D25" s="550" t="s">
        <v>318</v>
      </c>
      <c r="H25" s="672">
        <f>'B-2 TFO Rev Req'!M18</f>
        <v>4.8444400400000003</v>
      </c>
      <c r="I25" s="554">
        <v>4.8220000000000001</v>
      </c>
      <c r="J25" s="554">
        <v>4.7710000399999997</v>
      </c>
      <c r="K25" s="554">
        <v>4.6849999999999996</v>
      </c>
      <c r="L25" s="531"/>
      <c r="M25" s="663"/>
      <c r="N25" s="663"/>
      <c r="O25" s="663"/>
      <c r="P25" s="663"/>
      <c r="Q25" s="663"/>
      <c r="R25" s="534"/>
      <c r="S25" s="534"/>
      <c r="T25" s="534"/>
    </row>
    <row r="26" spans="1:20" s="534" customFormat="1">
      <c r="A26" s="616">
        <f>A24+1</f>
        <v>10</v>
      </c>
      <c r="D26" s="534" t="s">
        <v>473</v>
      </c>
      <c r="H26" s="673">
        <f>'B-2 TFO Rev Req'!M19</f>
        <v>107.15957199999998</v>
      </c>
      <c r="I26" s="617">
        <v>105.84105599999999</v>
      </c>
      <c r="J26" s="617">
        <v>83.768237799999994</v>
      </c>
      <c r="K26" s="617" t="s">
        <v>472</v>
      </c>
      <c r="L26" s="531"/>
      <c r="M26" s="663"/>
    </row>
    <row r="27" spans="1:20" s="416" customFormat="1">
      <c r="A27" s="616">
        <f>A26+1</f>
        <v>11</v>
      </c>
      <c r="E27" s="416" t="s">
        <v>282</v>
      </c>
      <c r="H27" s="674">
        <f>SUM(H16,H19:H26)</f>
        <v>1935.8735183437598</v>
      </c>
      <c r="I27" s="543">
        <f>SUM(I16,I19:I26)</f>
        <v>1911.2329613863001</v>
      </c>
      <c r="J27" s="543">
        <f t="shared" ref="J27" si="3">SUM(J16,J19:J26)</f>
        <v>1845.1829968067673</v>
      </c>
      <c r="K27" s="543">
        <f t="shared" ref="K27" si="4">SUM(K16,K19:K26)</f>
        <v>1777.7132176059999</v>
      </c>
      <c r="L27" s="531"/>
      <c r="M27" s="630"/>
    </row>
    <row r="28" spans="1:20" s="413" customFormat="1">
      <c r="A28" s="532"/>
      <c r="H28" s="675"/>
      <c r="I28" s="551"/>
      <c r="J28" s="551"/>
      <c r="K28" s="546"/>
      <c r="M28" s="534"/>
      <c r="N28" s="534"/>
      <c r="O28" s="534"/>
      <c r="P28" s="534"/>
      <c r="Q28" s="534"/>
      <c r="R28" s="534"/>
      <c r="S28" s="534"/>
      <c r="T28" s="534"/>
    </row>
    <row r="29" spans="1:20" s="413" customFormat="1">
      <c r="A29" s="532"/>
      <c r="C29" s="345" t="s">
        <v>283</v>
      </c>
      <c r="D29" s="345"/>
      <c r="E29" s="345"/>
      <c r="F29" s="345"/>
      <c r="H29" s="675"/>
      <c r="I29" s="551"/>
      <c r="J29" s="551"/>
      <c r="K29" s="546"/>
      <c r="M29" s="534"/>
      <c r="N29" s="534"/>
      <c r="O29" s="534"/>
      <c r="P29" s="534"/>
      <c r="Q29" s="534"/>
      <c r="R29" s="534"/>
      <c r="S29" s="534"/>
      <c r="T29" s="534"/>
    </row>
    <row r="30" spans="1:20" s="413" customFormat="1">
      <c r="A30" s="532">
        <f>A27+1</f>
        <v>12</v>
      </c>
      <c r="D30" s="413" t="s">
        <v>284</v>
      </c>
      <c r="H30" s="676">
        <v>2</v>
      </c>
      <c r="I30" s="558">
        <v>2.2617224999999999</v>
      </c>
      <c r="J30" s="558">
        <v>2.0671134000000002</v>
      </c>
      <c r="K30" s="558">
        <v>2.1</v>
      </c>
      <c r="L30" s="531"/>
      <c r="M30" s="534"/>
      <c r="N30" s="534"/>
      <c r="O30" s="534"/>
      <c r="P30" s="534"/>
      <c r="Q30" s="534"/>
      <c r="R30" s="534"/>
      <c r="S30" s="534"/>
      <c r="T30" s="534"/>
    </row>
    <row r="31" spans="1:20" s="413" customFormat="1">
      <c r="A31" s="532">
        <f>A30+1</f>
        <v>13</v>
      </c>
      <c r="D31" s="413" t="s">
        <v>285</v>
      </c>
      <c r="H31" s="677">
        <v>2</v>
      </c>
      <c r="I31" s="559">
        <v>2.5381559124999997</v>
      </c>
      <c r="J31" s="559">
        <v>2.4308515000000002</v>
      </c>
      <c r="K31" s="559">
        <v>2.7</v>
      </c>
      <c r="L31" s="531"/>
      <c r="M31" s="534"/>
      <c r="N31" s="534"/>
      <c r="O31" s="534"/>
      <c r="P31" s="534"/>
      <c r="Q31" s="534"/>
      <c r="R31" s="534"/>
      <c r="S31" s="534"/>
      <c r="T31" s="534"/>
    </row>
    <row r="32" spans="1:20" s="345" customFormat="1">
      <c r="A32" s="532">
        <f>A31+1</f>
        <v>14</v>
      </c>
      <c r="E32" s="345" t="s">
        <v>286</v>
      </c>
      <c r="H32" s="674">
        <f>SUM(H30:H31)</f>
        <v>4</v>
      </c>
      <c r="I32" s="543">
        <f>SUM(I30:I31)</f>
        <v>4.7998784125</v>
      </c>
      <c r="J32" s="543">
        <f t="shared" ref="J32" si="5">SUM(J30:J31)</f>
        <v>4.4979649000000004</v>
      </c>
      <c r="K32" s="543">
        <f t="shared" ref="K32" si="6">SUM(K30:K31)</f>
        <v>4.8000000000000007</v>
      </c>
      <c r="L32" s="531"/>
      <c r="M32" s="416"/>
      <c r="N32" s="416"/>
      <c r="O32" s="416"/>
      <c r="P32" s="416"/>
      <c r="Q32" s="416"/>
      <c r="R32" s="416"/>
      <c r="S32" s="416"/>
      <c r="T32" s="416"/>
    </row>
    <row r="33" spans="1:21" s="416" customFormat="1" ht="13.5" thickBot="1">
      <c r="A33" s="616">
        <f>A32+1</f>
        <v>15</v>
      </c>
      <c r="F33" s="416" t="s">
        <v>287</v>
      </c>
      <c r="H33" s="678">
        <f>SUM(H27,H32)</f>
        <v>1939.8735183437598</v>
      </c>
      <c r="I33" s="618">
        <f>SUM(I27,I32)</f>
        <v>1916.0328397988001</v>
      </c>
      <c r="J33" s="618">
        <f t="shared" ref="J33" si="7">SUM(J27,J32)</f>
        <v>1849.6809617067672</v>
      </c>
      <c r="K33" s="618">
        <f t="shared" ref="K33" si="8">SUM(K27,K32)</f>
        <v>1782.5132176059999</v>
      </c>
      <c r="L33" s="531"/>
      <c r="M33" s="691"/>
      <c r="N33" s="692"/>
    </row>
    <row r="34" spans="1:21" s="413" customFormat="1">
      <c r="A34" s="532"/>
      <c r="H34" s="674"/>
      <c r="I34" s="543"/>
      <c r="J34" s="558"/>
      <c r="K34" s="558"/>
      <c r="M34" s="534"/>
      <c r="N34" s="534"/>
      <c r="O34" s="534"/>
      <c r="P34" s="534"/>
      <c r="Q34" s="534"/>
      <c r="R34" s="534"/>
      <c r="S34" s="534"/>
      <c r="T34" s="534"/>
      <c r="U34" s="550"/>
    </row>
    <row r="35" spans="1:21" s="345" customFormat="1">
      <c r="A35" s="532"/>
      <c r="C35" s="345" t="s">
        <v>288</v>
      </c>
      <c r="H35" s="679"/>
      <c r="I35" s="586"/>
      <c r="J35" s="558"/>
      <c r="K35" s="558"/>
      <c r="M35" s="416"/>
      <c r="N35" s="416"/>
      <c r="O35" s="416"/>
      <c r="P35" s="416"/>
      <c r="Q35" s="416"/>
      <c r="R35" s="416"/>
      <c r="S35" s="416"/>
      <c r="T35" s="416"/>
    </row>
    <row r="36" spans="1:21" s="345" customFormat="1">
      <c r="A36" s="532"/>
      <c r="C36" s="345" t="s">
        <v>12</v>
      </c>
      <c r="H36" s="676"/>
      <c r="I36" s="558"/>
      <c r="J36" s="558"/>
      <c r="K36" s="558"/>
      <c r="M36" s="416"/>
      <c r="N36" s="416"/>
      <c r="O36" s="416"/>
      <c r="P36" s="416"/>
      <c r="Q36" s="416"/>
      <c r="R36" s="416"/>
      <c r="S36" s="416"/>
      <c r="T36" s="416"/>
    </row>
    <row r="37" spans="1:21" s="413" customFormat="1">
      <c r="A37" s="532"/>
      <c r="D37" s="413" t="s">
        <v>289</v>
      </c>
      <c r="H37" s="676"/>
      <c r="I37" s="558"/>
      <c r="J37" s="558"/>
      <c r="K37" s="558"/>
      <c r="M37" s="534"/>
      <c r="N37" s="534"/>
      <c r="O37" s="534"/>
      <c r="P37" s="534"/>
      <c r="Q37" s="534"/>
      <c r="R37" s="534"/>
      <c r="S37" s="534"/>
      <c r="T37" s="534"/>
    </row>
    <row r="38" spans="1:21" s="413" customFormat="1">
      <c r="A38" s="532">
        <f>A33+1</f>
        <v>16</v>
      </c>
      <c r="E38" s="413" t="s">
        <v>290</v>
      </c>
      <c r="H38" s="676">
        <v>34.700000000000003</v>
      </c>
      <c r="I38" s="558">
        <v>62.4</v>
      </c>
      <c r="J38" s="558">
        <v>57.572413509999997</v>
      </c>
      <c r="K38" s="558">
        <v>56.118094620000001</v>
      </c>
      <c r="L38" s="531"/>
      <c r="M38" s="534"/>
      <c r="N38" s="534"/>
      <c r="O38" s="534"/>
      <c r="P38" s="534"/>
      <c r="Q38" s="534"/>
      <c r="R38" s="534"/>
      <c r="S38" s="534"/>
      <c r="T38" s="534"/>
    </row>
    <row r="39" spans="1:21" s="413" customFormat="1">
      <c r="A39" s="532">
        <f>A38+1</f>
        <v>17</v>
      </c>
      <c r="E39" s="413" t="s">
        <v>291</v>
      </c>
      <c r="H39" s="676">
        <v>66</v>
      </c>
      <c r="I39" s="558">
        <v>88.7</v>
      </c>
      <c r="J39" s="558">
        <v>63.414532350000002</v>
      </c>
      <c r="K39" s="558">
        <v>80.167698439999995</v>
      </c>
      <c r="L39" s="531"/>
      <c r="M39" s="534"/>
      <c r="N39" s="534"/>
      <c r="O39" s="534"/>
      <c r="P39" s="534"/>
      <c r="Q39" s="534"/>
      <c r="R39" s="534"/>
      <c r="S39" s="534"/>
      <c r="T39" s="534"/>
    </row>
    <row r="40" spans="1:21" s="413" customFormat="1">
      <c r="A40" s="532">
        <f>A39+1</f>
        <v>18</v>
      </c>
      <c r="E40" s="413" t="s">
        <v>292</v>
      </c>
      <c r="H40" s="677">
        <v>39.5</v>
      </c>
      <c r="I40" s="559">
        <v>60.9</v>
      </c>
      <c r="J40" s="559">
        <v>51.341565789999997</v>
      </c>
      <c r="K40" s="559">
        <v>59.101707220000002</v>
      </c>
      <c r="L40" s="531"/>
      <c r="M40" s="534"/>
      <c r="N40" s="534"/>
      <c r="O40" s="534"/>
      <c r="P40" s="534"/>
      <c r="Q40" s="534"/>
      <c r="R40" s="534"/>
      <c r="S40" s="534"/>
      <c r="T40" s="534"/>
    </row>
    <row r="41" spans="1:21" s="345" customFormat="1">
      <c r="A41" s="532">
        <f>A40+1</f>
        <v>19</v>
      </c>
      <c r="F41" s="345" t="s">
        <v>293</v>
      </c>
      <c r="H41" s="680">
        <f>SUM(H38:H40)</f>
        <v>140.19999999999999</v>
      </c>
      <c r="I41" s="560">
        <f>SUM(I38:I40)</f>
        <v>212</v>
      </c>
      <c r="J41" s="560">
        <f t="shared" ref="J41" si="9">SUM(J38:J40)</f>
        <v>172.32851165</v>
      </c>
      <c r="K41" s="560">
        <f t="shared" ref="K41" si="10">SUM(K38:K40)</f>
        <v>195.38750028000001</v>
      </c>
      <c r="L41" s="531"/>
      <c r="M41" s="416"/>
      <c r="N41" s="416"/>
      <c r="O41" s="416"/>
      <c r="P41" s="416"/>
      <c r="Q41" s="416"/>
      <c r="R41" s="416"/>
      <c r="S41" s="416"/>
      <c r="T41" s="416"/>
    </row>
    <row r="42" spans="1:21" s="413" customFormat="1">
      <c r="A42" s="532"/>
      <c r="D42" s="413" t="s">
        <v>294</v>
      </c>
      <c r="H42" s="676"/>
      <c r="I42" s="558"/>
      <c r="J42" s="558"/>
      <c r="K42" s="558"/>
      <c r="L42" s="531"/>
      <c r="M42" s="534"/>
      <c r="N42" s="534"/>
      <c r="O42" s="534"/>
      <c r="P42" s="534"/>
      <c r="Q42" s="534"/>
      <c r="R42" s="534"/>
      <c r="S42" s="534"/>
      <c r="T42" s="534"/>
    </row>
    <row r="43" spans="1:21" s="413" customFormat="1">
      <c r="A43" s="532">
        <f>A41+1</f>
        <v>20</v>
      </c>
      <c r="E43" s="413" t="s">
        <v>290</v>
      </c>
      <c r="H43" s="676">
        <v>4.2</v>
      </c>
      <c r="I43" s="558">
        <v>5.0999999999999996</v>
      </c>
      <c r="J43" s="558">
        <v>3.2535461099999998</v>
      </c>
      <c r="K43" s="558">
        <v>6.1925119999999998</v>
      </c>
      <c r="L43" s="531"/>
      <c r="M43" s="534"/>
      <c r="N43" s="534"/>
      <c r="O43" s="534"/>
      <c r="P43" s="534"/>
      <c r="Q43" s="534"/>
      <c r="R43" s="534"/>
      <c r="S43" s="534"/>
      <c r="T43" s="534"/>
    </row>
    <row r="44" spans="1:21" s="413" customFormat="1">
      <c r="A44" s="532">
        <f>A43+1</f>
        <v>21</v>
      </c>
      <c r="E44" s="413" t="s">
        <v>291</v>
      </c>
      <c r="H44" s="676">
        <v>14.2</v>
      </c>
      <c r="I44" s="558">
        <v>13.2</v>
      </c>
      <c r="J44" s="558">
        <v>12.265942689999999</v>
      </c>
      <c r="K44" s="558">
        <v>28.25404004</v>
      </c>
      <c r="L44" s="531"/>
      <c r="M44" s="534"/>
      <c r="N44" s="534"/>
      <c r="O44" s="534"/>
      <c r="P44" s="534"/>
      <c r="Q44" s="534"/>
      <c r="R44" s="534"/>
      <c r="S44" s="534"/>
      <c r="T44" s="534"/>
    </row>
    <row r="45" spans="1:21" s="413" customFormat="1">
      <c r="A45" s="532">
        <f>A44+1</f>
        <v>22</v>
      </c>
      <c r="E45" s="413" t="s">
        <v>292</v>
      </c>
      <c r="H45" s="676">
        <v>5.6</v>
      </c>
      <c r="I45" s="559">
        <v>5.4</v>
      </c>
      <c r="J45" s="558">
        <v>4.8089678200000003</v>
      </c>
      <c r="K45" s="558">
        <v>9.9753571599999997</v>
      </c>
      <c r="L45" s="531"/>
      <c r="M45" s="534"/>
      <c r="N45" s="534"/>
      <c r="O45" s="534"/>
      <c r="P45" s="534"/>
      <c r="Q45" s="534"/>
      <c r="R45" s="534"/>
      <c r="S45" s="534"/>
      <c r="T45" s="534"/>
    </row>
    <row r="46" spans="1:21" s="345" customFormat="1">
      <c r="A46" s="532">
        <f>A45+1</f>
        <v>23</v>
      </c>
      <c r="F46" s="345" t="s">
        <v>295</v>
      </c>
      <c r="G46" s="419"/>
      <c r="H46" s="681">
        <f>SUM(H43:H45)</f>
        <v>24</v>
      </c>
      <c r="I46" s="561">
        <f>SUM(I43:I45)</f>
        <v>23.699999999999996</v>
      </c>
      <c r="J46" s="561">
        <f t="shared" ref="J46" si="11">SUM(J43:J45)</f>
        <v>20.328456620000001</v>
      </c>
      <c r="K46" s="561">
        <f t="shared" ref="K46" si="12">SUM(K43:K45)</f>
        <v>44.421909200000002</v>
      </c>
      <c r="L46" s="531"/>
      <c r="M46" s="416"/>
      <c r="N46" s="416"/>
      <c r="O46" s="416"/>
      <c r="P46" s="416"/>
      <c r="Q46" s="416"/>
      <c r="R46" s="416"/>
      <c r="S46" s="416"/>
      <c r="T46" s="416"/>
    </row>
    <row r="47" spans="1:21" s="413" customFormat="1">
      <c r="A47" s="532">
        <f>A46+1</f>
        <v>24</v>
      </c>
      <c r="D47" s="413" t="s">
        <v>345</v>
      </c>
      <c r="H47" s="677">
        <v>-4.3</v>
      </c>
      <c r="I47" s="559">
        <v>-6</v>
      </c>
      <c r="J47" s="559">
        <v>-5.4125107999999997</v>
      </c>
      <c r="K47" s="559">
        <v>-3.8321061899999997</v>
      </c>
      <c r="L47" s="531"/>
      <c r="M47" s="534"/>
      <c r="N47" s="534"/>
      <c r="O47" s="534"/>
      <c r="P47" s="534"/>
      <c r="Q47" s="534"/>
      <c r="R47" s="534"/>
      <c r="S47" s="534"/>
      <c r="T47" s="534"/>
    </row>
    <row r="48" spans="1:21" s="345" customFormat="1">
      <c r="A48" s="532">
        <f>A47+1</f>
        <v>25</v>
      </c>
      <c r="E48" s="345" t="s">
        <v>296</v>
      </c>
      <c r="H48" s="680">
        <f>SUM(H41,H46:H47)</f>
        <v>159.89999999999998</v>
      </c>
      <c r="I48" s="560">
        <f>SUM(I41,I46:I47)</f>
        <v>229.7</v>
      </c>
      <c r="J48" s="560">
        <f t="shared" ref="J48" si="13">SUM(J41,J46:J47)</f>
        <v>187.24445746999999</v>
      </c>
      <c r="K48" s="560">
        <f t="shared" ref="K48" si="14">SUM(K41,K46:K47)</f>
        <v>235.97730329000001</v>
      </c>
      <c r="L48" s="531"/>
      <c r="M48" s="416"/>
      <c r="N48" s="416"/>
      <c r="O48" s="416"/>
      <c r="P48" s="416"/>
      <c r="Q48" s="416"/>
      <c r="R48" s="416"/>
      <c r="S48" s="416"/>
      <c r="T48" s="416"/>
    </row>
    <row r="49" spans="1:20" s="413" customFormat="1">
      <c r="A49" s="532"/>
      <c r="H49" s="676"/>
      <c r="I49" s="558"/>
      <c r="J49" s="558"/>
      <c r="K49" s="558"/>
      <c r="L49" s="531"/>
      <c r="M49" s="534"/>
      <c r="N49" s="534"/>
      <c r="O49" s="534"/>
      <c r="P49" s="534"/>
      <c r="Q49" s="534"/>
      <c r="R49" s="534"/>
      <c r="S49" s="534"/>
      <c r="T49" s="534"/>
    </row>
    <row r="50" spans="1:20" s="345" customFormat="1">
      <c r="A50" s="532"/>
      <c r="C50" s="345" t="s">
        <v>13</v>
      </c>
      <c r="H50" s="676"/>
      <c r="I50" s="558"/>
      <c r="J50" s="558"/>
      <c r="K50" s="558"/>
      <c r="L50" s="531"/>
      <c r="M50" s="416"/>
      <c r="N50" s="416"/>
      <c r="O50" s="416"/>
      <c r="P50" s="416"/>
      <c r="Q50" s="416"/>
      <c r="R50" s="416"/>
      <c r="S50" s="416"/>
      <c r="T50" s="416"/>
    </row>
    <row r="51" spans="1:20" s="413" customFormat="1">
      <c r="A51" s="532">
        <f>A48+1</f>
        <v>26</v>
      </c>
      <c r="D51" s="413" t="s">
        <v>14</v>
      </c>
      <c r="H51" s="676">
        <v>2.4</v>
      </c>
      <c r="I51" s="558">
        <v>2.3118885246898753</v>
      </c>
      <c r="J51" s="558">
        <v>2.2928907000000001</v>
      </c>
      <c r="K51" s="558">
        <v>2.1931402700000002</v>
      </c>
      <c r="L51" s="531"/>
      <c r="M51" s="534"/>
      <c r="N51" s="534"/>
      <c r="O51" s="534"/>
      <c r="P51" s="534"/>
      <c r="Q51" s="534"/>
      <c r="R51" s="534"/>
      <c r="S51" s="534"/>
      <c r="T51" s="534"/>
    </row>
    <row r="52" spans="1:20" s="413" customFormat="1">
      <c r="A52" s="532">
        <f t="shared" ref="A52:A60" si="15">A51+1</f>
        <v>27</v>
      </c>
      <c r="D52" s="413" t="s">
        <v>15</v>
      </c>
      <c r="H52" s="676">
        <v>0.4</v>
      </c>
      <c r="I52" s="558">
        <v>2.83</v>
      </c>
      <c r="J52" s="558">
        <v>3.2913457400000001</v>
      </c>
      <c r="K52" s="558">
        <v>3.4072075000000002</v>
      </c>
      <c r="L52" s="531"/>
      <c r="M52" s="534"/>
      <c r="N52" s="534"/>
      <c r="O52" s="534"/>
      <c r="P52" s="534"/>
      <c r="Q52" s="534"/>
      <c r="R52" s="534"/>
      <c r="S52" s="534"/>
      <c r="T52" s="534"/>
    </row>
    <row r="53" spans="1:20" s="413" customFormat="1">
      <c r="A53" s="532">
        <f t="shared" si="15"/>
        <v>28</v>
      </c>
      <c r="D53" s="550" t="s">
        <v>469</v>
      </c>
      <c r="H53" s="676">
        <v>32.6</v>
      </c>
      <c r="I53" s="558">
        <v>20.645840013676846</v>
      </c>
      <c r="J53" s="558">
        <v>16.147908659999999</v>
      </c>
      <c r="K53" s="558">
        <v>30.96233681</v>
      </c>
      <c r="L53" s="531"/>
      <c r="M53" s="534"/>
      <c r="N53" s="534"/>
      <c r="O53" s="534"/>
      <c r="P53" s="534"/>
      <c r="Q53" s="534"/>
      <c r="R53" s="534"/>
      <c r="S53" s="534"/>
      <c r="T53" s="534"/>
    </row>
    <row r="54" spans="1:20" s="413" customFormat="1">
      <c r="A54" s="532">
        <f t="shared" si="15"/>
        <v>29</v>
      </c>
      <c r="D54" s="550" t="s">
        <v>426</v>
      </c>
      <c r="H54" s="676">
        <v>2.9</v>
      </c>
      <c r="I54" s="558">
        <v>2.8571428800000001</v>
      </c>
      <c r="J54" s="558">
        <v>2.8571428800000001</v>
      </c>
      <c r="K54" s="558">
        <v>2.8571428800000001</v>
      </c>
      <c r="L54" s="531"/>
      <c r="M54" s="534"/>
      <c r="N54" s="534"/>
      <c r="O54" s="534"/>
      <c r="P54" s="534"/>
      <c r="Q54" s="534"/>
      <c r="R54" s="534"/>
      <c r="S54" s="534"/>
      <c r="T54" s="534"/>
    </row>
    <row r="55" spans="1:20" s="413" customFormat="1">
      <c r="A55" s="532">
        <f t="shared" si="15"/>
        <v>30</v>
      </c>
      <c r="D55" s="550" t="s">
        <v>430</v>
      </c>
      <c r="H55" s="676">
        <v>0.1</v>
      </c>
      <c r="I55" s="558">
        <v>0.1</v>
      </c>
      <c r="J55" s="558">
        <v>0.26980104999999999</v>
      </c>
      <c r="K55" s="558">
        <v>3.5125719999999999E-2</v>
      </c>
      <c r="L55" s="531"/>
      <c r="M55" s="534"/>
      <c r="N55" s="534"/>
      <c r="O55" s="534"/>
      <c r="P55" s="534"/>
      <c r="Q55" s="534"/>
      <c r="R55" s="534"/>
      <c r="S55" s="534"/>
      <c r="T55" s="534"/>
    </row>
    <row r="56" spans="1:20" s="413" customFormat="1">
      <c r="A56" s="532">
        <f t="shared" si="15"/>
        <v>31</v>
      </c>
      <c r="D56" s="550" t="s">
        <v>17</v>
      </c>
      <c r="H56" s="676">
        <v>0</v>
      </c>
      <c r="I56" s="558">
        <v>0</v>
      </c>
      <c r="J56" s="558">
        <v>0.86910456000000003</v>
      </c>
      <c r="K56" s="558">
        <v>2.3831395400000002</v>
      </c>
      <c r="L56" s="531"/>
      <c r="M56" s="534"/>
      <c r="N56" s="534"/>
      <c r="O56" s="534"/>
      <c r="P56" s="534"/>
      <c r="Q56" s="534"/>
      <c r="R56" s="534"/>
      <c r="S56" s="534"/>
      <c r="T56" s="534"/>
    </row>
    <row r="57" spans="1:20" s="413" customFormat="1">
      <c r="A57" s="532">
        <f t="shared" si="15"/>
        <v>32</v>
      </c>
      <c r="D57" s="550" t="s">
        <v>297</v>
      </c>
      <c r="H57" s="676">
        <v>0</v>
      </c>
      <c r="I57" s="558">
        <v>0</v>
      </c>
      <c r="J57" s="558">
        <v>0</v>
      </c>
      <c r="K57" s="558">
        <v>0</v>
      </c>
      <c r="L57" s="531"/>
      <c r="M57" s="534"/>
      <c r="N57" s="534"/>
      <c r="O57" s="534"/>
      <c r="P57" s="534"/>
      <c r="Q57" s="534"/>
      <c r="R57" s="534"/>
      <c r="S57" s="534"/>
      <c r="T57" s="534"/>
    </row>
    <row r="58" spans="1:20" s="549" customFormat="1">
      <c r="A58" s="548">
        <f t="shared" si="15"/>
        <v>33</v>
      </c>
      <c r="D58" s="550" t="s">
        <v>471</v>
      </c>
      <c r="H58" s="676">
        <v>0</v>
      </c>
      <c r="I58" s="558">
        <v>0</v>
      </c>
      <c r="J58" s="558">
        <v>0</v>
      </c>
      <c r="K58" s="558">
        <v>0</v>
      </c>
      <c r="L58" s="531"/>
      <c r="M58" s="534"/>
      <c r="N58" s="534"/>
      <c r="O58" s="534"/>
      <c r="P58" s="534"/>
      <c r="Q58" s="534"/>
      <c r="R58" s="534"/>
      <c r="S58" s="534"/>
      <c r="T58" s="534"/>
    </row>
    <row r="59" spans="1:20" s="345" customFormat="1">
      <c r="A59" s="532">
        <f t="shared" si="15"/>
        <v>34</v>
      </c>
      <c r="E59" s="345" t="s">
        <v>427</v>
      </c>
      <c r="H59" s="682">
        <f t="shared" ref="H59:J59" si="16">SUM(H51:H58)</f>
        <v>38.4</v>
      </c>
      <c r="I59" s="562">
        <f t="shared" si="16"/>
        <v>28.744871418366724</v>
      </c>
      <c r="J59" s="562">
        <f t="shared" si="16"/>
        <v>25.72819359</v>
      </c>
      <c r="K59" s="562">
        <f t="shared" ref="K59" si="17">SUM(K51:K58)</f>
        <v>41.838092720000006</v>
      </c>
      <c r="L59" s="531"/>
      <c r="M59" s="691"/>
      <c r="N59" s="416"/>
      <c r="O59" s="416"/>
      <c r="P59" s="416"/>
      <c r="Q59" s="416"/>
      <c r="R59" s="416"/>
      <c r="S59" s="416"/>
      <c r="T59" s="416"/>
    </row>
    <row r="60" spans="1:20" s="413" customFormat="1" ht="13.5" thickBot="1">
      <c r="A60" s="532">
        <f t="shared" si="15"/>
        <v>35</v>
      </c>
      <c r="B60" s="345"/>
      <c r="C60" s="345"/>
      <c r="D60" s="345"/>
      <c r="E60" s="345"/>
      <c r="F60" s="345" t="s">
        <v>298</v>
      </c>
      <c r="G60" s="345"/>
      <c r="H60" s="683">
        <f>SUM(H48,H59)</f>
        <v>198.29999999999998</v>
      </c>
      <c r="I60" s="563">
        <f>SUM(I48,I59)</f>
        <v>258.44487141836669</v>
      </c>
      <c r="J60" s="563">
        <f t="shared" ref="J60" si="18">SUM(J48,J59)</f>
        <v>212.97265105999998</v>
      </c>
      <c r="K60" s="563">
        <f t="shared" ref="K60" si="19">SUM(K48,K59)</f>
        <v>277.81539601000003</v>
      </c>
      <c r="L60" s="531"/>
      <c r="M60" s="534"/>
      <c r="N60" s="690"/>
      <c r="O60" s="534"/>
      <c r="P60" s="534"/>
      <c r="Q60" s="534"/>
      <c r="R60" s="534"/>
      <c r="S60" s="534"/>
      <c r="T60" s="534"/>
    </row>
    <row r="61" spans="1:20" s="413" customFormat="1">
      <c r="A61" s="532"/>
      <c r="B61" s="345"/>
      <c r="C61" s="345"/>
      <c r="D61" s="345"/>
      <c r="E61" s="345"/>
      <c r="F61" s="345"/>
      <c r="G61" s="345"/>
      <c r="H61" s="674"/>
      <c r="I61" s="558"/>
      <c r="J61" s="558"/>
      <c r="K61" s="558"/>
      <c r="M61" s="534"/>
      <c r="N61" s="534"/>
      <c r="O61" s="534"/>
      <c r="P61" s="534"/>
      <c r="Q61" s="534"/>
      <c r="R61" s="534"/>
      <c r="S61" s="534"/>
      <c r="T61" s="534"/>
    </row>
    <row r="62" spans="1:20" s="345" customFormat="1">
      <c r="A62" s="532"/>
      <c r="C62" s="345" t="s">
        <v>299</v>
      </c>
      <c r="H62" s="679"/>
      <c r="I62" s="558"/>
      <c r="J62" s="558"/>
      <c r="K62" s="558"/>
      <c r="M62" s="416"/>
      <c r="N62" s="416"/>
      <c r="O62" s="416"/>
      <c r="P62" s="416"/>
      <c r="Q62" s="416"/>
      <c r="R62" s="416"/>
      <c r="S62" s="416"/>
      <c r="T62" s="416"/>
    </row>
    <row r="63" spans="1:20" s="413" customFormat="1">
      <c r="A63" s="532">
        <f>A60+1</f>
        <v>36</v>
      </c>
      <c r="D63" s="413" t="s">
        <v>300</v>
      </c>
      <c r="H63" s="684">
        <v>104.4</v>
      </c>
      <c r="I63" s="564">
        <v>113.5</v>
      </c>
      <c r="J63" s="564">
        <v>106.5</v>
      </c>
      <c r="K63" s="564">
        <v>98.3</v>
      </c>
      <c r="N63" s="534"/>
      <c r="O63" s="534"/>
      <c r="P63" s="534"/>
      <c r="Q63" s="534"/>
      <c r="R63" s="534"/>
      <c r="S63" s="534"/>
      <c r="T63" s="534"/>
    </row>
    <row r="64" spans="1:20" s="413" customFormat="1" ht="13.5" thickBot="1">
      <c r="A64" s="532">
        <f>A63+1</f>
        <v>37</v>
      </c>
      <c r="B64" s="345"/>
      <c r="C64" s="345"/>
      <c r="D64" s="345"/>
      <c r="E64" s="345" t="s">
        <v>301</v>
      </c>
      <c r="F64" s="345"/>
      <c r="G64" s="345"/>
      <c r="H64" s="683">
        <f t="shared" ref="H64:J64" si="20">H63</f>
        <v>104.4</v>
      </c>
      <c r="I64" s="563">
        <f t="shared" si="20"/>
        <v>113.5</v>
      </c>
      <c r="J64" s="563">
        <f t="shared" si="20"/>
        <v>106.5</v>
      </c>
      <c r="K64" s="563">
        <f t="shared" ref="K64" si="21">K63</f>
        <v>98.3</v>
      </c>
      <c r="M64" s="534"/>
      <c r="N64" s="534"/>
      <c r="O64" s="534"/>
      <c r="P64" s="534"/>
      <c r="Q64" s="534"/>
      <c r="R64" s="534"/>
      <c r="S64" s="534"/>
      <c r="T64" s="534"/>
    </row>
    <row r="65" spans="1:20" s="413" customFormat="1">
      <c r="A65" s="532"/>
      <c r="B65" s="345"/>
      <c r="C65" s="345"/>
      <c r="D65" s="345"/>
      <c r="E65" s="345"/>
      <c r="F65" s="345"/>
      <c r="G65" s="345"/>
      <c r="H65" s="679"/>
      <c r="I65" s="558"/>
      <c r="J65" s="558"/>
      <c r="K65" s="558"/>
      <c r="M65" s="534"/>
      <c r="N65" s="534"/>
      <c r="O65" s="534"/>
      <c r="P65" s="534"/>
      <c r="Q65" s="534"/>
      <c r="R65" s="534"/>
      <c r="S65" s="534"/>
      <c r="T65" s="534"/>
    </row>
    <row r="66" spans="1:20" s="536" customFormat="1">
      <c r="A66" s="532"/>
      <c r="B66" s="345"/>
      <c r="C66" s="345" t="s">
        <v>302</v>
      </c>
      <c r="D66" s="345"/>
      <c r="E66" s="345"/>
      <c r="F66" s="345"/>
      <c r="G66" s="345"/>
      <c r="H66" s="676"/>
      <c r="I66" s="558"/>
      <c r="J66" s="558"/>
      <c r="K66" s="558"/>
      <c r="L66" s="535"/>
      <c r="M66" s="535"/>
      <c r="N66" s="535"/>
      <c r="O66" s="535"/>
      <c r="P66" s="535"/>
      <c r="Q66" s="535"/>
      <c r="R66" s="535"/>
      <c r="S66" s="535"/>
      <c r="T66" s="535"/>
    </row>
    <row r="67" spans="1:20" s="343" customFormat="1">
      <c r="A67" s="532">
        <f>A64+1</f>
        <v>38</v>
      </c>
      <c r="B67" s="413"/>
      <c r="D67" s="413" t="s">
        <v>368</v>
      </c>
      <c r="E67" s="413"/>
      <c r="F67" s="413"/>
      <c r="G67" s="413"/>
      <c r="H67" s="676">
        <v>1.3</v>
      </c>
      <c r="I67" s="558">
        <v>1.675</v>
      </c>
      <c r="J67" s="558">
        <v>1.6700278099999999</v>
      </c>
      <c r="K67" s="558">
        <v>1.6097588300000003</v>
      </c>
      <c r="L67" s="422"/>
      <c r="M67" s="535"/>
      <c r="N67" s="422"/>
      <c r="O67" s="422"/>
      <c r="P67" s="535"/>
      <c r="Q67" s="422"/>
      <c r="R67" s="422"/>
      <c r="S67" s="422"/>
      <c r="T67" s="422"/>
    </row>
    <row r="68" spans="1:20" s="413" customFormat="1">
      <c r="A68" s="532">
        <f>A67+1</f>
        <v>39</v>
      </c>
      <c r="D68" s="413" t="s">
        <v>303</v>
      </c>
      <c r="H68" s="676">
        <v>2.2000000000000002</v>
      </c>
      <c r="I68" s="558">
        <v>2.7805089999999999</v>
      </c>
      <c r="J68" s="558">
        <v>2.14809319</v>
      </c>
      <c r="K68" s="558">
        <v>2.1431682900000002</v>
      </c>
      <c r="L68" s="534"/>
      <c r="M68" s="534"/>
      <c r="N68" s="534"/>
      <c r="O68" s="534"/>
      <c r="P68" s="534"/>
      <c r="Q68" s="534"/>
      <c r="R68" s="534"/>
      <c r="S68" s="534"/>
      <c r="T68" s="534"/>
    </row>
    <row r="69" spans="1:20" s="345" customFormat="1">
      <c r="A69" s="532">
        <f>A68+1</f>
        <v>40</v>
      </c>
      <c r="B69" s="413"/>
      <c r="D69" s="413" t="s">
        <v>431</v>
      </c>
      <c r="E69" s="413"/>
      <c r="F69" s="413"/>
      <c r="G69" s="413"/>
      <c r="H69" s="676">
        <v>17.899999999999999</v>
      </c>
      <c r="I69" s="559">
        <v>12.019439999999999</v>
      </c>
      <c r="J69" s="558">
        <v>11.53386603</v>
      </c>
      <c r="K69" s="558">
        <v>11.68602402</v>
      </c>
      <c r="L69" s="416"/>
      <c r="M69" s="416"/>
      <c r="N69" s="416"/>
      <c r="O69" s="416"/>
      <c r="P69" s="416"/>
      <c r="Q69" s="416"/>
      <c r="R69" s="416"/>
      <c r="S69" s="416"/>
      <c r="T69" s="416"/>
    </row>
    <row r="70" spans="1:20" s="413" customFormat="1" ht="13.5" thickBot="1">
      <c r="A70" s="532">
        <f>A69+1</f>
        <v>41</v>
      </c>
      <c r="B70" s="345"/>
      <c r="C70" s="345"/>
      <c r="D70" s="345"/>
      <c r="E70" s="345" t="s">
        <v>304</v>
      </c>
      <c r="F70" s="345"/>
      <c r="G70" s="345"/>
      <c r="H70" s="685">
        <f>SUM(H67:H69)</f>
        <v>21.4</v>
      </c>
      <c r="I70" s="570">
        <f>SUM(I67:I69)</f>
        <v>16.474948999999999</v>
      </c>
      <c r="J70" s="570">
        <f t="shared" ref="J70" si="22">SUM(J67:J69)</f>
        <v>15.35198703</v>
      </c>
      <c r="K70" s="570">
        <f t="shared" ref="K70" si="23">SUM(K67:K69)</f>
        <v>15.43895114</v>
      </c>
      <c r="L70" s="534"/>
      <c r="M70" s="534"/>
      <c r="N70" s="534"/>
      <c r="O70" s="534"/>
      <c r="P70" s="534"/>
      <c r="Q70" s="534"/>
      <c r="R70" s="534"/>
      <c r="S70" s="534"/>
      <c r="T70" s="534"/>
    </row>
    <row r="71" spans="1:20" s="413" customFormat="1">
      <c r="A71" s="532"/>
      <c r="H71" s="676"/>
      <c r="I71" s="558"/>
      <c r="J71" s="558"/>
      <c r="K71" s="558"/>
      <c r="L71" s="534"/>
      <c r="M71" s="534"/>
      <c r="N71" s="534"/>
      <c r="O71" s="534"/>
      <c r="P71" s="534"/>
      <c r="Q71" s="534"/>
      <c r="R71" s="534"/>
      <c r="S71" s="534"/>
      <c r="T71" s="534"/>
    </row>
    <row r="72" spans="1:20" s="413" customFormat="1">
      <c r="A72" s="532"/>
      <c r="B72" s="345"/>
      <c r="C72" s="345" t="s">
        <v>305</v>
      </c>
      <c r="D72" s="345"/>
      <c r="E72" s="345"/>
      <c r="F72" s="345"/>
      <c r="G72" s="345"/>
      <c r="H72" s="676"/>
      <c r="I72" s="558"/>
      <c r="J72" s="558"/>
      <c r="K72" s="558"/>
      <c r="L72" s="534"/>
      <c r="M72" s="534"/>
      <c r="N72" s="534"/>
      <c r="O72" s="534"/>
      <c r="P72" s="534"/>
      <c r="Q72" s="534"/>
      <c r="R72" s="534"/>
      <c r="S72" s="534"/>
      <c r="T72" s="534"/>
    </row>
    <row r="73" spans="1:20" s="345" customFormat="1">
      <c r="A73" s="532"/>
      <c r="C73" s="345" t="s">
        <v>306</v>
      </c>
      <c r="H73" s="676"/>
      <c r="I73" s="558"/>
      <c r="J73" s="558"/>
      <c r="K73" s="558"/>
      <c r="M73" s="416"/>
      <c r="N73" s="416"/>
      <c r="O73" s="416"/>
      <c r="P73" s="416"/>
      <c r="Q73" s="416"/>
      <c r="R73" s="416"/>
      <c r="S73" s="416"/>
      <c r="T73" s="416"/>
    </row>
    <row r="74" spans="1:20" s="413" customFormat="1" ht="12.75" customHeight="1">
      <c r="A74" s="532">
        <f>A70+1</f>
        <v>42</v>
      </c>
      <c r="D74" s="413" t="s">
        <v>307</v>
      </c>
      <c r="H74" s="676">
        <v>44.8</v>
      </c>
      <c r="I74" s="558">
        <v>44.9</v>
      </c>
      <c r="J74" s="558">
        <v>54.923073600000002</v>
      </c>
      <c r="K74" s="558">
        <v>49.87072938</v>
      </c>
      <c r="L74" s="567"/>
      <c r="M74" s="534"/>
      <c r="N74" s="534"/>
      <c r="O74" s="534"/>
      <c r="P74" s="534"/>
      <c r="Q74" s="534"/>
      <c r="R74" s="534"/>
      <c r="S74" s="534"/>
      <c r="T74" s="534"/>
    </row>
    <row r="75" spans="1:20" s="345" customFormat="1">
      <c r="A75" s="532">
        <f t="shared" ref="A75:A78" si="24">A74+1</f>
        <v>43</v>
      </c>
      <c r="B75" s="413"/>
      <c r="D75" s="413" t="s">
        <v>341</v>
      </c>
      <c r="E75" s="413"/>
      <c r="F75" s="413"/>
      <c r="G75" s="413"/>
      <c r="H75" s="676">
        <v>3.5</v>
      </c>
      <c r="I75" s="558">
        <v>4.8</v>
      </c>
      <c r="J75" s="558">
        <v>3.9361810300000002</v>
      </c>
      <c r="K75" s="558">
        <v>5.520688579999999</v>
      </c>
      <c r="L75" s="567"/>
      <c r="M75" s="416"/>
      <c r="N75" s="416"/>
      <c r="O75" s="416"/>
      <c r="P75" s="416"/>
      <c r="Q75" s="416"/>
      <c r="R75" s="416"/>
      <c r="S75" s="416"/>
      <c r="T75" s="416"/>
    </row>
    <row r="76" spans="1:20" s="413" customFormat="1">
      <c r="A76" s="532">
        <f t="shared" si="24"/>
        <v>44</v>
      </c>
      <c r="D76" s="550" t="s">
        <v>342</v>
      </c>
      <c r="H76" s="676">
        <v>3.5</v>
      </c>
      <c r="I76" s="558">
        <v>3.1</v>
      </c>
      <c r="J76" s="558">
        <v>2.8155128899999999</v>
      </c>
      <c r="K76" s="558">
        <v>2.65986682</v>
      </c>
      <c r="L76" s="567"/>
      <c r="M76" s="534"/>
      <c r="N76" s="534"/>
      <c r="O76" s="534"/>
      <c r="P76" s="534"/>
      <c r="Q76" s="534"/>
      <c r="R76" s="534"/>
      <c r="S76" s="534"/>
      <c r="T76" s="534"/>
    </row>
    <row r="77" spans="1:20" s="413" customFormat="1">
      <c r="A77" s="532">
        <f t="shared" si="24"/>
        <v>45</v>
      </c>
      <c r="D77" s="413" t="s">
        <v>432</v>
      </c>
      <c r="H77" s="676">
        <v>2.8</v>
      </c>
      <c r="I77" s="558">
        <v>2.9</v>
      </c>
      <c r="J77" s="558">
        <v>2.7357917399999998</v>
      </c>
      <c r="K77" s="558">
        <v>4.9372057800000002</v>
      </c>
      <c r="L77" s="567"/>
      <c r="M77" s="534"/>
      <c r="N77" s="534"/>
      <c r="O77" s="534"/>
      <c r="P77" s="534"/>
      <c r="Q77" s="534"/>
      <c r="R77" s="534"/>
      <c r="S77" s="534"/>
      <c r="T77" s="534"/>
    </row>
    <row r="78" spans="1:20" s="413" customFormat="1">
      <c r="A78" s="532">
        <f t="shared" si="24"/>
        <v>46</v>
      </c>
      <c r="D78" s="413" t="s">
        <v>346</v>
      </c>
      <c r="H78" s="676">
        <v>8.8000000000000007</v>
      </c>
      <c r="I78" s="558">
        <v>8</v>
      </c>
      <c r="J78" s="558">
        <v>8.6810430800000002</v>
      </c>
      <c r="K78" s="558">
        <v>7.03760063</v>
      </c>
      <c r="L78" s="567"/>
      <c r="M78" s="534"/>
      <c r="N78" s="534"/>
      <c r="O78" s="534"/>
      <c r="P78" s="534"/>
      <c r="Q78" s="534"/>
      <c r="R78" s="534"/>
      <c r="S78" s="534"/>
      <c r="T78" s="534"/>
    </row>
    <row r="79" spans="1:20" s="413" customFormat="1">
      <c r="A79" s="532">
        <f>A78+1</f>
        <v>47</v>
      </c>
      <c r="B79" s="345"/>
      <c r="C79" s="345"/>
      <c r="D79" s="345"/>
      <c r="E79" s="345" t="s">
        <v>320</v>
      </c>
      <c r="F79" s="345"/>
      <c r="G79" s="345"/>
      <c r="H79" s="682">
        <f>SUM(H74:H78)</f>
        <v>63.399999999999991</v>
      </c>
      <c r="I79" s="562">
        <f>SUM(I74:I78)</f>
        <v>63.699999999999996</v>
      </c>
      <c r="J79" s="562">
        <f t="shared" ref="J79" si="25">SUM(J74:J78)</f>
        <v>73.091602339999994</v>
      </c>
      <c r="K79" s="562">
        <f t="shared" ref="K79" si="26">SUM(K74:K78)</f>
        <v>70.026091189999988</v>
      </c>
      <c r="L79" s="535"/>
      <c r="M79" s="534"/>
      <c r="N79" s="534"/>
      <c r="O79" s="534"/>
      <c r="P79" s="534"/>
      <c r="Q79" s="534"/>
      <c r="R79" s="534"/>
      <c r="S79" s="534"/>
      <c r="T79" s="534"/>
    </row>
    <row r="80" spans="1:20" s="413" customFormat="1">
      <c r="A80" s="532"/>
      <c r="H80" s="676"/>
      <c r="I80" s="558"/>
      <c r="J80" s="558"/>
      <c r="K80" s="558"/>
      <c r="L80" s="534"/>
      <c r="M80" s="534"/>
      <c r="N80" s="534"/>
      <c r="O80" s="534"/>
      <c r="P80" s="534"/>
      <c r="Q80" s="534"/>
      <c r="R80" s="534"/>
      <c r="S80" s="534"/>
      <c r="T80" s="534"/>
    </row>
    <row r="81" spans="1:20" s="413" customFormat="1">
      <c r="A81" s="532"/>
      <c r="B81" s="345"/>
      <c r="C81" s="345" t="s">
        <v>308</v>
      </c>
      <c r="D81" s="345"/>
      <c r="E81" s="345"/>
      <c r="F81" s="345"/>
      <c r="G81" s="345"/>
      <c r="H81" s="676"/>
      <c r="I81" s="558"/>
      <c r="J81" s="558"/>
      <c r="K81" s="558"/>
      <c r="L81" s="534"/>
      <c r="M81" s="534"/>
      <c r="N81" s="534"/>
      <c r="O81" s="534"/>
      <c r="P81" s="534"/>
      <c r="Q81" s="534"/>
      <c r="R81" s="534"/>
      <c r="S81" s="534"/>
      <c r="T81" s="534"/>
    </row>
    <row r="82" spans="1:20" s="413" customFormat="1">
      <c r="A82" s="532">
        <f>A79+1</f>
        <v>48</v>
      </c>
      <c r="B82" s="345"/>
      <c r="C82" s="345"/>
      <c r="D82" s="413" t="s">
        <v>429</v>
      </c>
      <c r="E82" s="345"/>
      <c r="F82" s="345"/>
      <c r="G82" s="345"/>
      <c r="H82" s="676"/>
      <c r="I82" s="558"/>
      <c r="J82" s="558"/>
      <c r="K82" s="558">
        <v>0</v>
      </c>
      <c r="L82" s="534"/>
      <c r="M82" s="534"/>
      <c r="N82" s="534"/>
      <c r="O82" s="534"/>
      <c r="P82" s="534"/>
      <c r="Q82" s="534"/>
      <c r="R82" s="534"/>
      <c r="S82" s="534"/>
      <c r="T82" s="534"/>
    </row>
    <row r="83" spans="1:20" s="413" customFormat="1">
      <c r="A83" s="532">
        <f>A82+1</f>
        <v>49</v>
      </c>
      <c r="D83" s="413" t="s">
        <v>309</v>
      </c>
      <c r="H83" s="676">
        <v>3.5</v>
      </c>
      <c r="I83" s="558">
        <v>2.966075</v>
      </c>
      <c r="J83" s="558">
        <v>3.45776577</v>
      </c>
      <c r="K83" s="558">
        <v>0.49226147000000009</v>
      </c>
      <c r="L83" s="534"/>
      <c r="M83" s="534"/>
      <c r="N83" s="534"/>
      <c r="O83" s="534"/>
      <c r="P83" s="534"/>
      <c r="Q83" s="534"/>
      <c r="R83" s="534"/>
      <c r="S83" s="534"/>
      <c r="T83" s="534"/>
    </row>
    <row r="84" spans="1:20" s="413" customFormat="1">
      <c r="A84" s="532">
        <f>A83+1</f>
        <v>50</v>
      </c>
      <c r="D84" s="413" t="s">
        <v>310</v>
      </c>
      <c r="H84" s="676">
        <v>26.2</v>
      </c>
      <c r="I84" s="559">
        <v>15.923819999999999</v>
      </c>
      <c r="J84" s="558">
        <v>20.50548758</v>
      </c>
      <c r="K84" s="558">
        <v>18.52066125</v>
      </c>
      <c r="L84" s="534"/>
      <c r="M84" s="534"/>
      <c r="N84" s="534"/>
      <c r="O84" s="534"/>
      <c r="P84" s="534"/>
      <c r="Q84" s="534"/>
      <c r="R84" s="534"/>
      <c r="S84" s="534"/>
      <c r="T84" s="534"/>
    </row>
    <row r="85" spans="1:20" s="413" customFormat="1">
      <c r="A85" s="532">
        <f>A84+1</f>
        <v>51</v>
      </c>
      <c r="B85" s="345"/>
      <c r="C85" s="345"/>
      <c r="D85" s="345"/>
      <c r="E85" s="345" t="s">
        <v>321</v>
      </c>
      <c r="F85" s="345"/>
      <c r="G85" s="345"/>
      <c r="H85" s="682">
        <f>SUM(H82:H84)</f>
        <v>29.7</v>
      </c>
      <c r="I85" s="562">
        <f>SUM(I82:I84)</f>
        <v>18.889894999999999</v>
      </c>
      <c r="J85" s="562">
        <f t="shared" ref="J85" si="27">SUM(J82:J84)</f>
        <v>23.963253350000002</v>
      </c>
      <c r="K85" s="562">
        <f t="shared" ref="K85" si="28">SUM(K82:K84)</f>
        <v>19.012922719999999</v>
      </c>
      <c r="L85" s="534"/>
      <c r="M85" s="534"/>
      <c r="N85" s="534"/>
      <c r="O85" s="534"/>
      <c r="P85" s="534"/>
      <c r="Q85" s="534"/>
      <c r="R85" s="534"/>
      <c r="S85" s="534"/>
      <c r="T85" s="534"/>
    </row>
    <row r="86" spans="1:20" s="345" customFormat="1" ht="13.5" thickBot="1">
      <c r="A86" s="532">
        <f>A85+1</f>
        <v>52</v>
      </c>
      <c r="F86" s="345" t="s">
        <v>322</v>
      </c>
      <c r="H86" s="683">
        <f>SUM(H79,H85)</f>
        <v>93.1</v>
      </c>
      <c r="I86" s="563">
        <f>SUM(I79,I85)</f>
        <v>82.589894999999999</v>
      </c>
      <c r="J86" s="563">
        <f t="shared" ref="J86" si="29">SUM(J79,J85)</f>
        <v>97.054855689999997</v>
      </c>
      <c r="K86" s="563">
        <f t="shared" ref="K86" si="30">SUM(K79,K85)</f>
        <v>89.039013909999994</v>
      </c>
      <c r="M86" s="416"/>
      <c r="N86" s="416"/>
      <c r="O86" s="416"/>
      <c r="P86" s="416"/>
      <c r="Q86" s="416"/>
      <c r="R86" s="416"/>
      <c r="S86" s="416"/>
      <c r="T86" s="416"/>
    </row>
    <row r="87" spans="1:20" s="413" customFormat="1">
      <c r="A87" s="532"/>
      <c r="H87" s="676"/>
      <c r="I87" s="558"/>
      <c r="J87" s="558"/>
      <c r="K87" s="558"/>
      <c r="M87" s="534"/>
      <c r="N87" s="534"/>
      <c r="O87" s="534"/>
      <c r="P87" s="534"/>
      <c r="Q87" s="534"/>
      <c r="R87" s="534"/>
      <c r="S87" s="534"/>
      <c r="T87" s="534"/>
    </row>
    <row r="88" spans="1:20" s="413" customFormat="1" ht="13.5" thickBot="1">
      <c r="A88" s="532">
        <f>A86+1</f>
        <v>53</v>
      </c>
      <c r="B88" s="345"/>
      <c r="C88" s="345" t="s">
        <v>323</v>
      </c>
      <c r="D88" s="345"/>
      <c r="E88" s="345"/>
      <c r="F88" s="345"/>
      <c r="G88" s="345"/>
      <c r="H88" s="686">
        <f>SUM(H70,H86)</f>
        <v>114.5</v>
      </c>
      <c r="I88" s="565">
        <f>SUM(I70,I86)</f>
        <v>99.064843999999994</v>
      </c>
      <c r="J88" s="565">
        <f t="shared" ref="J88" si="31">SUM(J70,J86)</f>
        <v>112.40684272</v>
      </c>
      <c r="K88" s="565">
        <f t="shared" ref="K88" si="32">SUM(K70,K86)</f>
        <v>104.47796504999999</v>
      </c>
      <c r="M88" s="534"/>
      <c r="N88" s="534"/>
      <c r="O88" s="534"/>
      <c r="P88" s="534"/>
      <c r="Q88" s="534"/>
      <c r="R88" s="534"/>
      <c r="S88" s="534"/>
      <c r="T88" s="534"/>
    </row>
    <row r="89" spans="1:20" s="413" customFormat="1">
      <c r="A89" s="532"/>
      <c r="H89" s="679"/>
      <c r="I89" s="558"/>
      <c r="J89" s="558"/>
      <c r="K89" s="544"/>
      <c r="M89" s="534"/>
      <c r="N89" s="534"/>
      <c r="O89" s="534"/>
      <c r="P89" s="534"/>
      <c r="Q89" s="534"/>
      <c r="R89" s="534"/>
      <c r="S89" s="534"/>
      <c r="T89" s="534"/>
    </row>
    <row r="90" spans="1:20" s="416" customFormat="1" ht="13.5" thickBot="1">
      <c r="A90" s="616">
        <f>A88+1</f>
        <v>54</v>
      </c>
      <c r="C90" s="416" t="s">
        <v>311</v>
      </c>
      <c r="H90" s="687">
        <f>SUM(H33,H60,H64,H88)</f>
        <v>2357.07351834376</v>
      </c>
      <c r="I90" s="620">
        <f>SUM(I33,I60,I64,I88)</f>
        <v>2387.0425552171669</v>
      </c>
      <c r="J90" s="620">
        <f t="shared" ref="J90" si="33">SUM(J33,J60,J64,J88)</f>
        <v>2281.5604554867673</v>
      </c>
      <c r="K90" s="620">
        <f t="shared" ref="K90" si="34">SUM(K33,K60,K64,K88)</f>
        <v>2263.1065786660001</v>
      </c>
    </row>
    <row r="91" spans="1:20" s="345" customFormat="1">
      <c r="A91" s="571" t="s">
        <v>434</v>
      </c>
      <c r="H91" s="586"/>
      <c r="I91" s="586"/>
      <c r="J91" s="543"/>
      <c r="K91" s="543"/>
      <c r="M91" s="416"/>
      <c r="N91" s="416"/>
      <c r="O91" s="416"/>
      <c r="P91" s="416"/>
      <c r="Q91" s="416"/>
      <c r="R91" s="416"/>
      <c r="S91" s="416"/>
      <c r="T91" s="416"/>
    </row>
    <row r="92" spans="1:20" s="413" customFormat="1">
      <c r="H92" s="531"/>
      <c r="I92" s="531"/>
      <c r="J92" s="722"/>
      <c r="K92" s="722"/>
    </row>
    <row r="93" spans="1:20" s="413" customFormat="1">
      <c r="H93" s="588"/>
      <c r="I93" s="588"/>
      <c r="J93" s="588"/>
      <c r="K93" s="588"/>
    </row>
    <row r="94" spans="1:20">
      <c r="H94" s="720"/>
      <c r="I94" s="426"/>
    </row>
    <row r="95" spans="1:20">
      <c r="H95" s="426"/>
    </row>
    <row r="96" spans="1:20">
      <c r="H96" s="426"/>
      <c r="I96" s="537"/>
      <c r="J96" s="426"/>
    </row>
    <row r="97" spans="8:10">
      <c r="H97" s="426"/>
      <c r="I97" s="426"/>
    </row>
    <row r="98" spans="8:10">
      <c r="H98" s="426"/>
    </row>
    <row r="99" spans="8:10">
      <c r="H99" s="426"/>
      <c r="I99" s="537"/>
      <c r="J99" s="426"/>
    </row>
    <row r="100" spans="8:10">
      <c r="H100" s="426"/>
      <c r="I100" s="426"/>
    </row>
    <row r="102" spans="8:10">
      <c r="I102" s="537"/>
      <c r="J102" s="426"/>
    </row>
    <row r="103" spans="8:10">
      <c r="I103" s="426"/>
    </row>
    <row r="105" spans="8:10">
      <c r="I105" s="537"/>
      <c r="J105" s="426"/>
    </row>
    <row r="106" spans="8:10">
      <c r="I106" s="426"/>
    </row>
    <row r="109" spans="8:10">
      <c r="I109" s="426"/>
    </row>
  </sheetData>
  <mergeCells count="1">
    <mergeCell ref="J92:K92"/>
  </mergeCells>
  <phoneticPr fontId="14" type="noConversion"/>
  <printOptions horizontalCentered="1"/>
  <pageMargins left="0.25" right="0.25" top="0.75" bottom="0.75" header="0.3" footer="0.3"/>
  <pageSetup paperSize="17" scale="90"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2"/>
  <sheetViews>
    <sheetView showGridLines="0" zoomScale="115" zoomScaleNormal="115" workbookViewId="0">
      <selection activeCell="A14" sqref="A14"/>
    </sheetView>
  </sheetViews>
  <sheetFormatPr defaultColWidth="12.44140625" defaultRowHeight="13"/>
  <cols>
    <col min="1" max="1" width="10.44140625" style="169" customWidth="1"/>
    <col min="2" max="2" width="21.77734375" style="169" customWidth="1"/>
    <col min="3" max="3" width="20.44140625" style="55" customWidth="1"/>
    <col min="4" max="4" width="14.33203125" style="169" customWidth="1"/>
    <col min="5" max="5" width="11.44140625" style="169" customWidth="1"/>
    <col min="6" max="6" width="18" style="169" bestFit="1" customWidth="1"/>
    <col min="7" max="7" width="14.109375" style="169" customWidth="1"/>
    <col min="8" max="8" width="18.77734375" style="169" customWidth="1"/>
    <col min="9" max="9" width="56.44140625" style="169" customWidth="1"/>
    <col min="10" max="10" width="35.6640625" style="169" customWidth="1"/>
    <col min="11" max="11" width="14.33203125" style="169" customWidth="1"/>
    <col min="12" max="12" width="18.77734375" style="169" customWidth="1"/>
    <col min="13" max="13" width="17.109375" style="169" customWidth="1"/>
    <col min="14" max="16384" width="12.44140625" style="169"/>
  </cols>
  <sheetData>
    <row r="1" spans="1:14" s="252" customFormat="1">
      <c r="A1" s="397" t="str">
        <f>Applicant</f>
        <v>Alberta Electric System Operator</v>
      </c>
      <c r="B1" s="394"/>
      <c r="C1" s="397"/>
      <c r="D1" s="394"/>
      <c r="E1" s="394"/>
      <c r="F1" s="394"/>
      <c r="G1" s="394"/>
      <c r="H1" s="394"/>
      <c r="I1" s="394"/>
      <c r="J1" s="394"/>
      <c r="M1" s="4" t="str">
        <f ca="1">TablePrefix&amp;TRIM(MID(CELL("filename",N2),FIND("]",CELL("filename",N2))+1,4))&amp;TableSuffix</f>
        <v>Table B-2</v>
      </c>
    </row>
    <row r="2" spans="1:14" s="252" customFormat="1">
      <c r="A2" s="5" t="str">
        <f>Application</f>
        <v>2021 ISO Tariff Update Application</v>
      </c>
      <c r="B2" s="394"/>
      <c r="C2" s="5"/>
      <c r="D2" s="394"/>
      <c r="E2" s="394"/>
      <c r="F2" s="394"/>
      <c r="G2" s="394"/>
      <c r="H2" s="394"/>
      <c r="I2" s="394"/>
      <c r="J2" s="394"/>
      <c r="M2" s="4" t="str">
        <f>TableDate</f>
        <v>November 6, 2020</v>
      </c>
    </row>
    <row r="3" spans="1:14" s="252" customFormat="1">
      <c r="A3" s="394"/>
      <c r="B3" s="394"/>
      <c r="C3" s="397"/>
      <c r="D3" s="394"/>
      <c r="E3" s="394"/>
      <c r="F3" s="394"/>
      <c r="G3" s="394"/>
      <c r="H3" s="394"/>
      <c r="I3" s="394"/>
      <c r="J3" s="394"/>
      <c r="K3" s="394"/>
      <c r="L3" s="394"/>
    </row>
    <row r="4" spans="1:14" s="396" customFormat="1">
      <c r="A4" s="394"/>
      <c r="B4" s="643"/>
      <c r="C4" s="644"/>
      <c r="D4" s="347"/>
      <c r="E4" s="347"/>
      <c r="F4" s="347"/>
      <c r="G4" s="347"/>
      <c r="H4" s="411"/>
      <c r="I4" s="347"/>
      <c r="J4" s="347"/>
      <c r="K4" s="374"/>
    </row>
    <row r="5" spans="1:14" s="395" customFormat="1">
      <c r="A5" s="347" t="s">
        <v>496</v>
      </c>
      <c r="B5" s="347"/>
      <c r="C5" s="347"/>
      <c r="D5" s="347"/>
      <c r="E5" s="347"/>
      <c r="F5" s="347"/>
      <c r="G5" s="347"/>
      <c r="H5" s="347"/>
      <c r="I5" s="347"/>
      <c r="J5" s="347"/>
      <c r="K5" s="374"/>
    </row>
    <row r="6" spans="1:14" customFormat="1"/>
    <row r="7" spans="1:14">
      <c r="B7" s="506" t="s">
        <v>2</v>
      </c>
      <c r="C7" s="506" t="s">
        <v>3</v>
      </c>
      <c r="D7" s="506" t="s">
        <v>4</v>
      </c>
      <c r="E7" s="504" t="s">
        <v>5</v>
      </c>
      <c r="F7" s="504" t="s">
        <v>25</v>
      </c>
      <c r="G7" s="504" t="s">
        <v>26</v>
      </c>
      <c r="H7" s="504" t="s">
        <v>27</v>
      </c>
      <c r="I7" s="504" t="s">
        <v>50</v>
      </c>
      <c r="J7" s="169" t="s">
        <v>51</v>
      </c>
      <c r="K7" s="169" t="s">
        <v>92</v>
      </c>
      <c r="L7" s="169" t="s">
        <v>93</v>
      </c>
      <c r="M7" s="504" t="s">
        <v>333</v>
      </c>
    </row>
    <row r="8" spans="1:14">
      <c r="B8" s="506"/>
      <c r="C8" s="506"/>
      <c r="D8" s="506"/>
      <c r="E8" s="504"/>
      <c r="F8" s="504"/>
      <c r="G8" s="504"/>
      <c r="H8" s="504"/>
      <c r="J8" s="504"/>
      <c r="L8" s="504"/>
    </row>
    <row r="9" spans="1:14" s="507" customFormat="1" ht="14">
      <c r="A9" s="508"/>
      <c r="B9" s="508"/>
      <c r="C9" s="724" t="s">
        <v>417</v>
      </c>
      <c r="D9" s="724"/>
      <c r="E9" s="725"/>
      <c r="F9" s="726" t="s">
        <v>418</v>
      </c>
      <c r="G9" s="724"/>
      <c r="H9" s="725"/>
      <c r="I9" s="723" t="s">
        <v>474</v>
      </c>
      <c r="J9" s="723"/>
      <c r="K9" s="723"/>
      <c r="L9" s="723"/>
      <c r="M9" s="508"/>
      <c r="N9" s="557"/>
    </row>
    <row r="10" spans="1:14" s="505" customFormat="1" ht="39">
      <c r="A10" s="665" t="s">
        <v>481</v>
      </c>
      <c r="B10" s="509" t="s">
        <v>340</v>
      </c>
      <c r="C10" s="511" t="s">
        <v>413</v>
      </c>
      <c r="D10" s="608" t="s">
        <v>465</v>
      </c>
      <c r="E10" s="509" t="s">
        <v>347</v>
      </c>
      <c r="F10" s="511" t="s">
        <v>413</v>
      </c>
      <c r="G10" s="608" t="s">
        <v>465</v>
      </c>
      <c r="H10" s="509" t="s">
        <v>414</v>
      </c>
      <c r="I10" s="511" t="s">
        <v>415</v>
      </c>
      <c r="J10" s="604" t="s">
        <v>433</v>
      </c>
      <c r="K10" s="605" t="s">
        <v>467</v>
      </c>
      <c r="L10" s="602" t="s">
        <v>468</v>
      </c>
      <c r="M10" s="603" t="s">
        <v>466</v>
      </c>
    </row>
    <row r="11" spans="1:14" s="401" customFormat="1" ht="25" customHeight="1">
      <c r="A11" s="671">
        <v>1</v>
      </c>
      <c r="B11" s="556" t="s">
        <v>512</v>
      </c>
      <c r="C11" s="707" t="s">
        <v>513</v>
      </c>
      <c r="D11" s="708">
        <v>875.45429999999999</v>
      </c>
      <c r="E11" s="709">
        <v>2020</v>
      </c>
      <c r="F11" s="707" t="s">
        <v>514</v>
      </c>
      <c r="G11" s="708">
        <v>879.44784700000002</v>
      </c>
      <c r="H11" s="709">
        <v>25627</v>
      </c>
      <c r="I11" s="556" t="s">
        <v>515</v>
      </c>
      <c r="J11" s="556" t="s">
        <v>516</v>
      </c>
      <c r="K11" s="556" t="s">
        <v>421</v>
      </c>
      <c r="L11" s="556" t="s">
        <v>421</v>
      </c>
      <c r="M11" s="556">
        <v>879.44784700000002</v>
      </c>
    </row>
    <row r="12" spans="1:14" s="401" customFormat="1" ht="25" customHeight="1">
      <c r="A12" s="510">
        <v>2</v>
      </c>
      <c r="B12" s="555" t="s">
        <v>326</v>
      </c>
      <c r="C12" s="710" t="s">
        <v>513</v>
      </c>
      <c r="D12" s="711">
        <v>685.70842986549496</v>
      </c>
      <c r="E12" s="712">
        <v>2019</v>
      </c>
      <c r="F12" s="710" t="s">
        <v>517</v>
      </c>
      <c r="G12" s="711">
        <v>720.01875593911177</v>
      </c>
      <c r="H12" s="712">
        <v>24964</v>
      </c>
      <c r="I12" s="555" t="s">
        <v>518</v>
      </c>
      <c r="J12" s="555" t="s">
        <v>519</v>
      </c>
      <c r="K12" s="555">
        <v>34.310326073616807</v>
      </c>
      <c r="L12" s="555">
        <v>24.703434773004101</v>
      </c>
      <c r="M12" s="555">
        <v>710.41186463849908</v>
      </c>
    </row>
    <row r="13" spans="1:14" s="401" customFormat="1" ht="25" customHeight="1">
      <c r="A13" s="510">
        <v>3</v>
      </c>
      <c r="B13" s="555" t="s">
        <v>520</v>
      </c>
      <c r="C13" s="710" t="s">
        <v>513</v>
      </c>
      <c r="D13" s="711">
        <v>96.587703379999994</v>
      </c>
      <c r="E13" s="712">
        <v>2020</v>
      </c>
      <c r="F13" s="710" t="s">
        <v>517</v>
      </c>
      <c r="G13" s="711">
        <v>105.152444928973</v>
      </c>
      <c r="H13" s="712">
        <v>25945</v>
      </c>
      <c r="I13" s="555" t="s">
        <v>518</v>
      </c>
      <c r="J13" s="555" t="s">
        <v>521</v>
      </c>
      <c r="K13" s="555">
        <v>8.5647415489730037</v>
      </c>
      <c r="L13" s="555">
        <v>6.1666139152605624</v>
      </c>
      <c r="M13" s="555">
        <v>102.75431729526056</v>
      </c>
    </row>
    <row r="14" spans="1:14" s="401" customFormat="1" ht="25" customHeight="1">
      <c r="A14" s="510">
        <v>4</v>
      </c>
      <c r="B14" s="555" t="s">
        <v>522</v>
      </c>
      <c r="C14" s="710" t="s">
        <v>513</v>
      </c>
      <c r="D14" s="711">
        <v>108.4360154</v>
      </c>
      <c r="E14" s="712">
        <v>2020</v>
      </c>
      <c r="F14" s="710" t="s">
        <v>514</v>
      </c>
      <c r="G14" s="711">
        <v>110.63413676</v>
      </c>
      <c r="H14" s="712">
        <v>25664</v>
      </c>
      <c r="I14" s="555" t="s">
        <v>515</v>
      </c>
      <c r="J14" s="555" t="s">
        <v>523</v>
      </c>
      <c r="K14" s="555" t="s">
        <v>421</v>
      </c>
      <c r="L14" s="555" t="s">
        <v>421</v>
      </c>
      <c r="M14" s="555">
        <v>110.63413676</v>
      </c>
    </row>
    <row r="15" spans="1:14" s="401" customFormat="1" ht="25" customHeight="1">
      <c r="A15" s="510">
        <v>5</v>
      </c>
      <c r="B15" s="555" t="s">
        <v>280</v>
      </c>
      <c r="C15" s="710" t="s">
        <v>513</v>
      </c>
      <c r="D15" s="711">
        <v>9.1096409999999999</v>
      </c>
      <c r="E15" s="712">
        <v>2020</v>
      </c>
      <c r="F15" s="710" t="s">
        <v>514</v>
      </c>
      <c r="G15" s="711">
        <v>9.1096439999999994</v>
      </c>
      <c r="H15" s="712">
        <v>25868</v>
      </c>
      <c r="I15" s="555" t="s">
        <v>515</v>
      </c>
      <c r="J15" s="555" t="s">
        <v>524</v>
      </c>
      <c r="K15" s="555" t="s">
        <v>421</v>
      </c>
      <c r="L15" s="555" t="s">
        <v>421</v>
      </c>
      <c r="M15" s="555">
        <v>9.1096439999999994</v>
      </c>
    </row>
    <row r="16" spans="1:14" s="401" customFormat="1" ht="25" customHeight="1">
      <c r="A16" s="510">
        <v>6</v>
      </c>
      <c r="B16" s="555" t="s">
        <v>525</v>
      </c>
      <c r="C16" s="710" t="s">
        <v>513</v>
      </c>
      <c r="D16" s="711">
        <v>6.9457929900000002</v>
      </c>
      <c r="E16" s="712">
        <v>2018</v>
      </c>
      <c r="F16" s="710" t="s">
        <v>526</v>
      </c>
      <c r="G16" s="711">
        <v>6.9457929900000002</v>
      </c>
      <c r="H16" s="712">
        <v>24509</v>
      </c>
      <c r="I16" s="555" t="s">
        <v>527</v>
      </c>
      <c r="J16" s="555" t="s">
        <v>528</v>
      </c>
      <c r="K16" s="555" t="s">
        <v>421</v>
      </c>
      <c r="L16" s="555" t="s">
        <v>421</v>
      </c>
      <c r="M16" s="555">
        <v>6.9457929900000002</v>
      </c>
    </row>
    <row r="17" spans="1:13" s="401" customFormat="1" ht="25" customHeight="1">
      <c r="A17" s="510">
        <v>7</v>
      </c>
      <c r="B17" s="555" t="s">
        <v>281</v>
      </c>
      <c r="C17" s="710" t="s">
        <v>513</v>
      </c>
      <c r="D17" s="711">
        <v>5.2749959999999998</v>
      </c>
      <c r="E17" s="712">
        <v>2020</v>
      </c>
      <c r="F17" s="710" t="s">
        <v>514</v>
      </c>
      <c r="G17" s="711">
        <v>5.2749959999999998</v>
      </c>
      <c r="H17" s="712">
        <v>25862</v>
      </c>
      <c r="I17" s="555" t="s">
        <v>529</v>
      </c>
      <c r="J17" s="555" t="s">
        <v>530</v>
      </c>
      <c r="K17" s="555" t="s">
        <v>421</v>
      </c>
      <c r="L17" s="555" t="s">
        <v>421</v>
      </c>
      <c r="M17" s="555">
        <v>5.2749959999999998</v>
      </c>
    </row>
    <row r="18" spans="1:13" s="401" customFormat="1" ht="25" customHeight="1">
      <c r="A18" s="510">
        <v>8</v>
      </c>
      <c r="B18" s="555" t="s">
        <v>531</v>
      </c>
      <c r="C18" s="710" t="s">
        <v>513</v>
      </c>
      <c r="D18" s="711">
        <v>4.7710000399999997</v>
      </c>
      <c r="E18" s="712">
        <v>2019</v>
      </c>
      <c r="F18" s="710" t="s">
        <v>517</v>
      </c>
      <c r="G18" s="711">
        <v>4.9240000000000004</v>
      </c>
      <c r="H18" s="712">
        <v>25843</v>
      </c>
      <c r="I18" s="555" t="s">
        <v>518</v>
      </c>
      <c r="J18" s="555" t="s">
        <v>532</v>
      </c>
      <c r="K18" s="555">
        <v>0.10200000000000031</v>
      </c>
      <c r="L18" s="555">
        <v>7.3440000000000227E-2</v>
      </c>
      <c r="M18" s="555">
        <v>4.8444400400000003</v>
      </c>
    </row>
    <row r="19" spans="1:13" s="619" customFormat="1" ht="25" customHeight="1">
      <c r="A19" s="510">
        <v>9</v>
      </c>
      <c r="B19" s="555" t="s">
        <v>533</v>
      </c>
      <c r="C19" s="710" t="s">
        <v>421</v>
      </c>
      <c r="D19" s="711" t="s">
        <v>421</v>
      </c>
      <c r="E19" s="712" t="s">
        <v>421</v>
      </c>
      <c r="F19" s="710" t="s">
        <v>534</v>
      </c>
      <c r="G19" s="711">
        <v>107.15957199999998</v>
      </c>
      <c r="H19" s="712">
        <v>23161</v>
      </c>
      <c r="I19" s="555" t="s">
        <v>535</v>
      </c>
      <c r="J19" s="555" t="s">
        <v>536</v>
      </c>
      <c r="K19" s="555" t="s">
        <v>421</v>
      </c>
      <c r="L19" s="555" t="s">
        <v>421</v>
      </c>
      <c r="M19" s="555">
        <v>107.15957199999998</v>
      </c>
    </row>
    <row r="20" spans="1:13" ht="18.75" customHeight="1">
      <c r="A20" s="547" t="s">
        <v>416</v>
      </c>
      <c r="C20" s="169"/>
    </row>
    <row r="21" spans="1:13" ht="17.5" customHeight="1">
      <c r="A21" s="609"/>
      <c r="C21" s="169"/>
    </row>
    <row r="22" spans="1:13">
      <c r="A22" s="609"/>
      <c r="B22" s="530"/>
    </row>
  </sheetData>
  <mergeCells count="3">
    <mergeCell ref="I9:L9"/>
    <mergeCell ref="C9:E9"/>
    <mergeCell ref="F9:H9"/>
  </mergeCells>
  <phoneticPr fontId="14" type="noConversion"/>
  <printOptions horizontalCentered="1"/>
  <pageMargins left="0.25" right="0.25" top="0.75" bottom="0.75" header="0.3" footer="0.3"/>
  <pageSetup paperSize="17" scale="60"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showGridLines="0" workbookViewId="0">
      <selection activeCell="A5" sqref="A5"/>
    </sheetView>
  </sheetViews>
  <sheetFormatPr defaultRowHeight="13"/>
  <cols>
    <col min="1" max="1" width="5.77734375" customWidth="1"/>
    <col min="2" max="2" width="1.77734375" customWidth="1"/>
    <col min="3" max="3" width="2.77734375" customWidth="1"/>
    <col min="4" max="4" width="28.77734375" customWidth="1"/>
    <col min="5" max="5" width="1.77734375" customWidth="1"/>
    <col min="6" max="6" width="14.33203125" customWidth="1"/>
    <col min="7" max="7" width="1.77734375" customWidth="1"/>
    <col min="8" max="8" width="10.77734375" customWidth="1"/>
    <col min="9" max="10" width="1.77734375" customWidth="1"/>
    <col min="11" max="12" width="10.77734375" customWidth="1"/>
    <col min="13" max="14" width="1.77734375" customWidth="1"/>
    <col min="15" max="16" width="10.7773437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B-3</v>
      </c>
    </row>
    <row r="2" spans="1:18" s="3" customFormat="1">
      <c r="A2" s="5" t="str">
        <f>Application</f>
        <v>2021 ISO Tariff Update Application</v>
      </c>
      <c r="B2" s="5"/>
      <c r="C2" s="5"/>
      <c r="D2" s="5"/>
      <c r="E2" s="5"/>
      <c r="F2" s="5"/>
      <c r="G2" s="5"/>
      <c r="H2" s="5"/>
      <c r="I2" s="5"/>
      <c r="J2" s="5"/>
      <c r="K2" s="5"/>
      <c r="L2" s="5"/>
      <c r="M2" s="5"/>
      <c r="P2" s="4" t="str">
        <f>TableDate</f>
        <v>November 6, 2020</v>
      </c>
    </row>
    <row r="4" spans="1:18">
      <c r="A4" s="347" t="str">
        <f>TableGroup1</f>
        <v>Appendix B — 2021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52" customFormat="1">
      <c r="F7" s="506" t="s">
        <v>2</v>
      </c>
      <c r="G7" s="506"/>
      <c r="H7" s="504" t="s">
        <v>3</v>
      </c>
      <c r="K7" s="504" t="s">
        <v>4</v>
      </c>
      <c r="L7" s="504" t="s">
        <v>5</v>
      </c>
      <c r="O7" s="504" t="s">
        <v>25</v>
      </c>
      <c r="P7" s="504" t="s">
        <v>26</v>
      </c>
    </row>
    <row r="9" spans="1:18" s="44" customFormat="1">
      <c r="F9" s="62"/>
      <c r="H9" s="62"/>
      <c r="J9" s="98"/>
      <c r="K9" s="45" t="s">
        <v>21</v>
      </c>
      <c r="L9" s="45"/>
      <c r="M9" s="94"/>
      <c r="N9" s="98"/>
      <c r="O9" s="45" t="s">
        <v>30</v>
      </c>
      <c r="P9" s="45"/>
    </row>
    <row r="10" spans="1:18" s="47" customFormat="1" ht="26">
      <c r="A10" s="46"/>
      <c r="C10" s="48" t="s">
        <v>1</v>
      </c>
      <c r="D10" s="48"/>
      <c r="F10" s="439" t="s">
        <v>482</v>
      </c>
      <c r="G10" s="505"/>
      <c r="H10" s="46" t="s">
        <v>20</v>
      </c>
      <c r="J10" s="99"/>
      <c r="K10" s="46" t="s">
        <v>22</v>
      </c>
      <c r="L10" s="49" t="s">
        <v>23</v>
      </c>
      <c r="M10" s="95"/>
      <c r="N10" s="99"/>
      <c r="O10" s="46" t="s">
        <v>22</v>
      </c>
      <c r="P10" s="49" t="s">
        <v>23</v>
      </c>
    </row>
    <row r="11" spans="1:18" s="24" customFormat="1" ht="19" customHeight="1">
      <c r="A11" s="7">
        <v>1</v>
      </c>
      <c r="C11" s="25" t="s">
        <v>6</v>
      </c>
      <c r="D11" s="25"/>
      <c r="E11" s="25"/>
      <c r="F11" s="124"/>
      <c r="G11" s="25"/>
      <c r="H11" s="124"/>
      <c r="I11" s="25"/>
      <c r="J11" s="103"/>
      <c r="K11" s="125"/>
      <c r="L11" s="124"/>
      <c r="M11" s="124"/>
      <c r="N11" s="103"/>
      <c r="O11" s="125"/>
      <c r="P11" s="124"/>
    </row>
    <row r="12" spans="1:18">
      <c r="A12" s="7">
        <f t="shared" ref="A12:A34" si="0">A11+1</f>
        <v>2</v>
      </c>
      <c r="C12" t="s">
        <v>95</v>
      </c>
      <c r="F12" s="700">
        <v>0.51692657133398034</v>
      </c>
      <c r="H12" s="633">
        <f>$F12*$H$15</f>
        <v>1002.7721666590249</v>
      </c>
      <c r="J12" s="101"/>
      <c r="K12" s="38">
        <v>1</v>
      </c>
      <c r="L12" s="39">
        <f>H12*K12</f>
        <v>1002.7721666590249</v>
      </c>
      <c r="M12" s="37"/>
      <c r="N12" s="101"/>
      <c r="O12" s="38">
        <f>1-K12</f>
        <v>0</v>
      </c>
      <c r="P12" s="129">
        <f>H12*O12</f>
        <v>0</v>
      </c>
      <c r="Q12" s="486"/>
      <c r="R12" s="566"/>
    </row>
    <row r="13" spans="1:18">
      <c r="A13" s="7">
        <f t="shared" si="0"/>
        <v>3</v>
      </c>
      <c r="C13" t="s">
        <v>372</v>
      </c>
      <c r="F13" s="700">
        <v>0.24584169603111261</v>
      </c>
      <c r="H13" s="625">
        <f t="shared" ref="H13:H14" si="1">$F13*$H$15</f>
        <v>476.90179583547155</v>
      </c>
      <c r="J13" s="101"/>
      <c r="K13" s="38">
        <v>1</v>
      </c>
      <c r="L13" s="80">
        <f>H13*K13</f>
        <v>476.90179583547155</v>
      </c>
      <c r="M13" s="41"/>
      <c r="N13" s="101"/>
      <c r="O13" s="38"/>
      <c r="P13" s="80">
        <f>H13*O13</f>
        <v>0</v>
      </c>
      <c r="Q13" s="486"/>
      <c r="R13" s="566"/>
    </row>
    <row r="14" spans="1:18">
      <c r="A14" s="7">
        <f t="shared" si="0"/>
        <v>4</v>
      </c>
      <c r="C14" t="s">
        <v>96</v>
      </c>
      <c r="F14" s="700">
        <v>0.23723173263490704</v>
      </c>
      <c r="H14" s="625">
        <f t="shared" si="1"/>
        <v>460.19955584926328</v>
      </c>
      <c r="J14" s="101"/>
      <c r="K14" s="38">
        <v>1</v>
      </c>
      <c r="L14" s="41">
        <f>H14*K14</f>
        <v>460.19955584926328</v>
      </c>
      <c r="M14" s="41"/>
      <c r="N14" s="101"/>
      <c r="O14" s="38">
        <f>1-K14</f>
        <v>0</v>
      </c>
      <c r="P14" s="80">
        <f>H14*O14</f>
        <v>0</v>
      </c>
      <c r="Q14" s="486"/>
      <c r="R14" s="566"/>
    </row>
    <row r="15" spans="1:18" s="9" customFormat="1">
      <c r="A15" s="8">
        <f t="shared" si="0"/>
        <v>5</v>
      </c>
      <c r="C15" s="12" t="s">
        <v>97</v>
      </c>
      <c r="D15" s="12"/>
      <c r="E15" s="12"/>
      <c r="F15" s="70">
        <f>SUM(F12:F14)</f>
        <v>1</v>
      </c>
      <c r="G15" s="12"/>
      <c r="H15" s="16">
        <f>'B-1 Rev Req'!H33</f>
        <v>1939.8735183437598</v>
      </c>
      <c r="I15" s="12"/>
      <c r="J15" s="102"/>
      <c r="K15" s="14">
        <f>L15/H15</f>
        <v>1</v>
      </c>
      <c r="L15" s="16">
        <f>SUM(L12:L14)</f>
        <v>1939.8735183437598</v>
      </c>
      <c r="M15" s="96"/>
      <c r="N15" s="102"/>
      <c r="O15" s="14">
        <f>P15/H15</f>
        <v>0</v>
      </c>
      <c r="P15" s="31">
        <f>SUM(P7:P14)</f>
        <v>0</v>
      </c>
    </row>
    <row r="16" spans="1:18" ht="19" customHeight="1">
      <c r="A16" s="7">
        <f t="shared" si="0"/>
        <v>6</v>
      </c>
      <c r="C16" s="2" t="s">
        <v>11</v>
      </c>
      <c r="D16" s="2"/>
      <c r="F16" s="428"/>
      <c r="H16" s="428"/>
      <c r="J16" s="101"/>
      <c r="K16" s="38"/>
      <c r="L16" s="37"/>
      <c r="M16" s="37"/>
      <c r="N16" s="101"/>
      <c r="O16" s="38"/>
      <c r="P16" s="37"/>
    </row>
    <row r="17" spans="1:18">
      <c r="A17" s="7">
        <f t="shared" si="0"/>
        <v>7</v>
      </c>
      <c r="C17" t="s">
        <v>12</v>
      </c>
      <c r="F17" s="135"/>
      <c r="H17" s="39">
        <f>'B-1 Rev Req'!H48</f>
        <v>159.89999999999998</v>
      </c>
      <c r="J17" s="101"/>
      <c r="K17" s="38">
        <v>1</v>
      </c>
      <c r="L17" s="37">
        <f>H17*K17</f>
        <v>159.89999999999998</v>
      </c>
      <c r="M17" s="37"/>
      <c r="N17" s="101"/>
      <c r="O17" s="38">
        <f>1-K17</f>
        <v>0</v>
      </c>
      <c r="P17" s="39">
        <f>H17*O17</f>
        <v>0</v>
      </c>
    </row>
    <row r="18" spans="1:18">
      <c r="A18" s="7">
        <f t="shared" si="0"/>
        <v>8</v>
      </c>
      <c r="C18" t="s">
        <v>13</v>
      </c>
      <c r="F18" s="429"/>
      <c r="H18" s="429"/>
      <c r="J18" s="101"/>
      <c r="K18" s="38"/>
      <c r="L18" s="41"/>
      <c r="M18" s="41"/>
      <c r="N18" s="101"/>
      <c r="O18" s="38"/>
      <c r="P18" s="37"/>
    </row>
    <row r="19" spans="1:18">
      <c r="A19" s="7">
        <f t="shared" si="0"/>
        <v>9</v>
      </c>
      <c r="D19" s="550" t="s">
        <v>14</v>
      </c>
      <c r="F19" s="497"/>
      <c r="H19" s="497">
        <f>'B-1 Rev Req'!H51</f>
        <v>2.4</v>
      </c>
      <c r="J19" s="101"/>
      <c r="K19" s="38">
        <v>1</v>
      </c>
      <c r="L19" s="41">
        <f t="shared" ref="L19:L26" si="2">H19*K19</f>
        <v>2.4</v>
      </c>
      <c r="M19" s="41"/>
      <c r="N19" s="101"/>
      <c r="O19" s="38">
        <f t="shared" ref="O19:O25" si="3">1-K19</f>
        <v>0</v>
      </c>
      <c r="P19" s="80">
        <f>H19*O19</f>
        <v>0</v>
      </c>
    </row>
    <row r="20" spans="1:18">
      <c r="A20" s="7">
        <f t="shared" si="0"/>
        <v>10</v>
      </c>
      <c r="D20" s="550" t="s">
        <v>15</v>
      </c>
      <c r="F20" s="497"/>
      <c r="H20" s="497">
        <f>'B-1 Rev Req'!H52</f>
        <v>0.4</v>
      </c>
      <c r="J20" s="101"/>
      <c r="K20" s="38">
        <v>1</v>
      </c>
      <c r="L20" s="41">
        <f t="shared" si="2"/>
        <v>0.4</v>
      </c>
      <c r="M20" s="41"/>
      <c r="N20" s="101"/>
      <c r="O20" s="38">
        <f t="shared" si="3"/>
        <v>0</v>
      </c>
      <c r="P20" s="80">
        <f>H20*O20</f>
        <v>0</v>
      </c>
    </row>
    <row r="21" spans="1:18">
      <c r="A21" s="7">
        <f t="shared" si="0"/>
        <v>11</v>
      </c>
      <c r="D21" s="550" t="s">
        <v>469</v>
      </c>
      <c r="F21" s="429"/>
      <c r="H21" s="429">
        <f>'B-1 Rev Req'!H53</f>
        <v>32.6</v>
      </c>
      <c r="J21" s="101"/>
      <c r="K21" s="38">
        <v>1</v>
      </c>
      <c r="L21" s="41">
        <f t="shared" si="2"/>
        <v>32.6</v>
      </c>
      <c r="M21" s="41"/>
      <c r="N21" s="101"/>
      <c r="O21" s="38">
        <f t="shared" si="3"/>
        <v>0</v>
      </c>
      <c r="P21" s="80">
        <f>H21*O21</f>
        <v>0</v>
      </c>
    </row>
    <row r="22" spans="1:18">
      <c r="A22" s="7">
        <f t="shared" si="0"/>
        <v>12</v>
      </c>
      <c r="D22" s="550" t="s">
        <v>426</v>
      </c>
      <c r="F22" s="497"/>
      <c r="H22" s="497">
        <f>'B-1 Rev Req'!H54</f>
        <v>2.9</v>
      </c>
      <c r="J22" s="101"/>
      <c r="K22" s="38">
        <v>1</v>
      </c>
      <c r="L22" s="41">
        <f t="shared" si="2"/>
        <v>2.9</v>
      </c>
      <c r="M22" s="41"/>
      <c r="N22" s="101"/>
      <c r="O22" s="38">
        <f t="shared" si="3"/>
        <v>0</v>
      </c>
      <c r="P22" s="80">
        <f>H22*O22</f>
        <v>0</v>
      </c>
    </row>
    <row r="23" spans="1:18">
      <c r="A23" s="7">
        <f t="shared" si="0"/>
        <v>13</v>
      </c>
      <c r="D23" s="550" t="s">
        <v>430</v>
      </c>
      <c r="F23" s="498"/>
      <c r="H23" s="498">
        <f>'B-1 Rev Req'!H55</f>
        <v>0.1</v>
      </c>
      <c r="J23" s="101"/>
      <c r="K23" s="38">
        <v>1</v>
      </c>
      <c r="L23" s="41">
        <f t="shared" si="2"/>
        <v>0.1</v>
      </c>
      <c r="M23" s="41"/>
      <c r="N23" s="101"/>
      <c r="O23" s="38">
        <f t="shared" si="3"/>
        <v>0</v>
      </c>
      <c r="P23" s="80">
        <f>H23*O23</f>
        <v>0</v>
      </c>
    </row>
    <row r="24" spans="1:18">
      <c r="A24" s="7">
        <f t="shared" si="0"/>
        <v>14</v>
      </c>
      <c r="D24" s="550" t="s">
        <v>17</v>
      </c>
      <c r="F24" s="499"/>
      <c r="H24" s="499">
        <f>'B-1 Rev Req'!H56</f>
        <v>0</v>
      </c>
      <c r="J24" s="101"/>
      <c r="K24" s="38">
        <v>1</v>
      </c>
      <c r="L24" s="41">
        <f t="shared" si="2"/>
        <v>0</v>
      </c>
      <c r="M24" s="41"/>
      <c r="N24" s="101"/>
      <c r="O24" s="38">
        <f t="shared" si="3"/>
        <v>0</v>
      </c>
      <c r="P24" s="80"/>
    </row>
    <row r="25" spans="1:18">
      <c r="A25" s="7">
        <f t="shared" si="0"/>
        <v>15</v>
      </c>
      <c r="D25" s="550" t="s">
        <v>297</v>
      </c>
      <c r="F25" s="499"/>
      <c r="H25" s="499">
        <f>'B-1 Rev Req'!H57</f>
        <v>0</v>
      </c>
      <c r="J25" s="101"/>
      <c r="K25" s="38">
        <v>1</v>
      </c>
      <c r="L25" s="41">
        <f t="shared" si="2"/>
        <v>0</v>
      </c>
      <c r="M25" s="41"/>
      <c r="N25" s="101"/>
      <c r="O25" s="38">
        <f t="shared" si="3"/>
        <v>0</v>
      </c>
      <c r="P25" s="80"/>
    </row>
    <row r="26" spans="1:18">
      <c r="A26" s="7">
        <f t="shared" si="0"/>
        <v>16</v>
      </c>
      <c r="D26" s="550" t="s">
        <v>470</v>
      </c>
      <c r="F26" s="499"/>
      <c r="H26" s="499">
        <f>'B-1 Rev Req'!H58</f>
        <v>0</v>
      </c>
      <c r="J26" s="101"/>
      <c r="K26" s="38">
        <v>1</v>
      </c>
      <c r="L26" s="41">
        <f t="shared" si="2"/>
        <v>0</v>
      </c>
      <c r="M26" s="41"/>
      <c r="N26" s="101"/>
      <c r="O26" s="38"/>
      <c r="P26" s="80"/>
    </row>
    <row r="27" spans="1:18" s="9" customFormat="1">
      <c r="A27" s="7">
        <f t="shared" si="0"/>
        <v>17</v>
      </c>
      <c r="C27" s="12" t="s">
        <v>81</v>
      </c>
      <c r="D27" s="12"/>
      <c r="E27" s="12"/>
      <c r="F27" s="96"/>
      <c r="G27" s="12"/>
      <c r="H27" s="16">
        <f>SUM(H17:H26)</f>
        <v>198.29999999999998</v>
      </c>
      <c r="I27" s="12"/>
      <c r="J27" s="102"/>
      <c r="K27" s="14">
        <f>L27/H27</f>
        <v>1</v>
      </c>
      <c r="L27" s="16">
        <f>SUM(L17:L26)</f>
        <v>198.29999999999998</v>
      </c>
      <c r="M27" s="96"/>
      <c r="N27" s="102"/>
      <c r="O27" s="14">
        <f>P27/H27</f>
        <v>0</v>
      </c>
      <c r="P27" s="31">
        <f>SUM(P17:P23)</f>
        <v>0</v>
      </c>
    </row>
    <row r="28" spans="1:18" s="10" customFormat="1" ht="25.5" customHeight="1">
      <c r="A28" s="7">
        <f t="shared" si="0"/>
        <v>18</v>
      </c>
      <c r="C28" s="11" t="s">
        <v>9</v>
      </c>
      <c r="D28" s="11"/>
      <c r="E28" s="11"/>
      <c r="F28" s="631"/>
      <c r="G28" s="11"/>
      <c r="H28" s="15">
        <f>'B-1 Rev Req'!H64</f>
        <v>104.4</v>
      </c>
      <c r="I28" s="11"/>
      <c r="J28" s="100"/>
      <c r="K28" s="13">
        <v>0</v>
      </c>
      <c r="L28" s="15">
        <f>H28*K28</f>
        <v>0</v>
      </c>
      <c r="M28" s="15"/>
      <c r="N28" s="100"/>
      <c r="O28" s="13">
        <f>1-K28</f>
        <v>1</v>
      </c>
      <c r="P28" s="15">
        <f>H28*O28</f>
        <v>104.4</v>
      </c>
    </row>
    <row r="29" spans="1:18" s="9" customFormat="1" ht="19" customHeight="1">
      <c r="A29" s="7">
        <f t="shared" si="0"/>
        <v>19</v>
      </c>
      <c r="C29" s="12" t="s">
        <v>8</v>
      </c>
      <c r="D29" s="12"/>
      <c r="E29" s="12"/>
      <c r="F29" s="580"/>
      <c r="G29" s="12"/>
      <c r="H29" s="580">
        <f>SUM('B-1 Rev Req'!H67:H69)</f>
        <v>21.4</v>
      </c>
      <c r="I29" s="12"/>
      <c r="J29" s="102"/>
      <c r="K29" s="258">
        <v>1</v>
      </c>
      <c r="L29" s="257">
        <f>H29*K29</f>
        <v>21.4</v>
      </c>
      <c r="M29" s="257"/>
      <c r="N29" s="102"/>
      <c r="O29" s="258">
        <f>1-K29</f>
        <v>0</v>
      </c>
      <c r="P29" s="259">
        <f>H29*O29</f>
        <v>0</v>
      </c>
    </row>
    <row r="30" spans="1:18" s="9" customFormat="1" ht="19" customHeight="1">
      <c r="A30" s="7">
        <f t="shared" si="0"/>
        <v>20</v>
      </c>
      <c r="C30" s="12" t="s">
        <v>7</v>
      </c>
      <c r="D30" s="12"/>
      <c r="E30" s="12"/>
      <c r="F30" s="632"/>
      <c r="G30" s="12"/>
      <c r="H30" s="581">
        <f>'B-1 Rev Req'!$H$86</f>
        <v>93.1</v>
      </c>
      <c r="I30" s="12"/>
      <c r="J30" s="102"/>
      <c r="K30" s="258">
        <v>1</v>
      </c>
      <c r="L30" s="257">
        <f>H30*K30</f>
        <v>93.1</v>
      </c>
      <c r="M30" s="257"/>
      <c r="N30" s="102"/>
      <c r="O30" s="258">
        <f>1-K30</f>
        <v>0</v>
      </c>
      <c r="P30" s="259">
        <f>H30*O30</f>
        <v>0</v>
      </c>
    </row>
    <row r="31" spans="1:18" s="24" customFormat="1" ht="19" customHeight="1">
      <c r="A31" s="7">
        <f t="shared" si="0"/>
        <v>21</v>
      </c>
      <c r="C31" s="25" t="s">
        <v>10</v>
      </c>
      <c r="D31" s="25"/>
      <c r="E31" s="25"/>
      <c r="F31" s="97"/>
      <c r="G31" s="25"/>
      <c r="H31" s="26">
        <f>SUM(H15,H27:H30)</f>
        <v>2357.07351834376</v>
      </c>
      <c r="I31" s="25"/>
      <c r="J31" s="103"/>
      <c r="K31" s="27">
        <f>L31/H31</f>
        <v>0.95570778798899803</v>
      </c>
      <c r="L31" s="26">
        <f>SUM(L15,L27:L30)</f>
        <v>2252.67351834376</v>
      </c>
      <c r="M31" s="97"/>
      <c r="N31" s="103"/>
      <c r="O31" s="27">
        <f>P31/H31</f>
        <v>4.4292212011001905E-2</v>
      </c>
      <c r="P31" s="26">
        <f>SUM(P15,P27:P30)</f>
        <v>104.4</v>
      </c>
      <c r="R31" s="582"/>
    </row>
    <row r="32" spans="1:18">
      <c r="A32" s="7">
        <f t="shared" si="0"/>
        <v>22</v>
      </c>
      <c r="B32" s="22"/>
      <c r="C32" s="22" t="s">
        <v>34</v>
      </c>
      <c r="D32" s="22"/>
      <c r="J32" s="101"/>
      <c r="L32" s="40">
        <f>'B-4 Offsets'!I41</f>
        <v>36.256632004357314</v>
      </c>
      <c r="M32" s="40"/>
      <c r="N32" s="101"/>
      <c r="P32" s="40">
        <f>'B-4 Offsets'!L41</f>
        <v>-10.700420376766946</v>
      </c>
    </row>
    <row r="33" spans="1:16">
      <c r="A33" s="7">
        <f t="shared" si="0"/>
        <v>23</v>
      </c>
      <c r="B33" s="22"/>
      <c r="C33" s="22" t="s">
        <v>42</v>
      </c>
      <c r="D33" s="22"/>
      <c r="J33" s="101"/>
      <c r="L33">
        <v>0</v>
      </c>
      <c r="N33" s="101"/>
      <c r="P33" s="40">
        <f>-'B-4 Offsets'!F26</f>
        <v>0</v>
      </c>
    </row>
    <row r="34" spans="1:16" s="9" customFormat="1" ht="12.75" customHeight="1">
      <c r="A34" s="7">
        <f t="shared" si="0"/>
        <v>24</v>
      </c>
      <c r="C34" s="12" t="s">
        <v>44</v>
      </c>
      <c r="D34" s="12"/>
      <c r="J34" s="104"/>
      <c r="L34" s="29">
        <f>SUM(L31:L33)</f>
        <v>2288.9301503481174</v>
      </c>
      <c r="M34" s="96"/>
      <c r="N34" s="104"/>
      <c r="P34" s="29">
        <f>SUM(P31:P33)</f>
        <v>93.699579623233063</v>
      </c>
    </row>
    <row r="35" spans="1:16" s="9" customFormat="1" ht="12.75" customHeight="1">
      <c r="A35" s="8"/>
      <c r="C35" s="12"/>
      <c r="D35" s="12"/>
      <c r="J35" s="105"/>
      <c r="L35" s="96"/>
      <c r="M35" s="96"/>
      <c r="N35" s="105"/>
      <c r="P35" s="96"/>
    </row>
    <row r="36" spans="1:16">
      <c r="A36" t="s">
        <v>52</v>
      </c>
      <c r="C36" t="s">
        <v>483</v>
      </c>
    </row>
    <row r="37" spans="1:16">
      <c r="C37" t="s">
        <v>484</v>
      </c>
    </row>
    <row r="41" spans="1:16">
      <c r="J41">
        <v>103.23537399999999</v>
      </c>
    </row>
  </sheetData>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zoomScale="115" zoomScaleNormal="115" workbookViewId="0"/>
  </sheetViews>
  <sheetFormatPr defaultRowHeight="13"/>
  <cols>
    <col min="1" max="1" width="5.77734375" customWidth="1"/>
    <col min="2" max="2" width="1.77734375" customWidth="1"/>
    <col min="3" max="3" width="2.77734375" customWidth="1"/>
    <col min="4" max="4" width="28.77734375" customWidth="1"/>
    <col min="5" max="5" width="2" customWidth="1"/>
    <col min="6" max="6" width="9.109375" bestFit="1" customWidth="1"/>
    <col min="7" max="7" width="2.109375" customWidth="1"/>
    <col min="8" max="9" width="9.109375" bestFit="1" customWidth="1"/>
    <col min="10" max="10" width="3.109375" customWidth="1"/>
    <col min="11" max="12" width="9.109375" bestFit="1" customWidth="1"/>
    <col min="13" max="13" width="3" style="235" customWidth="1"/>
    <col min="14" max="14" width="11.109375" bestFit="1" customWidth="1"/>
    <col min="15" max="15" width="12.77734375" bestFit="1" customWidth="1"/>
    <col min="16" max="16" width="3" style="235" customWidth="1"/>
    <col min="17" max="17" width="10.109375" bestFit="1" customWidth="1"/>
    <col min="18" max="18" width="9.44140625" bestFit="1" customWidth="1"/>
  </cols>
  <sheetData>
    <row r="1" spans="1:23" s="3" customFormat="1">
      <c r="A1" s="5" t="str">
        <f>Applicant</f>
        <v>Alberta Electric System Operator</v>
      </c>
      <c r="B1" s="5"/>
      <c r="C1" s="5"/>
      <c r="D1" s="5"/>
      <c r="E1" s="5"/>
      <c r="F1" s="5"/>
      <c r="G1" s="5"/>
      <c r="H1" s="5"/>
      <c r="I1" s="5"/>
      <c r="J1" s="5"/>
      <c r="M1" s="211"/>
      <c r="O1" s="4" t="str">
        <f ca="1">TablePrefix&amp;TRIM(MID(CELL("filename",A1),FIND("]",CELL("filename",A1))+1,4))&amp;TableSuffix</f>
        <v>Table B-4</v>
      </c>
      <c r="P1" s="211"/>
    </row>
    <row r="2" spans="1:23" s="3" customFormat="1">
      <c r="A2" s="5" t="str">
        <f>Application</f>
        <v>2021 ISO Tariff Update Application</v>
      </c>
      <c r="B2" s="5"/>
      <c r="C2" s="5"/>
      <c r="D2" s="5"/>
      <c r="E2" s="5"/>
      <c r="F2" s="5"/>
      <c r="G2" s="5"/>
      <c r="H2" s="5"/>
      <c r="I2" s="5"/>
      <c r="J2" s="5"/>
      <c r="M2" s="211"/>
      <c r="O2" s="4" t="str">
        <f>TableDate</f>
        <v>November 6, 2020</v>
      </c>
      <c r="P2" s="211"/>
    </row>
    <row r="3" spans="1:23">
      <c r="L3" s="406"/>
    </row>
    <row r="4" spans="1:23">
      <c r="A4" s="347" t="str">
        <f>TableGroup1</f>
        <v>Appendix B — 2021 Rate Calculations</v>
      </c>
      <c r="B4" s="6"/>
      <c r="C4" s="6"/>
      <c r="D4" s="6"/>
      <c r="E4" s="6"/>
      <c r="F4" s="6"/>
      <c r="G4" s="6"/>
      <c r="H4" s="6"/>
      <c r="I4" s="6"/>
      <c r="J4" s="6"/>
      <c r="K4" s="6"/>
      <c r="L4" s="6"/>
    </row>
    <row r="5" spans="1:23">
      <c r="A5" s="6" t="s">
        <v>34</v>
      </c>
      <c r="B5" s="6"/>
      <c r="C5" s="6"/>
      <c r="D5" s="6"/>
      <c r="E5" s="6"/>
      <c r="F5" s="6"/>
      <c r="G5" s="6"/>
      <c r="H5" s="6"/>
      <c r="I5" s="6"/>
      <c r="J5" s="6"/>
      <c r="K5" s="6"/>
      <c r="L5" s="6"/>
      <c r="Q5" s="175"/>
      <c r="R5" s="175"/>
      <c r="S5" s="175"/>
      <c r="T5" s="175"/>
      <c r="U5" s="175"/>
      <c r="V5" s="175"/>
      <c r="W5" s="175"/>
    </row>
    <row r="6" spans="1:23" ht="13" customHeight="1">
      <c r="I6" s="91"/>
      <c r="Q6" s="728"/>
      <c r="R6" s="728"/>
      <c r="S6" s="175"/>
      <c r="T6" s="175"/>
      <c r="U6" s="175"/>
      <c r="V6" s="175"/>
      <c r="W6" s="175"/>
    </row>
    <row r="7" spans="1:23" s="252" customFormat="1">
      <c r="F7" s="504" t="s">
        <v>2</v>
      </c>
      <c r="H7" s="504" t="s">
        <v>3</v>
      </c>
      <c r="I7" s="504" t="s">
        <v>4</v>
      </c>
      <c r="K7" s="504" t="s">
        <v>5</v>
      </c>
      <c r="L7" s="504" t="s">
        <v>25</v>
      </c>
      <c r="M7" s="391"/>
      <c r="N7" s="504" t="s">
        <v>26</v>
      </c>
      <c r="O7" s="504" t="s">
        <v>27</v>
      </c>
      <c r="P7" s="391"/>
      <c r="Q7" s="728"/>
      <c r="R7" s="728"/>
      <c r="S7" s="645"/>
      <c r="T7" s="645"/>
      <c r="U7" s="645"/>
      <c r="V7" s="645"/>
      <c r="W7" s="645"/>
    </row>
    <row r="8" spans="1:23">
      <c r="Q8" s="728"/>
      <c r="R8" s="728"/>
      <c r="S8" s="175"/>
      <c r="T8" s="175"/>
      <c r="U8" s="175"/>
      <c r="V8" s="175"/>
      <c r="W8" s="175"/>
    </row>
    <row r="9" spans="1:23" s="44" customFormat="1">
      <c r="F9" s="62"/>
      <c r="H9" s="45" t="s">
        <v>21</v>
      </c>
      <c r="I9" s="45"/>
      <c r="J9" s="130"/>
      <c r="K9" s="45" t="s">
        <v>30</v>
      </c>
      <c r="L9" s="45"/>
      <c r="M9" s="130"/>
      <c r="N9" s="727" t="s">
        <v>419</v>
      </c>
      <c r="O9" s="727"/>
      <c r="P9" s="130"/>
      <c r="Q9" s="591" t="s">
        <v>319</v>
      </c>
      <c r="R9" s="592" t="s">
        <v>462</v>
      </c>
    </row>
    <row r="10" spans="1:23" s="47" customFormat="1" ht="29.5" customHeight="1">
      <c r="A10" s="46"/>
      <c r="C10" s="48" t="s">
        <v>1</v>
      </c>
      <c r="D10" s="48"/>
      <c r="F10" s="46" t="s">
        <v>20</v>
      </c>
      <c r="H10" s="46" t="s">
        <v>22</v>
      </c>
      <c r="I10" s="462" t="s">
        <v>23</v>
      </c>
      <c r="J10" s="152"/>
      <c r="K10" s="46" t="s">
        <v>22</v>
      </c>
      <c r="L10" s="49" t="s">
        <v>23</v>
      </c>
      <c r="M10" s="152"/>
      <c r="N10" s="523" t="s">
        <v>407</v>
      </c>
      <c r="O10" s="522" t="s">
        <v>109</v>
      </c>
      <c r="P10" s="152"/>
      <c r="Q10" s="590" t="s">
        <v>463</v>
      </c>
      <c r="R10" s="593" t="s">
        <v>464</v>
      </c>
    </row>
    <row r="11" spans="1:23" ht="19" customHeight="1">
      <c r="A11" s="7">
        <v>1</v>
      </c>
      <c r="C11" s="2" t="s">
        <v>36</v>
      </c>
      <c r="D11" s="2"/>
      <c r="F11" s="37"/>
      <c r="H11" s="38"/>
      <c r="I11" s="428"/>
      <c r="J11" s="235"/>
      <c r="K11" s="38"/>
      <c r="L11" s="37"/>
      <c r="N11" s="524"/>
      <c r="O11" s="515"/>
      <c r="Q11" s="594"/>
    </row>
    <row r="12" spans="1:23">
      <c r="A12" s="7">
        <f>A11+1</f>
        <v>2</v>
      </c>
      <c r="C12" t="s">
        <v>45</v>
      </c>
      <c r="F12" s="625">
        <v>-0.64027615999999998</v>
      </c>
      <c r="G12" s="175"/>
      <c r="H12" s="38">
        <v>1</v>
      </c>
      <c r="I12" s="135">
        <f>F12</f>
        <v>-0.64027615999999998</v>
      </c>
      <c r="J12" s="235"/>
      <c r="K12" s="38"/>
      <c r="L12" s="39"/>
      <c r="N12" s="646">
        <v>1600.6904</v>
      </c>
      <c r="O12" s="634">
        <v>400</v>
      </c>
      <c r="Q12" s="595">
        <f>-N12*O12/1000000</f>
        <v>-0.64027615999999998</v>
      </c>
      <c r="R12" s="372">
        <f>Q12-F12</f>
        <v>0</v>
      </c>
    </row>
    <row r="13" spans="1:23">
      <c r="A13" s="7">
        <f>A12+1</f>
        <v>3</v>
      </c>
      <c r="C13" t="s">
        <v>37</v>
      </c>
      <c r="F13" s="626"/>
      <c r="G13" s="175"/>
      <c r="H13" s="38"/>
      <c r="I13" s="135">
        <f t="shared" ref="I13:I28" si="0">F13</f>
        <v>0</v>
      </c>
      <c r="J13" s="235"/>
      <c r="K13" s="38"/>
      <c r="L13" s="42"/>
      <c r="N13" s="647"/>
      <c r="O13" s="515"/>
      <c r="Q13" s="595"/>
      <c r="R13" s="372"/>
    </row>
    <row r="14" spans="1:23">
      <c r="A14" s="7"/>
      <c r="D14" s="514" t="s">
        <v>109</v>
      </c>
      <c r="F14" s="626">
        <v>-1.6776654268462268E-2</v>
      </c>
      <c r="G14" s="175"/>
      <c r="H14" s="38">
        <v>1</v>
      </c>
      <c r="I14" s="135">
        <f t="shared" si="0"/>
        <v>-1.6776654268462268E-2</v>
      </c>
      <c r="J14" s="235"/>
      <c r="K14" s="38"/>
      <c r="L14" s="42"/>
      <c r="N14" s="648">
        <v>3066.7805660000004</v>
      </c>
      <c r="O14" s="518">
        <f>'B-11 Other Rates'!L26</f>
        <v>5.4704449527486236</v>
      </c>
      <c r="Q14" s="595">
        <f>-N14*O14/1000000</f>
        <v>-1.6776654268462268E-2</v>
      </c>
      <c r="R14" s="372">
        <f>Q14-F14</f>
        <v>0</v>
      </c>
    </row>
    <row r="15" spans="1:23">
      <c r="A15" s="7"/>
      <c r="D15" s="514" t="s">
        <v>425</v>
      </c>
      <c r="F15" s="626">
        <v>-2E-3</v>
      </c>
      <c r="G15" s="175"/>
      <c r="H15" s="38">
        <v>1</v>
      </c>
      <c r="I15" s="135">
        <f t="shared" si="0"/>
        <v>-2E-3</v>
      </c>
      <c r="J15" s="235"/>
      <c r="K15" s="38"/>
      <c r="L15" s="42"/>
      <c r="N15" s="648">
        <v>4</v>
      </c>
      <c r="O15" s="634">
        <v>500</v>
      </c>
      <c r="Q15" s="595">
        <f>-N15*O15/1000000</f>
        <v>-2E-3</v>
      </c>
      <c r="R15" s="372">
        <f>Q15-F15</f>
        <v>0</v>
      </c>
    </row>
    <row r="16" spans="1:23">
      <c r="A16" s="7">
        <f>A13+1</f>
        <v>4</v>
      </c>
      <c r="C16" t="s">
        <v>349</v>
      </c>
      <c r="F16" s="625"/>
      <c r="G16" s="175"/>
      <c r="H16" s="38"/>
      <c r="I16" s="135">
        <f t="shared" si="0"/>
        <v>0</v>
      </c>
      <c r="J16" s="235"/>
      <c r="K16" s="38"/>
      <c r="L16" s="41"/>
      <c r="N16" s="621"/>
      <c r="O16" s="515"/>
      <c r="Q16" s="595"/>
      <c r="R16" s="372"/>
    </row>
    <row r="17" spans="1:22">
      <c r="A17" s="7"/>
      <c r="D17" s="514" t="s">
        <v>109</v>
      </c>
      <c r="F17" s="625">
        <v>-1.0661433563828895</v>
      </c>
      <c r="G17" s="175"/>
      <c r="H17" s="38">
        <v>1</v>
      </c>
      <c r="I17" s="135">
        <f t="shared" si="0"/>
        <v>-1.0661433563828895</v>
      </c>
      <c r="J17" s="235"/>
      <c r="K17" s="38"/>
      <c r="L17" s="41"/>
      <c r="N17" s="646">
        <v>129453.932696025</v>
      </c>
      <c r="O17" s="518">
        <f>'B-11 Other Rates'!L34</f>
        <v>8.2356969323314058</v>
      </c>
      <c r="Q17" s="595">
        <f>-N17*O17/1000000</f>
        <v>-1.0661433563828895</v>
      </c>
      <c r="R17" s="372">
        <f>Q17-F17</f>
        <v>0</v>
      </c>
    </row>
    <row r="18" spans="1:22">
      <c r="A18" s="7"/>
      <c r="D18" s="514" t="s">
        <v>425</v>
      </c>
      <c r="F18" s="625">
        <v>-3.5000000000000003E-2</v>
      </c>
      <c r="G18" s="175"/>
      <c r="H18" s="38">
        <v>1</v>
      </c>
      <c r="I18" s="135">
        <f t="shared" si="0"/>
        <v>-3.5000000000000003E-2</v>
      </c>
      <c r="J18" s="235"/>
      <c r="K18" s="38"/>
      <c r="L18" s="41"/>
      <c r="N18" s="635">
        <v>70</v>
      </c>
      <c r="O18" s="634">
        <v>500</v>
      </c>
      <c r="Q18" s="595">
        <f>-N18*O18/1000000</f>
        <v>-3.5000000000000003E-2</v>
      </c>
      <c r="R18" s="372">
        <f>Q18-F18</f>
        <v>0</v>
      </c>
    </row>
    <row r="19" spans="1:22">
      <c r="A19" s="7">
        <f>A16+1</f>
        <v>5</v>
      </c>
      <c r="C19" t="s">
        <v>83</v>
      </c>
      <c r="F19" s="627">
        <v>2.8665546100000001</v>
      </c>
      <c r="G19" s="175"/>
      <c r="H19" s="38">
        <v>1</v>
      </c>
      <c r="I19" s="135">
        <f t="shared" si="0"/>
        <v>2.8665546100000001</v>
      </c>
      <c r="J19" s="235"/>
      <c r="K19" s="38"/>
      <c r="L19" s="41"/>
      <c r="N19" s="621" t="s">
        <v>421</v>
      </c>
      <c r="O19" s="622" t="s">
        <v>421</v>
      </c>
      <c r="Q19" s="595">
        <v>2.8665546100000001</v>
      </c>
      <c r="R19" s="372">
        <f>Q19-F19</f>
        <v>0</v>
      </c>
      <c r="T19" s="175"/>
    </row>
    <row r="20" spans="1:22">
      <c r="A20" s="7">
        <f>A19+1</f>
        <v>6</v>
      </c>
      <c r="C20" t="s">
        <v>84</v>
      </c>
      <c r="F20" s="628"/>
      <c r="G20" s="175"/>
      <c r="H20" s="38"/>
      <c r="I20" s="135">
        <f t="shared" si="0"/>
        <v>0</v>
      </c>
      <c r="J20" s="235"/>
      <c r="K20" s="38"/>
      <c r="L20" s="41"/>
      <c r="N20" s="621"/>
      <c r="O20" s="515"/>
      <c r="Q20" s="595"/>
      <c r="R20" s="372"/>
    </row>
    <row r="21" spans="1:22">
      <c r="A21" s="7"/>
      <c r="D21" s="512" t="s">
        <v>408</v>
      </c>
      <c r="F21" s="628">
        <v>2.6422222988199997</v>
      </c>
      <c r="G21" s="175"/>
      <c r="H21" s="38">
        <v>1</v>
      </c>
      <c r="I21" s="135">
        <f t="shared" si="0"/>
        <v>2.6422222988199997</v>
      </c>
      <c r="J21" s="235"/>
      <c r="K21" s="38"/>
      <c r="L21" s="41"/>
      <c r="N21" s="646">
        <v>226.33392999999998</v>
      </c>
      <c r="O21" s="589">
        <f>'B-8 DTS Rate'!V19</f>
        <v>11674</v>
      </c>
      <c r="Q21" s="595">
        <f>N21*O21/1000000</f>
        <v>2.6422222988199997</v>
      </c>
      <c r="R21" s="372">
        <f t="shared" ref="R21:R28" si="1">Q21-F21</f>
        <v>0</v>
      </c>
    </row>
    <row r="22" spans="1:22">
      <c r="A22" s="7"/>
      <c r="D22" s="513" t="s">
        <v>409</v>
      </c>
      <c r="F22" s="628">
        <v>6.1069573197728717</v>
      </c>
      <c r="G22" s="175"/>
      <c r="H22" s="38">
        <v>1</v>
      </c>
      <c r="I22" s="135">
        <f t="shared" si="0"/>
        <v>6.1069573197728717</v>
      </c>
      <c r="J22" s="235"/>
      <c r="K22" s="38"/>
      <c r="L22" s="41"/>
      <c r="N22" s="646">
        <v>1589.5255907789881</v>
      </c>
      <c r="O22" s="589">
        <f>'B-8 DTS Rate'!V20</f>
        <v>3842</v>
      </c>
      <c r="Q22" s="595">
        <f>N22*O22/1000000</f>
        <v>6.1069573197728717</v>
      </c>
      <c r="R22" s="372">
        <f t="shared" si="1"/>
        <v>0</v>
      </c>
    </row>
    <row r="23" spans="1:22">
      <c r="A23" s="7"/>
      <c r="D23" s="512" t="s">
        <v>410</v>
      </c>
      <c r="F23" s="628">
        <v>3.769864431656369</v>
      </c>
      <c r="G23" s="175"/>
      <c r="H23" s="38">
        <v>1</v>
      </c>
      <c r="I23" s="135">
        <f t="shared" si="0"/>
        <v>3.769864431656369</v>
      </c>
      <c r="J23" s="235"/>
      <c r="K23" s="38"/>
      <c r="L23" s="41"/>
      <c r="N23" s="646">
        <v>1654.9009796560003</v>
      </c>
      <c r="O23" s="589">
        <f>'B-8 DTS Rate'!V21</f>
        <v>2278</v>
      </c>
      <c r="Q23" s="595">
        <f>N23*O23/1000000</f>
        <v>3.769864431656369</v>
      </c>
      <c r="R23" s="372">
        <f t="shared" si="1"/>
        <v>0</v>
      </c>
    </row>
    <row r="24" spans="1:22">
      <c r="A24" s="7"/>
      <c r="D24" s="512" t="s">
        <v>411</v>
      </c>
      <c r="F24" s="628">
        <v>4.6909104552215135</v>
      </c>
      <c r="G24" s="175"/>
      <c r="H24" s="38">
        <v>1</v>
      </c>
      <c r="I24" s="135">
        <f t="shared" si="0"/>
        <v>4.6909104552215135</v>
      </c>
      <c r="J24" s="235"/>
      <c r="K24" s="38"/>
      <c r="L24" s="41"/>
      <c r="N24" s="646">
        <v>3076.0068558829598</v>
      </c>
      <c r="O24" s="589">
        <f>'B-8 DTS Rate'!V22</f>
        <v>1525</v>
      </c>
      <c r="Q24" s="595">
        <f>N24*O24/1000000</f>
        <v>4.6909104552215135</v>
      </c>
      <c r="R24" s="372">
        <f t="shared" si="1"/>
        <v>0</v>
      </c>
    </row>
    <row r="25" spans="1:22">
      <c r="A25" s="7"/>
      <c r="D25" s="512" t="s">
        <v>412</v>
      </c>
      <c r="F25" s="628">
        <v>20.409085095561561</v>
      </c>
      <c r="G25" s="175"/>
      <c r="H25" s="38">
        <v>1</v>
      </c>
      <c r="I25" s="135">
        <f t="shared" si="0"/>
        <v>20.409085095561561</v>
      </c>
      <c r="J25" s="235"/>
      <c r="K25" s="38"/>
      <c r="L25" s="41"/>
      <c r="N25" s="646">
        <v>17164.915976082051</v>
      </c>
      <c r="O25" s="589">
        <f>'B-8 DTS Rate'!V23</f>
        <v>1189</v>
      </c>
      <c r="Q25" s="595">
        <f>N25*O25/1000000</f>
        <v>20.409085095561561</v>
      </c>
      <c r="R25" s="372">
        <f t="shared" si="1"/>
        <v>0</v>
      </c>
    </row>
    <row r="26" spans="1:22">
      <c r="A26" s="7">
        <f>A20+1</f>
        <v>7</v>
      </c>
      <c r="C26" t="s">
        <v>54</v>
      </c>
      <c r="F26" s="625">
        <v>0</v>
      </c>
      <c r="G26" s="175"/>
      <c r="H26" s="38">
        <v>1</v>
      </c>
      <c r="I26" s="135">
        <f t="shared" si="0"/>
        <v>0</v>
      </c>
      <c r="J26" s="235"/>
      <c r="K26" s="38"/>
      <c r="L26" s="41"/>
      <c r="N26" s="646">
        <v>0</v>
      </c>
      <c r="O26" s="634">
        <v>0</v>
      </c>
      <c r="P26" s="701"/>
      <c r="Q26" s="702">
        <v>0</v>
      </c>
      <c r="R26" s="372">
        <f t="shared" si="1"/>
        <v>0</v>
      </c>
      <c r="T26" s="175"/>
      <c r="U26" s="175"/>
      <c r="V26" s="175"/>
    </row>
    <row r="27" spans="1:22">
      <c r="A27" s="7">
        <f t="shared" ref="A27:A32" si="2">A26+1</f>
        <v>8</v>
      </c>
      <c r="C27" t="s">
        <v>160</v>
      </c>
      <c r="F27" s="625">
        <v>-1.944408036023656</v>
      </c>
      <c r="G27" s="175"/>
      <c r="H27" s="38">
        <v>1</v>
      </c>
      <c r="I27" s="135">
        <f t="shared" si="0"/>
        <v>-1.944408036023656</v>
      </c>
      <c r="J27" s="235"/>
      <c r="K27" s="38"/>
      <c r="L27" s="41"/>
      <c r="N27" s="689" t="s">
        <v>421</v>
      </c>
      <c r="O27" s="622" t="s">
        <v>421</v>
      </c>
      <c r="Q27" s="595">
        <f>-'B-14 FTS Rate'!Q25/1000</f>
        <v>-1.944408036023656</v>
      </c>
      <c r="R27" s="372">
        <f t="shared" si="1"/>
        <v>0</v>
      </c>
    </row>
    <row r="28" spans="1:22">
      <c r="A28" s="7">
        <f t="shared" si="2"/>
        <v>9</v>
      </c>
      <c r="C28" t="s">
        <v>38</v>
      </c>
      <c r="F28" s="625">
        <v>-0.52435799999999999</v>
      </c>
      <c r="G28" s="175"/>
      <c r="H28" s="38">
        <v>1</v>
      </c>
      <c r="I28" s="135">
        <f t="shared" si="0"/>
        <v>-0.52435799999999999</v>
      </c>
      <c r="J28" s="235"/>
      <c r="K28" s="38"/>
      <c r="L28" s="41"/>
      <c r="N28" s="621" t="s">
        <v>421</v>
      </c>
      <c r="O28" s="623" t="s">
        <v>421</v>
      </c>
      <c r="Q28" s="595">
        <f>-(318654+4745*12+1737*12+10660*12)/1000000</f>
        <v>-0.52435799999999999</v>
      </c>
      <c r="R28" s="596">
        <f t="shared" si="1"/>
        <v>0</v>
      </c>
    </row>
    <row r="29" spans="1:22" s="9" customFormat="1" ht="19" customHeight="1">
      <c r="A29" s="8">
        <f t="shared" si="2"/>
        <v>10</v>
      </c>
      <c r="C29" s="12" t="s">
        <v>35</v>
      </c>
      <c r="D29" s="12"/>
      <c r="E29" s="12"/>
      <c r="F29" s="528">
        <f>SUM(F12:F28)</f>
        <v>36.256632004357314</v>
      </c>
      <c r="G29" s="12"/>
      <c r="H29" s="14">
        <v>1</v>
      </c>
      <c r="I29" s="528">
        <f>SUM(I12:I28)</f>
        <v>36.256632004357314</v>
      </c>
      <c r="J29" s="527"/>
      <c r="K29" s="14">
        <f>L29/F29</f>
        <v>0</v>
      </c>
      <c r="L29" s="16">
        <f>SUM(L12:L28)</f>
        <v>0</v>
      </c>
      <c r="M29" s="105"/>
      <c r="N29" s="519"/>
      <c r="O29" s="516"/>
      <c r="P29" s="105"/>
      <c r="Q29" s="597">
        <f>SUM(Q12:Q28)</f>
        <v>36.256632004357314</v>
      </c>
      <c r="R29" s="372"/>
    </row>
    <row r="30" spans="1:22" ht="19" customHeight="1">
      <c r="A30" s="7">
        <f t="shared" si="2"/>
        <v>11</v>
      </c>
      <c r="C30" s="2" t="s">
        <v>39</v>
      </c>
      <c r="D30" s="2"/>
      <c r="F30" s="83"/>
      <c r="H30" s="38"/>
      <c r="I30" s="428"/>
      <c r="J30" s="235"/>
      <c r="K30" s="38"/>
      <c r="L30" s="37"/>
      <c r="N30" s="517"/>
      <c r="O30" s="516"/>
      <c r="Q30" s="598"/>
      <c r="R30" s="372"/>
    </row>
    <row r="31" spans="1:22">
      <c r="A31" s="7">
        <f t="shared" si="2"/>
        <v>12</v>
      </c>
      <c r="C31" t="s">
        <v>41</v>
      </c>
      <c r="F31" s="625">
        <v>-5.1436749012482184E-3</v>
      </c>
      <c r="H31" s="38"/>
      <c r="I31" s="135"/>
      <c r="J31" s="235"/>
      <c r="K31" s="38">
        <f>1-H31</f>
        <v>1</v>
      </c>
      <c r="L31" s="39">
        <f>F31*K31</f>
        <v>-5.1436749012482184E-3</v>
      </c>
      <c r="N31" s="646">
        <v>3066.7805660000004</v>
      </c>
      <c r="O31" s="649">
        <v>3.1099999999999999E-2</v>
      </c>
      <c r="Q31" s="595">
        <f>-N31*O31*'B-12 Determinants'!$J$20/1000000</f>
        <v>-5.1436749012482184E-3</v>
      </c>
      <c r="R31" s="372">
        <f>Q31-F31</f>
        <v>0</v>
      </c>
    </row>
    <row r="32" spans="1:22">
      <c r="A32" s="7">
        <f t="shared" si="2"/>
        <v>13</v>
      </c>
      <c r="C32" t="s">
        <v>348</v>
      </c>
      <c r="F32" s="626"/>
      <c r="H32" s="38"/>
      <c r="I32" s="135"/>
      <c r="J32" s="235"/>
      <c r="K32" s="38"/>
      <c r="L32" s="39"/>
      <c r="N32" s="650"/>
      <c r="O32" s="651"/>
      <c r="Q32" s="598"/>
      <c r="R32" s="372"/>
    </row>
    <row r="33" spans="1:18">
      <c r="A33" s="7"/>
      <c r="D33" s="514" t="s">
        <v>422</v>
      </c>
      <c r="F33" s="626">
        <v>-7.9704275485250012E-2</v>
      </c>
      <c r="H33" s="38"/>
      <c r="I33" s="135"/>
      <c r="J33" s="235"/>
      <c r="K33" s="38">
        <f>1-H33</f>
        <v>1</v>
      </c>
      <c r="L33" s="39">
        <f>F33*K33</f>
        <v>-7.9704275485250012E-2</v>
      </c>
      <c r="N33" s="646">
        <v>66874.25</v>
      </c>
      <c r="O33" s="652">
        <v>2.2100000000000002E-2</v>
      </c>
      <c r="Q33" s="598">
        <f>-N33*O33*'B-12 Determinants'!$J$20/1000000</f>
        <v>-7.9704275485250012E-2</v>
      </c>
      <c r="R33" s="372">
        <f>Q33-F33</f>
        <v>0</v>
      </c>
    </row>
    <row r="34" spans="1:18">
      <c r="A34" s="7"/>
      <c r="D34" s="514" t="s">
        <v>424</v>
      </c>
      <c r="F34" s="626">
        <v>-4.6738625951499996E-2</v>
      </c>
      <c r="H34" s="38"/>
      <c r="I34" s="135"/>
      <c r="J34" s="235"/>
      <c r="K34" s="38">
        <f>1-H34</f>
        <v>1</v>
      </c>
      <c r="L34" s="39">
        <f>F34*K34</f>
        <v>-4.6738625951499996E-2</v>
      </c>
      <c r="N34" s="646">
        <v>39754.75</v>
      </c>
      <c r="O34" s="652">
        <v>2.18E-2</v>
      </c>
      <c r="Q34" s="598">
        <f>-N34*O34*'B-12 Determinants'!$J$20/1000000</f>
        <v>-4.6738625951499996E-2</v>
      </c>
      <c r="R34" s="372">
        <f>Q34-F34</f>
        <v>0</v>
      </c>
    </row>
    <row r="35" spans="1:18">
      <c r="A35" s="7">
        <f>A32+1</f>
        <v>14</v>
      </c>
      <c r="C35" t="s">
        <v>85</v>
      </c>
      <c r="F35" s="625"/>
      <c r="H35" s="38"/>
      <c r="I35" s="135"/>
      <c r="J35" s="235"/>
      <c r="K35" s="38"/>
      <c r="L35" s="39"/>
      <c r="N35" s="653"/>
      <c r="O35" s="586"/>
      <c r="Q35" s="598"/>
      <c r="R35" s="372"/>
    </row>
    <row r="36" spans="1:18">
      <c r="A36" s="7"/>
      <c r="D36" s="514" t="s">
        <v>422</v>
      </c>
      <c r="F36" s="625">
        <v>-6.4619471232299999</v>
      </c>
      <c r="H36" s="38"/>
      <c r="I36" s="135"/>
      <c r="J36" s="235"/>
      <c r="K36" s="38">
        <f>1-H36</f>
        <v>1</v>
      </c>
      <c r="L36" s="39">
        <f>F36*K36</f>
        <v>-6.4619471232299999</v>
      </c>
      <c r="N36" s="646">
        <v>2308690</v>
      </c>
      <c r="O36" s="652">
        <v>5.1900000000000002E-2</v>
      </c>
      <c r="Q36" s="598">
        <f>-N36*O36*'B-12 Determinants'!$J$20/1000000</f>
        <v>-6.4619471232299999</v>
      </c>
      <c r="R36" s="372">
        <f>Q36-F36</f>
        <v>0</v>
      </c>
    </row>
    <row r="37" spans="1:18">
      <c r="A37" s="7"/>
      <c r="D37" s="514" t="s">
        <v>423</v>
      </c>
      <c r="F37" s="625">
        <v>-2.9166323129669478</v>
      </c>
      <c r="H37" s="38"/>
      <c r="I37" s="135"/>
      <c r="J37" s="235"/>
      <c r="K37" s="38">
        <f>1-H37</f>
        <v>1</v>
      </c>
      <c r="L37" s="39">
        <f>F37*K37</f>
        <v>-2.9166323129669478</v>
      </c>
      <c r="N37" s="646">
        <v>1136172.5957266998</v>
      </c>
      <c r="O37" s="652">
        <v>4.7600000000000003E-2</v>
      </c>
      <c r="Q37" s="598">
        <f>-N37*O37*'B-12 Determinants'!$J$20/1000000</f>
        <v>-2.9166323129669478</v>
      </c>
      <c r="R37" s="372">
        <f>Q37-F37</f>
        <v>0</v>
      </c>
    </row>
    <row r="38" spans="1:18">
      <c r="A38" s="7"/>
      <c r="D38" s="514" t="s">
        <v>424</v>
      </c>
      <c r="F38" s="625">
        <v>-1.1257543642320003</v>
      </c>
      <c r="H38" s="38"/>
      <c r="I38" s="135"/>
      <c r="J38" s="235"/>
      <c r="K38" s="38">
        <f>1-H38</f>
        <v>1</v>
      </c>
      <c r="L38" s="39">
        <f>F38*K38</f>
        <v>-1.1257543642320003</v>
      </c>
      <c r="N38" s="646">
        <v>406116</v>
      </c>
      <c r="O38" s="652">
        <v>5.1400000000000001E-2</v>
      </c>
      <c r="Q38" s="599">
        <f>-N38*O38*'B-12 Determinants'!$J$20/1000000</f>
        <v>-1.1257543642320003</v>
      </c>
      <c r="R38" s="400">
        <f>Q38-F38</f>
        <v>0</v>
      </c>
    </row>
    <row r="39" spans="1:18">
      <c r="A39" s="7"/>
      <c r="D39" s="514" t="s">
        <v>420</v>
      </c>
      <c r="F39" s="625">
        <v>-6.4500000000000002E-2</v>
      </c>
      <c r="H39" s="38"/>
      <c r="I39" s="135"/>
      <c r="J39" s="235"/>
      <c r="K39" s="38">
        <v>1</v>
      </c>
      <c r="L39" s="39">
        <f>F39*K39</f>
        <v>-6.4500000000000002E-2</v>
      </c>
      <c r="N39" s="654">
        <v>129</v>
      </c>
      <c r="O39" s="655">
        <v>500</v>
      </c>
      <c r="Q39" s="624">
        <f>-N39*O39/10^6</f>
        <v>-6.4500000000000002E-2</v>
      </c>
      <c r="R39" s="596">
        <f>Q39-F39</f>
        <v>0</v>
      </c>
    </row>
    <row r="40" spans="1:18" s="9" customFormat="1" ht="19" customHeight="1">
      <c r="A40" s="8">
        <f>A35+1</f>
        <v>15</v>
      </c>
      <c r="C40" s="12" t="s">
        <v>40</v>
      </c>
      <c r="D40" s="12"/>
      <c r="E40" s="12"/>
      <c r="F40" s="31">
        <f>SUM(F31:F39)</f>
        <v>-10.700420376766946</v>
      </c>
      <c r="G40" s="12"/>
      <c r="H40" s="569">
        <v>0</v>
      </c>
      <c r="I40" s="568">
        <v>0</v>
      </c>
      <c r="J40" s="527"/>
      <c r="K40" s="14">
        <v>1</v>
      </c>
      <c r="L40" s="583">
        <f>F40*K40</f>
        <v>-10.700420376766946</v>
      </c>
      <c r="M40" s="105"/>
      <c r="N40" s="521"/>
      <c r="O40" s="520"/>
      <c r="P40" s="105"/>
      <c r="Q40" s="600">
        <f>SUM(Q31:Q39)</f>
        <v>-10.700420376766946</v>
      </c>
      <c r="R40" s="372"/>
    </row>
    <row r="41" spans="1:18" s="24" customFormat="1" ht="19.399999999999999" customHeight="1">
      <c r="A41" s="7">
        <f>A40+1</f>
        <v>16</v>
      </c>
      <c r="C41" s="25" t="s">
        <v>43</v>
      </c>
      <c r="D41" s="25"/>
      <c r="E41" s="25"/>
      <c r="F41" s="376">
        <f>F29+F40</f>
        <v>25.556211627590368</v>
      </c>
      <c r="G41" s="25"/>
      <c r="H41" s="27">
        <f>I41/F41</f>
        <v>1.4187013526376822</v>
      </c>
      <c r="I41" s="529">
        <f>SUM(I29,I40)</f>
        <v>36.256632004357314</v>
      </c>
      <c r="J41" s="502"/>
      <c r="K41" s="27">
        <f>L41/F41</f>
        <v>-0.4187013526376821</v>
      </c>
      <c r="L41" s="376">
        <f>SUM(L29,L40)</f>
        <v>-10.700420376766946</v>
      </c>
      <c r="M41" s="525"/>
      <c r="N41" s="516"/>
      <c r="O41" s="516"/>
      <c r="P41" s="525"/>
      <c r="Q41" s="598"/>
      <c r="R41" s="372"/>
    </row>
    <row r="42" spans="1:18" s="24" customFormat="1" ht="19.399999999999999" customHeight="1">
      <c r="A42" s="7"/>
      <c r="C42" s="25"/>
      <c r="D42" s="25"/>
      <c r="E42" s="25"/>
      <c r="F42" s="501"/>
      <c r="G42" s="25"/>
      <c r="H42" s="502"/>
      <c r="I42" s="503"/>
      <c r="J42" s="25"/>
      <c r="K42" s="502"/>
      <c r="L42" s="501"/>
      <c r="M42" s="526"/>
      <c r="P42" s="526"/>
      <c r="Q42" s="443"/>
    </row>
  </sheetData>
  <mergeCells count="2">
    <mergeCell ref="N9:O9"/>
    <mergeCell ref="Q6:R8"/>
  </mergeCells>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7"/>
  <sheetViews>
    <sheetView showGridLines="0" zoomScaleNormal="100" workbookViewId="0">
      <selection activeCell="A5" sqref="A5"/>
    </sheetView>
  </sheetViews>
  <sheetFormatPr defaultColWidth="9" defaultRowHeight="13"/>
  <cols>
    <col min="1" max="1" width="4.77734375" style="431" customWidth="1"/>
    <col min="2" max="2" width="1" style="431" customWidth="1"/>
    <col min="3" max="3" width="2.77734375" style="431" customWidth="1"/>
    <col min="4" max="4" width="28.77734375" style="431" customWidth="1"/>
    <col min="5" max="5" width="1" style="431" customWidth="1"/>
    <col min="6" max="6" width="10.109375" style="431" customWidth="1"/>
    <col min="7" max="8" width="1" style="431" customWidth="1"/>
    <col min="9" max="9" width="9.33203125" style="431" customWidth="1"/>
    <col min="10" max="10" width="10.33203125" style="431" customWidth="1"/>
    <col min="11" max="12" width="1" style="431" customWidth="1"/>
    <col min="13" max="14" width="9.33203125" style="431" customWidth="1"/>
    <col min="15" max="16" width="1" style="431" customWidth="1"/>
    <col min="17" max="18" width="9.33203125" style="431" customWidth="1"/>
    <col min="19" max="20" width="1" style="431" customWidth="1"/>
    <col min="21" max="22" width="9.33203125" style="431" customWidth="1"/>
    <col min="23" max="24" width="1" style="431" customWidth="1"/>
    <col min="25" max="26" width="9.33203125" style="431" customWidth="1"/>
    <col min="27" max="16384" width="9" style="431"/>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32" t="str">
        <f ca="1">TablePrefix&amp;TRIM(MID(CELL("filename",AB2),FIND("]",CELL("filename",AB2))+1,4))&amp;TableSuffix</f>
        <v>Table B-5</v>
      </c>
    </row>
    <row r="2" spans="1:29">
      <c r="A2" s="5" t="str">
        <f>Application</f>
        <v>2021 ISO Tariff Update Application</v>
      </c>
      <c r="B2" s="5"/>
      <c r="C2" s="5"/>
      <c r="D2" s="5"/>
      <c r="E2" s="5"/>
      <c r="F2" s="5"/>
      <c r="G2" s="5"/>
      <c r="H2" s="5"/>
      <c r="I2" s="5"/>
      <c r="J2" s="5"/>
      <c r="K2" s="5"/>
      <c r="L2" s="5"/>
      <c r="M2" s="5"/>
      <c r="N2" s="5"/>
      <c r="O2" s="5"/>
      <c r="P2" s="5"/>
      <c r="Q2" s="5"/>
      <c r="R2" s="5"/>
      <c r="S2" s="5"/>
      <c r="T2" s="5"/>
      <c r="U2" s="5"/>
      <c r="V2" s="5"/>
      <c r="W2" s="2"/>
      <c r="Z2" s="432" t="str">
        <f>TableDate</f>
        <v>November 6, 2020</v>
      </c>
    </row>
    <row r="3" spans="1:29">
      <c r="A3" s="168"/>
      <c r="B3" s="168"/>
      <c r="C3" s="168"/>
      <c r="D3" s="168"/>
      <c r="E3" s="168"/>
      <c r="F3" s="168"/>
      <c r="G3" s="168"/>
      <c r="H3" s="168"/>
      <c r="I3" s="168"/>
      <c r="J3" s="168"/>
      <c r="K3" s="168"/>
      <c r="L3" s="168"/>
      <c r="M3" s="168"/>
      <c r="N3" s="168"/>
      <c r="O3" s="168"/>
      <c r="P3" s="168"/>
      <c r="Q3" s="168"/>
      <c r="R3" s="168"/>
      <c r="S3" s="168"/>
      <c r="T3" s="168"/>
      <c r="U3" s="168"/>
      <c r="V3" s="168"/>
      <c r="Z3" s="2"/>
    </row>
    <row r="4" spans="1:29" s="168" customFormat="1">
      <c r="A4" s="347" t="str">
        <f>TableGroup1</f>
        <v>Appendix B — 2021 Rate Calculations</v>
      </c>
      <c r="B4" s="6"/>
      <c r="C4" s="6"/>
      <c r="D4" s="6"/>
      <c r="E4" s="6"/>
      <c r="F4" s="6"/>
      <c r="G4" s="6"/>
      <c r="H4" s="6"/>
      <c r="I4" s="6"/>
      <c r="J4" s="6"/>
      <c r="K4" s="6"/>
      <c r="L4" s="6"/>
      <c r="M4" s="6"/>
      <c r="N4" s="6"/>
      <c r="O4" s="6"/>
      <c r="P4" s="6"/>
      <c r="Q4" s="6"/>
      <c r="R4" s="6"/>
      <c r="S4" s="6"/>
      <c r="T4" s="6"/>
      <c r="U4" s="6"/>
      <c r="V4" s="6"/>
      <c r="W4" s="6"/>
      <c r="X4" s="6"/>
      <c r="Y4" s="6"/>
      <c r="Z4" s="6"/>
    </row>
    <row r="5" spans="1:29" s="168" customFormat="1">
      <c r="A5" s="6" t="s">
        <v>350</v>
      </c>
      <c r="B5" s="6"/>
      <c r="C5" s="6"/>
      <c r="D5" s="6"/>
      <c r="E5" s="6"/>
      <c r="F5" s="6"/>
      <c r="G5" s="6"/>
      <c r="H5" s="6"/>
      <c r="I5" s="6"/>
      <c r="J5" s="6"/>
      <c r="K5" s="6"/>
      <c r="L5" s="6"/>
      <c r="M5" s="6"/>
      <c r="N5" s="6"/>
      <c r="O5" s="6"/>
      <c r="P5" s="6"/>
      <c r="Q5" s="6"/>
      <c r="R5" s="6"/>
      <c r="S5" s="6"/>
      <c r="T5" s="6"/>
      <c r="U5" s="6"/>
      <c r="V5" s="6"/>
      <c r="W5" s="6"/>
      <c r="X5" s="6"/>
      <c r="Y5" s="6"/>
      <c r="Z5" s="6"/>
    </row>
    <row r="6" spans="1:29">
      <c r="I6" s="433"/>
    </row>
    <row r="7" spans="1:29" s="434" customFormat="1">
      <c r="F7" s="434" t="s">
        <v>2</v>
      </c>
      <c r="I7" s="434" t="s">
        <v>3</v>
      </c>
      <c r="J7" s="434" t="s">
        <v>4</v>
      </c>
      <c r="M7" s="434" t="s">
        <v>5</v>
      </c>
      <c r="N7" s="434" t="s">
        <v>25</v>
      </c>
      <c r="Q7" s="434" t="s">
        <v>26</v>
      </c>
      <c r="R7" s="434" t="s">
        <v>27</v>
      </c>
      <c r="U7" s="434" t="s">
        <v>50</v>
      </c>
      <c r="V7" s="434" t="s">
        <v>51</v>
      </c>
      <c r="Y7" s="434" t="s">
        <v>92</v>
      </c>
      <c r="Z7" s="434" t="s">
        <v>93</v>
      </c>
    </row>
    <row r="9" spans="1:29" s="435" customFormat="1">
      <c r="F9" s="421" t="s">
        <v>32</v>
      </c>
      <c r="H9" s="205"/>
      <c r="I9" s="45" t="s">
        <v>485</v>
      </c>
      <c r="J9" s="45"/>
      <c r="K9" s="45"/>
      <c r="L9" s="45"/>
      <c r="M9" s="45"/>
      <c r="N9" s="45"/>
      <c r="O9" s="45"/>
      <c r="P9" s="45"/>
      <c r="Q9" s="45"/>
      <c r="R9" s="45"/>
      <c r="S9" s="45"/>
      <c r="T9" s="45"/>
      <c r="U9" s="45"/>
      <c r="V9" s="45"/>
      <c r="W9" s="45"/>
      <c r="X9" s="45"/>
      <c r="Y9" s="45"/>
      <c r="Z9" s="45"/>
    </row>
    <row r="10" spans="1:29" s="435" customFormat="1">
      <c r="F10" s="436" t="s">
        <v>80</v>
      </c>
      <c r="H10" s="437"/>
      <c r="I10" s="45" t="s">
        <v>164</v>
      </c>
      <c r="J10" s="45"/>
      <c r="L10" s="437"/>
      <c r="M10" s="45" t="s">
        <v>94</v>
      </c>
      <c r="N10" s="45"/>
      <c r="P10" s="438"/>
      <c r="Q10" s="45" t="s">
        <v>86</v>
      </c>
      <c r="R10" s="45"/>
      <c r="T10" s="438"/>
      <c r="U10" s="45" t="s">
        <v>87</v>
      </c>
      <c r="V10" s="45"/>
      <c r="X10" s="438"/>
      <c r="Y10" s="45" t="s">
        <v>91</v>
      </c>
      <c r="Z10" s="45"/>
    </row>
    <row r="11" spans="1:29" s="421" customFormat="1" ht="26">
      <c r="A11" s="439" t="s">
        <v>0</v>
      </c>
      <c r="C11" s="440" t="s">
        <v>1</v>
      </c>
      <c r="D11" s="440"/>
      <c r="F11" s="439" t="s">
        <v>437</v>
      </c>
      <c r="H11" s="441"/>
      <c r="I11" s="439" t="s">
        <v>22</v>
      </c>
      <c r="J11" s="423" t="s">
        <v>23</v>
      </c>
      <c r="L11" s="441"/>
      <c r="M11" s="439" t="s">
        <v>22</v>
      </c>
      <c r="N11" s="423" t="s">
        <v>23</v>
      </c>
      <c r="P11" s="441"/>
      <c r="Q11" s="439" t="s">
        <v>22</v>
      </c>
      <c r="R11" s="423" t="s">
        <v>23</v>
      </c>
      <c r="T11" s="441"/>
      <c r="U11" s="439" t="s">
        <v>22</v>
      </c>
      <c r="V11" s="423" t="s">
        <v>23</v>
      </c>
      <c r="X11" s="441"/>
      <c r="Y11" s="439" t="s">
        <v>22</v>
      </c>
      <c r="Z11" s="423" t="s">
        <v>23</v>
      </c>
    </row>
    <row r="12" spans="1:29" s="443" customFormat="1" ht="19" customHeight="1">
      <c r="A12" s="442">
        <v>1</v>
      </c>
      <c r="C12" s="25" t="s">
        <v>6</v>
      </c>
      <c r="D12" s="25"/>
      <c r="E12" s="25"/>
      <c r="F12" s="124"/>
      <c r="G12" s="28"/>
      <c r="H12" s="111"/>
      <c r="I12" s="127"/>
      <c r="J12" s="128"/>
      <c r="K12" s="28"/>
      <c r="L12" s="111"/>
      <c r="M12" s="127"/>
      <c r="N12" s="128"/>
      <c r="O12" s="28"/>
      <c r="P12" s="111"/>
      <c r="Q12" s="430"/>
      <c r="R12" s="128"/>
      <c r="S12" s="28"/>
      <c r="T12" s="111"/>
      <c r="U12" s="127"/>
      <c r="V12" s="128"/>
      <c r="W12" s="28"/>
      <c r="X12" s="111"/>
      <c r="Y12" s="127"/>
      <c r="Z12" s="128"/>
    </row>
    <row r="13" spans="1:29">
      <c r="A13" s="442">
        <f t="shared" ref="A13:A34" si="0">A12+1</f>
        <v>2</v>
      </c>
      <c r="C13" s="431" t="s">
        <v>95</v>
      </c>
      <c r="F13" s="444">
        <f>'B-3 Allocation'!L12</f>
        <v>1002.7721666590249</v>
      </c>
      <c r="G13" s="445"/>
      <c r="H13" s="446"/>
      <c r="I13" s="703">
        <v>0.93446310349533057</v>
      </c>
      <c r="J13" s="637">
        <f>$F13*I13</f>
        <v>937.05359095492929</v>
      </c>
      <c r="K13" s="638"/>
      <c r="L13" s="639"/>
      <c r="M13" s="636">
        <v>0</v>
      </c>
      <c r="N13" s="640">
        <f>$F13*M13</f>
        <v>0</v>
      </c>
      <c r="O13" s="638"/>
      <c r="P13" s="639"/>
      <c r="Q13" s="636">
        <v>6.5536896504669442E-2</v>
      </c>
      <c r="R13" s="447">
        <f>$F13*Q13</f>
        <v>65.718575704095656</v>
      </c>
      <c r="S13" s="445"/>
      <c r="T13" s="446"/>
      <c r="U13" s="636">
        <v>0</v>
      </c>
      <c r="V13" s="448">
        <f>$F13*U13</f>
        <v>0</v>
      </c>
      <c r="W13" s="445"/>
      <c r="X13" s="446"/>
      <c r="Y13" s="426">
        <f>IF(IF(F13=0,0,ABS(1-I13-M13-Q13-U13))&lt;0.0001,0,IF(F13=0,0,1-I13-M13-Q13-U13))</f>
        <v>0</v>
      </c>
      <c r="Z13" s="448">
        <f>$F13*Y13</f>
        <v>0</v>
      </c>
      <c r="AB13" s="500"/>
      <c r="AC13" s="500"/>
    </row>
    <row r="14" spans="1:29">
      <c r="A14" s="442">
        <f t="shared" si="0"/>
        <v>3</v>
      </c>
      <c r="C14" s="431" t="s">
        <v>372</v>
      </c>
      <c r="F14" s="449">
        <f>'B-3 Allocation'!L13</f>
        <v>476.90179583547155</v>
      </c>
      <c r="G14" s="445"/>
      <c r="H14" s="446"/>
      <c r="I14" s="636">
        <v>0</v>
      </c>
      <c r="J14" s="640">
        <f>$F14*I14</f>
        <v>0</v>
      </c>
      <c r="K14" s="638"/>
      <c r="L14" s="639"/>
      <c r="M14" s="704">
        <v>0.89543608452322854</v>
      </c>
      <c r="N14" s="640">
        <f>F14*M14</f>
        <v>427.03507676501079</v>
      </c>
      <c r="O14" s="638"/>
      <c r="P14" s="639"/>
      <c r="Q14" s="636">
        <v>0.10456391547677155</v>
      </c>
      <c r="R14" s="448">
        <f>F14*Q14</f>
        <v>49.86671907046081</v>
      </c>
      <c r="S14" s="445"/>
      <c r="T14" s="446"/>
      <c r="U14" s="636">
        <v>0</v>
      </c>
      <c r="V14" s="448">
        <f>$F14*U14</f>
        <v>0</v>
      </c>
      <c r="W14" s="445"/>
      <c r="X14" s="446"/>
      <c r="Y14" s="426">
        <f>IF(IF(F14=0,0,ABS(1-I14-M14-Q14-U14))&lt;0.0001,0,IF(F14=0,0,1-I14-M14-Q14-U14))</f>
        <v>0</v>
      </c>
      <c r="Z14" s="448">
        <f>$F14*Y14</f>
        <v>0</v>
      </c>
      <c r="AB14" s="500"/>
      <c r="AC14" s="500"/>
    </row>
    <row r="15" spans="1:29">
      <c r="A15" s="442">
        <f t="shared" si="0"/>
        <v>4</v>
      </c>
      <c r="C15" s="431" t="s">
        <v>96</v>
      </c>
      <c r="F15" s="449">
        <f>'B-3 Allocation'!L14</f>
        <v>460.19955584926328</v>
      </c>
      <c r="G15" s="445"/>
      <c r="H15" s="446"/>
      <c r="I15" s="636">
        <v>0</v>
      </c>
      <c r="J15" s="640">
        <f>$F15*I15</f>
        <v>0</v>
      </c>
      <c r="K15" s="638"/>
      <c r="L15" s="639"/>
      <c r="M15" s="636">
        <f>SUM('B-6 POD Classification'!L19:R19)</f>
        <v>0.83949229005544435</v>
      </c>
      <c r="N15" s="640">
        <f>F15*M15</f>
        <v>386.33397902239636</v>
      </c>
      <c r="O15" s="638"/>
      <c r="P15" s="639"/>
      <c r="Q15" s="636">
        <v>0</v>
      </c>
      <c r="R15" s="448">
        <f>F15*Q15</f>
        <v>0</v>
      </c>
      <c r="S15" s="445"/>
      <c r="T15" s="446"/>
      <c r="U15" s="636">
        <v>0</v>
      </c>
      <c r="V15" s="448"/>
      <c r="W15" s="445"/>
      <c r="X15" s="446"/>
      <c r="Y15" s="450">
        <f>'B-6 POD Classification'!I19</f>
        <v>0.16050770994455554</v>
      </c>
      <c r="Z15" s="448">
        <f>F15*Y15</f>
        <v>73.865576826866842</v>
      </c>
      <c r="AB15" s="451"/>
    </row>
    <row r="16" spans="1:29" s="453" customFormat="1" ht="19" customHeight="1">
      <c r="A16" s="452">
        <f t="shared" si="0"/>
        <v>5</v>
      </c>
      <c r="C16" s="12" t="s">
        <v>97</v>
      </c>
      <c r="D16" s="12"/>
      <c r="E16" s="12"/>
      <c r="F16" s="16">
        <f>SUM(F13:F15)</f>
        <v>1939.8735183437598</v>
      </c>
      <c r="G16" s="19"/>
      <c r="H16" s="110"/>
      <c r="I16" s="70">
        <f>J16/$F16</f>
        <v>0.48304880812795165</v>
      </c>
      <c r="J16" s="16">
        <f>SUM(J13:J15)</f>
        <v>937.05359095492929</v>
      </c>
      <c r="K16" s="19"/>
      <c r="L16" s="110"/>
      <c r="M16" s="70">
        <f>N16/$F16</f>
        <v>0.41928973621014826</v>
      </c>
      <c r="N16" s="16">
        <f>SUM(N13:N15)</f>
        <v>813.36905578740721</v>
      </c>
      <c r="O16" s="19"/>
      <c r="P16" s="110"/>
      <c r="Q16" s="70">
        <f>R16/$F16</f>
        <v>5.9583933530492121E-2</v>
      </c>
      <c r="R16" s="16">
        <f>SUM(R13:R15)</f>
        <v>115.58529477455647</v>
      </c>
      <c r="S16" s="19"/>
      <c r="T16" s="110"/>
      <c r="U16" s="70">
        <f>V16/$F16</f>
        <v>0</v>
      </c>
      <c r="V16" s="31">
        <f>SUM(V13:V15)</f>
        <v>0</v>
      </c>
      <c r="W16" s="19"/>
      <c r="X16" s="110"/>
      <c r="Y16" s="70">
        <f>Z16/$F16</f>
        <v>3.8077522131408012E-2</v>
      </c>
      <c r="Z16" s="16">
        <f>SUM(Z13:Z15)</f>
        <v>73.865576826866842</v>
      </c>
    </row>
    <row r="17" spans="1:26" ht="19" customHeight="1">
      <c r="A17" s="442">
        <f t="shared" si="0"/>
        <v>6</v>
      </c>
      <c r="C17" s="2" t="s">
        <v>11</v>
      </c>
      <c r="D17" s="2"/>
      <c r="F17" s="454"/>
      <c r="G17" s="445"/>
      <c r="H17" s="446"/>
      <c r="I17" s="455"/>
      <c r="J17" s="456"/>
      <c r="K17" s="445"/>
      <c r="L17" s="446"/>
      <c r="M17" s="455"/>
      <c r="N17" s="456"/>
      <c r="O17" s="445"/>
      <c r="P17" s="446"/>
      <c r="Q17" s="426"/>
      <c r="R17" s="456"/>
      <c r="S17" s="445"/>
      <c r="T17" s="446"/>
      <c r="U17" s="455"/>
      <c r="V17" s="456"/>
      <c r="W17" s="445"/>
      <c r="X17" s="446"/>
      <c r="Y17" s="455"/>
      <c r="Z17" s="456"/>
    </row>
    <row r="18" spans="1:26">
      <c r="A18" s="442">
        <f t="shared" si="0"/>
        <v>7</v>
      </c>
      <c r="C18" s="431" t="s">
        <v>12</v>
      </c>
      <c r="F18" s="454">
        <f>'B-3 Allocation'!L17</f>
        <v>159.89999999999998</v>
      </c>
      <c r="G18" s="445"/>
      <c r="H18" s="446"/>
      <c r="I18" s="426">
        <v>0</v>
      </c>
      <c r="J18" s="449">
        <f>$F18*I18</f>
        <v>0</v>
      </c>
      <c r="K18" s="445"/>
      <c r="L18" s="446"/>
      <c r="M18" s="426">
        <v>0</v>
      </c>
      <c r="N18" s="449">
        <f>$F18*M18</f>
        <v>0</v>
      </c>
      <c r="O18" s="445"/>
      <c r="P18" s="446"/>
      <c r="Q18" s="426">
        <v>0</v>
      </c>
      <c r="R18" s="449">
        <f>$F18*Q18</f>
        <v>0</v>
      </c>
      <c r="S18" s="445"/>
      <c r="T18" s="446"/>
      <c r="U18" s="426">
        <v>1</v>
      </c>
      <c r="V18" s="611">
        <f>$F18*U18</f>
        <v>159.89999999999998</v>
      </c>
      <c r="W18" s="445"/>
      <c r="X18" s="446"/>
      <c r="Y18" s="426">
        <f>IF(IF(F18=0,0,ABS(1-I18-M18-Q18-U18))&lt;0.0001,0,IF(F18=0,0,1-I18-M18-Q18-U18))</f>
        <v>0</v>
      </c>
      <c r="Z18" s="449">
        <f>$F18*Y18</f>
        <v>0</v>
      </c>
    </row>
    <row r="19" spans="1:26">
      <c r="A19" s="442">
        <f t="shared" si="0"/>
        <v>8</v>
      </c>
      <c r="C19" s="431" t="s">
        <v>13</v>
      </c>
      <c r="F19" s="449"/>
      <c r="G19" s="445"/>
      <c r="H19" s="446"/>
      <c r="I19" s="455"/>
      <c r="J19" s="449"/>
      <c r="K19" s="445"/>
      <c r="L19" s="446"/>
      <c r="M19" s="455"/>
      <c r="N19" s="449"/>
      <c r="O19" s="445"/>
      <c r="P19" s="446"/>
      <c r="Q19" s="455"/>
      <c r="R19" s="449"/>
      <c r="S19" s="445"/>
      <c r="T19" s="446"/>
      <c r="U19" s="455"/>
      <c r="V19" s="449"/>
      <c r="W19" s="445"/>
      <c r="X19" s="446"/>
      <c r="Y19" s="455"/>
      <c r="Z19" s="449"/>
    </row>
    <row r="20" spans="1:26">
      <c r="A20" s="442">
        <f t="shared" si="0"/>
        <v>9</v>
      </c>
      <c r="D20" s="550" t="s">
        <v>14</v>
      </c>
      <c r="F20" s="449">
        <f>'B-3 Allocation'!L19</f>
        <v>2.4</v>
      </c>
      <c r="G20" s="445"/>
      <c r="H20" s="446"/>
      <c r="I20" s="426">
        <v>0</v>
      </c>
      <c r="J20" s="449">
        <f>$F20*I20</f>
        <v>0</v>
      </c>
      <c r="K20" s="445"/>
      <c r="L20" s="446"/>
      <c r="M20" s="426">
        <v>0</v>
      </c>
      <c r="N20" s="449">
        <f>$F20*M20</f>
        <v>0</v>
      </c>
      <c r="O20" s="445"/>
      <c r="P20" s="446"/>
      <c r="Q20" s="426">
        <v>0</v>
      </c>
      <c r="R20" s="449">
        <f>$F20*Q20</f>
        <v>0</v>
      </c>
      <c r="S20" s="445"/>
      <c r="T20" s="446"/>
      <c r="U20" s="426">
        <v>1</v>
      </c>
      <c r="V20" s="449">
        <f>$F20*U20</f>
        <v>2.4</v>
      </c>
      <c r="W20" s="445"/>
      <c r="X20" s="446"/>
      <c r="Y20" s="426">
        <f>IF(IF(F20=0,0,ABS(1-I20-M20-Q20-U20))&lt;0.0001,0,IF(F20=0,0,1-I20-M20-Q20-U20))</f>
        <v>0</v>
      </c>
      <c r="Z20" s="449">
        <f>$F20*Y20</f>
        <v>0</v>
      </c>
    </row>
    <row r="21" spans="1:26">
      <c r="A21" s="442">
        <f t="shared" si="0"/>
        <v>10</v>
      </c>
      <c r="D21" s="550" t="s">
        <v>15</v>
      </c>
      <c r="F21" s="449">
        <f>'B-3 Allocation'!L20</f>
        <v>0.4</v>
      </c>
      <c r="G21" s="445"/>
      <c r="H21" s="446"/>
      <c r="I21" s="426">
        <v>0</v>
      </c>
      <c r="J21" s="449">
        <f>$F21*I21</f>
        <v>0</v>
      </c>
      <c r="K21" s="445"/>
      <c r="L21" s="446"/>
      <c r="M21" s="426">
        <v>0</v>
      </c>
      <c r="N21" s="449">
        <f>$F21*M21</f>
        <v>0</v>
      </c>
      <c r="O21" s="445"/>
      <c r="P21" s="446"/>
      <c r="Q21" s="426">
        <v>1</v>
      </c>
      <c r="R21" s="449">
        <f>$F21*Q21</f>
        <v>0.4</v>
      </c>
      <c r="S21" s="445"/>
      <c r="T21" s="446"/>
      <c r="U21" s="426">
        <v>0</v>
      </c>
      <c r="V21" s="449">
        <f>$F21*U21</f>
        <v>0</v>
      </c>
      <c r="W21" s="445"/>
      <c r="X21" s="446"/>
      <c r="Y21" s="426">
        <f>IF(IF(F21=0,0,ABS(1-I21-M21-Q21-U21))&lt;0.0001,0,IF(F21=0,0,1-I21-M21-Q21-U21))</f>
        <v>0</v>
      </c>
      <c r="Z21" s="449">
        <f>$F21*Y21</f>
        <v>0</v>
      </c>
    </row>
    <row r="22" spans="1:26">
      <c r="A22" s="442">
        <f t="shared" si="0"/>
        <v>11</v>
      </c>
      <c r="D22" s="550" t="s">
        <v>469</v>
      </c>
      <c r="F22" s="449">
        <f>'B-3 Allocation'!L21</f>
        <v>32.6</v>
      </c>
      <c r="G22" s="445"/>
      <c r="H22" s="446"/>
      <c r="I22" s="426">
        <v>0</v>
      </c>
      <c r="J22" s="449">
        <f>$F22*I22</f>
        <v>0</v>
      </c>
      <c r="K22" s="445"/>
      <c r="L22" s="446"/>
      <c r="M22" s="426">
        <v>0</v>
      </c>
      <c r="N22" s="449">
        <f>$F22*M22</f>
        <v>0</v>
      </c>
      <c r="O22" s="445"/>
      <c r="P22" s="446"/>
      <c r="Q22" s="426">
        <v>0</v>
      </c>
      <c r="R22" s="449">
        <f>$F22*Q22</f>
        <v>0</v>
      </c>
      <c r="S22" s="445"/>
      <c r="T22" s="446"/>
      <c r="U22" s="426">
        <v>1</v>
      </c>
      <c r="V22" s="449">
        <f>$F22*U22</f>
        <v>32.6</v>
      </c>
      <c r="W22" s="445"/>
      <c r="X22" s="446"/>
      <c r="Y22" s="426">
        <f>IF(IF(F22=0,0,ABS(1-I22-M22-Q22-U22))&lt;0.0001,0,IF(F22=0,0,1-I22-M22-Q22-U22))</f>
        <v>0</v>
      </c>
      <c r="Z22" s="449">
        <f>$F22*Y22</f>
        <v>0</v>
      </c>
    </row>
    <row r="23" spans="1:26">
      <c r="A23" s="442">
        <f t="shared" si="0"/>
        <v>12</v>
      </c>
      <c r="D23" s="550" t="s">
        <v>426</v>
      </c>
      <c r="F23" s="449">
        <f>'B-3 Allocation'!L22</f>
        <v>2.9</v>
      </c>
      <c r="G23" s="445"/>
      <c r="H23" s="446"/>
      <c r="I23" s="426">
        <v>0</v>
      </c>
      <c r="J23" s="449">
        <f>$F23*I23</f>
        <v>0</v>
      </c>
      <c r="K23" s="445"/>
      <c r="L23" s="446"/>
      <c r="M23" s="426">
        <v>1</v>
      </c>
      <c r="N23" s="449">
        <f>$F23*M23</f>
        <v>2.9</v>
      </c>
      <c r="O23" s="445"/>
      <c r="P23" s="446"/>
      <c r="Q23" s="426">
        <v>0</v>
      </c>
      <c r="R23" s="449">
        <f>$F23*Q23</f>
        <v>0</v>
      </c>
      <c r="S23" s="445"/>
      <c r="T23" s="446"/>
      <c r="U23" s="426">
        <v>0</v>
      </c>
      <c r="V23" s="449">
        <f>$F23*U23</f>
        <v>0</v>
      </c>
      <c r="W23" s="445"/>
      <c r="X23" s="446"/>
      <c r="Y23" s="426">
        <f>IF(IF(F23=0,0,ABS(1-I23-M23-Q23-U23))&lt;0.0001,0,IF(F23=0,0,1-I23-M23-Q23-U23))</f>
        <v>0</v>
      </c>
      <c r="Z23" s="449">
        <f>$F23*Y23</f>
        <v>0</v>
      </c>
    </row>
    <row r="24" spans="1:26">
      <c r="A24" s="442">
        <f t="shared" si="0"/>
        <v>13</v>
      </c>
      <c r="D24" s="550" t="s">
        <v>430</v>
      </c>
      <c r="F24" s="449">
        <f>'B-3 Allocation'!L23</f>
        <v>0.1</v>
      </c>
      <c r="G24" s="445"/>
      <c r="H24" s="446"/>
      <c r="I24" s="426"/>
      <c r="J24" s="449">
        <f>$F24*I24</f>
        <v>0</v>
      </c>
      <c r="K24" s="445"/>
      <c r="L24" s="446"/>
      <c r="M24" s="426">
        <f>M13</f>
        <v>0</v>
      </c>
      <c r="N24" s="449">
        <f>$F24*M24</f>
        <v>0</v>
      </c>
      <c r="O24" s="445"/>
      <c r="P24" s="446"/>
      <c r="Q24" s="426"/>
      <c r="R24" s="449">
        <f>$F24*Q24</f>
        <v>0</v>
      </c>
      <c r="S24" s="445"/>
      <c r="T24" s="446"/>
      <c r="U24" s="426">
        <v>1</v>
      </c>
      <c r="V24" s="449">
        <f>$F24*U24</f>
        <v>0.1</v>
      </c>
      <c r="W24" s="445"/>
      <c r="X24" s="446"/>
      <c r="Y24" s="426">
        <f>IF(IF(F24=0,0,ABS(1-I24-M24-Q24-U24))&lt;0.0001,0,IF(F24=0,0,1-I24-M24-Q24-U24))</f>
        <v>0</v>
      </c>
      <c r="Z24" s="449">
        <f>$F24*Y24</f>
        <v>0</v>
      </c>
    </row>
    <row r="25" spans="1:26">
      <c r="A25" s="442">
        <f t="shared" si="0"/>
        <v>14</v>
      </c>
      <c r="D25" s="550" t="s">
        <v>17</v>
      </c>
      <c r="F25" s="449">
        <f>'B-3 Allocation'!L24</f>
        <v>0</v>
      </c>
      <c r="G25" s="445"/>
      <c r="H25" s="446"/>
      <c r="I25" s="426">
        <v>0</v>
      </c>
      <c r="J25" s="449">
        <v>0</v>
      </c>
      <c r="K25" s="445"/>
      <c r="L25" s="446">
        <v>0</v>
      </c>
      <c r="M25" s="426">
        <v>1</v>
      </c>
      <c r="N25" s="449">
        <f>F25*M25</f>
        <v>0</v>
      </c>
      <c r="O25" s="445"/>
      <c r="P25" s="446"/>
      <c r="Q25" s="426">
        <v>0</v>
      </c>
      <c r="R25" s="449">
        <v>0</v>
      </c>
      <c r="S25" s="445"/>
      <c r="T25" s="446"/>
      <c r="U25" s="426">
        <v>0</v>
      </c>
      <c r="V25" s="449">
        <f>U25*F25</f>
        <v>0</v>
      </c>
      <c r="W25" s="445"/>
      <c r="X25" s="446"/>
      <c r="Y25" s="426">
        <v>0</v>
      </c>
      <c r="Z25" s="449">
        <v>0</v>
      </c>
    </row>
    <row r="26" spans="1:26">
      <c r="A26" s="442">
        <f t="shared" si="0"/>
        <v>15</v>
      </c>
      <c r="D26" s="550" t="s">
        <v>297</v>
      </c>
      <c r="F26" s="449">
        <f>'B-3 Allocation'!L25</f>
        <v>0</v>
      </c>
      <c r="G26" s="445"/>
      <c r="H26" s="446"/>
      <c r="I26" s="426">
        <f>I13</f>
        <v>0.93446310349533057</v>
      </c>
      <c r="J26" s="449">
        <f>I26*F26</f>
        <v>0</v>
      </c>
      <c r="K26" s="445"/>
      <c r="L26" s="446"/>
      <c r="M26" s="426"/>
      <c r="N26" s="449">
        <f>M26*F26</f>
        <v>0</v>
      </c>
      <c r="O26" s="445"/>
      <c r="P26" s="446"/>
      <c r="Q26" s="426">
        <f>Q13</f>
        <v>6.5536896504669442E-2</v>
      </c>
      <c r="R26" s="449">
        <f>Q26*F26</f>
        <v>0</v>
      </c>
      <c r="S26" s="445"/>
      <c r="T26" s="446"/>
      <c r="U26" s="426">
        <v>0</v>
      </c>
      <c r="V26" s="449">
        <f>U26*F26</f>
        <v>0</v>
      </c>
      <c r="W26" s="445"/>
      <c r="X26" s="446"/>
      <c r="Y26" s="426">
        <v>0</v>
      </c>
      <c r="Z26" s="449">
        <f>Y26*F26</f>
        <v>0</v>
      </c>
    </row>
    <row r="27" spans="1:26">
      <c r="A27" s="442">
        <f t="shared" si="0"/>
        <v>16</v>
      </c>
      <c r="D27" s="550" t="s">
        <v>470</v>
      </c>
      <c r="F27" s="449">
        <f>'B-3 Allocation'!L26</f>
        <v>0</v>
      </c>
      <c r="G27" s="445"/>
      <c r="H27" s="446"/>
      <c r="I27" s="426"/>
      <c r="J27" s="449"/>
      <c r="K27" s="445"/>
      <c r="L27" s="446"/>
      <c r="M27" s="426"/>
      <c r="N27" s="449"/>
      <c r="O27" s="445"/>
      <c r="P27" s="446"/>
      <c r="Q27" s="426"/>
      <c r="R27" s="449"/>
      <c r="S27" s="445"/>
      <c r="T27" s="446"/>
      <c r="U27" s="426"/>
      <c r="V27" s="449">
        <f>U27*F27</f>
        <v>0</v>
      </c>
      <c r="W27" s="445"/>
      <c r="X27" s="446"/>
      <c r="Y27" s="426"/>
      <c r="Z27" s="449"/>
    </row>
    <row r="28" spans="1:26" s="453" customFormat="1" ht="19" customHeight="1">
      <c r="A28" s="442">
        <f t="shared" si="0"/>
        <v>17</v>
      </c>
      <c r="C28" s="12" t="s">
        <v>19</v>
      </c>
      <c r="D28" s="12"/>
      <c r="E28" s="12"/>
      <c r="F28" s="16">
        <f>SUM(F18:F27)</f>
        <v>198.29999999999998</v>
      </c>
      <c r="G28" s="19"/>
      <c r="H28" s="110"/>
      <c r="I28" s="70">
        <f>J28/$F28</f>
        <v>0</v>
      </c>
      <c r="J28" s="31">
        <f>SUM(J18:J26)</f>
        <v>0</v>
      </c>
      <c r="K28" s="19"/>
      <c r="L28" s="110"/>
      <c r="M28" s="70">
        <f>N28/$F28</f>
        <v>1.4624306606152295E-2</v>
      </c>
      <c r="N28" s="31">
        <f>SUM(N18:N27)</f>
        <v>2.9</v>
      </c>
      <c r="O28" s="19"/>
      <c r="P28" s="110"/>
      <c r="Q28" s="70">
        <f>R28/$F28</f>
        <v>2.017145738779627E-3</v>
      </c>
      <c r="R28" s="31">
        <f>SUM(R18:R27)</f>
        <v>0.4</v>
      </c>
      <c r="S28" s="19"/>
      <c r="T28" s="110"/>
      <c r="U28" s="70">
        <f>V28/$F28</f>
        <v>0.98335854765506803</v>
      </c>
      <c r="V28" s="31">
        <f>SUM(V18:V27)</f>
        <v>194.99999999999997</v>
      </c>
      <c r="W28" s="19"/>
      <c r="X28" s="110"/>
      <c r="Y28" s="70">
        <f>Z28/$F28</f>
        <v>0</v>
      </c>
      <c r="Z28" s="31">
        <f>SUM(Z18:Z24)</f>
        <v>0</v>
      </c>
    </row>
    <row r="29" spans="1:26" s="457" customFormat="1" ht="25.5" customHeight="1">
      <c r="A29" s="489">
        <f t="shared" si="0"/>
        <v>18</v>
      </c>
      <c r="C29" s="11" t="s">
        <v>9</v>
      </c>
      <c r="D29" s="11"/>
      <c r="E29" s="11"/>
      <c r="F29" s="81">
        <f>'B-3 Allocation'!L28</f>
        <v>0</v>
      </c>
      <c r="G29" s="17"/>
      <c r="H29" s="108"/>
      <c r="I29" s="87">
        <v>0</v>
      </c>
      <c r="J29" s="82">
        <f>$F29*I29</f>
        <v>0</v>
      </c>
      <c r="K29" s="17"/>
      <c r="L29" s="108"/>
      <c r="M29" s="87">
        <v>0</v>
      </c>
      <c r="N29" s="82">
        <f>$F29*M29</f>
        <v>0</v>
      </c>
      <c r="O29" s="17"/>
      <c r="P29" s="108"/>
      <c r="Q29" s="87">
        <v>0</v>
      </c>
      <c r="R29" s="82">
        <f>$F29*Q29</f>
        <v>0</v>
      </c>
      <c r="S29" s="17"/>
      <c r="T29" s="108"/>
      <c r="U29" s="87">
        <v>0</v>
      </c>
      <c r="V29" s="82">
        <f>$F29*U29</f>
        <v>0</v>
      </c>
      <c r="W29" s="17"/>
      <c r="X29" s="108"/>
      <c r="Y29" s="87">
        <f>IF(IF(F29=0,0,ABS(1-I29-M29-Q29-U29))&lt;0.0001,0,IF(F29=0,0,1-I29-M29-Q29-U29))</f>
        <v>0</v>
      </c>
      <c r="Z29" s="82">
        <f>$F29*Y29</f>
        <v>0</v>
      </c>
    </row>
    <row r="30" spans="1:26" s="457" customFormat="1" ht="25.5" customHeight="1">
      <c r="A30" s="489">
        <f t="shared" si="0"/>
        <v>19</v>
      </c>
      <c r="C30" s="11" t="s">
        <v>8</v>
      </c>
      <c r="D30" s="11"/>
      <c r="E30" s="11"/>
      <c r="F30" s="15">
        <f>'B-3 Allocation'!L29</f>
        <v>21.4</v>
      </c>
      <c r="G30" s="17"/>
      <c r="H30" s="108"/>
      <c r="I30" s="87">
        <f>I16</f>
        <v>0.48304880812795165</v>
      </c>
      <c r="J30" s="30">
        <f>$F30*I30</f>
        <v>10.337244493938165</v>
      </c>
      <c r="K30" s="17"/>
      <c r="L30" s="108"/>
      <c r="M30" s="87">
        <f>M16</f>
        <v>0.41928973621014826</v>
      </c>
      <c r="N30" s="615">
        <f>$F30*M30</f>
        <v>8.9728003548971724</v>
      </c>
      <c r="O30" s="17"/>
      <c r="P30" s="108"/>
      <c r="Q30" s="87">
        <f>Q16</f>
        <v>5.9583933530492121E-2</v>
      </c>
      <c r="R30" s="30">
        <f>$F30*Q30</f>
        <v>1.2750961775525314</v>
      </c>
      <c r="S30" s="17"/>
      <c r="T30" s="108"/>
      <c r="U30" s="87">
        <f>U16</f>
        <v>0</v>
      </c>
      <c r="V30" s="30">
        <f>$F30*U30</f>
        <v>0</v>
      </c>
      <c r="W30" s="17"/>
      <c r="X30" s="108"/>
      <c r="Y30" s="87">
        <f>IF(IF(F30=0,0,ABS(1-I30-M30-Q30-U30))&lt;0.0001,0,IF(F30=0,0,1-I30-M30-Q30-U30))</f>
        <v>3.8077522131408033E-2</v>
      </c>
      <c r="Z30" s="30">
        <f>$F30*Y30</f>
        <v>0.81485897361213189</v>
      </c>
    </row>
    <row r="31" spans="1:26" s="457" customFormat="1" ht="25.5" customHeight="1">
      <c r="A31" s="489">
        <f t="shared" si="0"/>
        <v>20</v>
      </c>
      <c r="C31" s="11" t="s">
        <v>7</v>
      </c>
      <c r="D31" s="11"/>
      <c r="E31" s="11"/>
      <c r="F31" s="15">
        <f>'B-3 Allocation'!L30</f>
        <v>93.1</v>
      </c>
      <c r="G31" s="17"/>
      <c r="H31" s="108"/>
      <c r="I31" s="87">
        <f>I16</f>
        <v>0.48304880812795165</v>
      </c>
      <c r="J31" s="30">
        <f>$F31*I31</f>
        <v>44.971844036712298</v>
      </c>
      <c r="K31" s="17"/>
      <c r="L31" s="108"/>
      <c r="M31" s="87">
        <f>M16</f>
        <v>0.41928973621014826</v>
      </c>
      <c r="N31" s="30">
        <f>$F31*M31</f>
        <v>39.0358744411648</v>
      </c>
      <c r="O31" s="17"/>
      <c r="P31" s="108"/>
      <c r="Q31" s="87">
        <f>Q16</f>
        <v>5.9583933530492121E-2</v>
      </c>
      <c r="R31" s="30">
        <f>$F31*Q31</f>
        <v>5.547264211688816</v>
      </c>
      <c r="S31" s="17"/>
      <c r="T31" s="108"/>
      <c r="U31" s="87">
        <f>U16</f>
        <v>0</v>
      </c>
      <c r="V31" s="30">
        <f>$F31*U31</f>
        <v>0</v>
      </c>
      <c r="W31" s="17"/>
      <c r="X31" s="108"/>
      <c r="Y31" s="87">
        <f>IF(IF(F31=0,0,ABS(1-I31-M31-Q31-U31))&lt;0.0001,0,IF(F31=0,0,1-I31-M31-Q31-U31))</f>
        <v>3.8077522131408033E-2</v>
      </c>
      <c r="Z31" s="30">
        <f>$F31*Y31</f>
        <v>3.5450173104340879</v>
      </c>
    </row>
    <row r="32" spans="1:26" s="443" customFormat="1" ht="19" customHeight="1">
      <c r="A32" s="442">
        <f t="shared" si="0"/>
        <v>21</v>
      </c>
      <c r="C32" s="25" t="s">
        <v>10</v>
      </c>
      <c r="D32" s="25"/>
      <c r="E32" s="25"/>
      <c r="F32" s="26">
        <f>SUM(F16,F28:F31)</f>
        <v>2252.67351834376</v>
      </c>
      <c r="G32" s="28"/>
      <c r="H32" s="111"/>
      <c r="I32" s="88">
        <f>J32/$F32</f>
        <v>0.44052663264546105</v>
      </c>
      <c r="J32" s="32">
        <f>SUM(J16,J28:J31)</f>
        <v>992.36267948557975</v>
      </c>
      <c r="K32" s="28"/>
      <c r="L32" s="111"/>
      <c r="M32" s="88">
        <f>N32/$F32</f>
        <v>0.38366755037761291</v>
      </c>
      <c r="N32" s="32">
        <f>SUM(N16,N28:N31)</f>
        <v>864.27773058346907</v>
      </c>
      <c r="O32" s="28"/>
      <c r="P32" s="111"/>
      <c r="Q32" s="88">
        <f>R32/$F32</f>
        <v>5.4516402027973442E-2</v>
      </c>
      <c r="R32" s="32">
        <f>SUM(R16,R28:R31)</f>
        <v>122.80765516379782</v>
      </c>
      <c r="S32" s="28"/>
      <c r="T32" s="111"/>
      <c r="U32" s="88">
        <f>V32/$F32</f>
        <v>8.6563808919532387E-2</v>
      </c>
      <c r="V32" s="32">
        <f>SUM(V16,V28:V31)</f>
        <v>194.99999999999997</v>
      </c>
      <c r="W32" s="28"/>
      <c r="X32" s="111"/>
      <c r="Y32" s="88">
        <f>Z32/$F32</f>
        <v>3.4725606029420104E-2</v>
      </c>
      <c r="Z32" s="32">
        <f>SUM(Z16,Z28:Z31)</f>
        <v>78.225453110913065</v>
      </c>
    </row>
    <row r="33" spans="1:26" s="457" customFormat="1">
      <c r="A33" s="442">
        <f t="shared" si="0"/>
        <v>22</v>
      </c>
      <c r="C33" s="457" t="s">
        <v>36</v>
      </c>
      <c r="F33" s="458">
        <f>'B-3 Allocation'!L32</f>
        <v>36.256632004357314</v>
      </c>
      <c r="G33" s="459"/>
      <c r="H33" s="460"/>
      <c r="I33" s="461">
        <f>I16</f>
        <v>0.48304880812795165</v>
      </c>
      <c r="J33" s="449">
        <f>$F33*I33</f>
        <v>17.513722876438546</v>
      </c>
      <c r="K33" s="459"/>
      <c r="L33" s="460"/>
      <c r="M33" s="461">
        <f>M16</f>
        <v>0.41928973621014826</v>
      </c>
      <c r="N33" s="449">
        <f>$F33*M33</f>
        <v>15.202033668975398</v>
      </c>
      <c r="O33" s="459"/>
      <c r="P33" s="446"/>
      <c r="Q33" s="426">
        <f>Q16</f>
        <v>5.9583933530492121E-2</v>
      </c>
      <c r="R33" s="449">
        <f>$F33*Q33</f>
        <v>2.1603127513871394</v>
      </c>
      <c r="S33" s="445"/>
      <c r="T33" s="446"/>
      <c r="U33" s="426">
        <f>U16</f>
        <v>0</v>
      </c>
      <c r="V33" s="449">
        <f>$F33*U33</f>
        <v>0</v>
      </c>
      <c r="W33" s="445"/>
      <c r="X33" s="446"/>
      <c r="Y33" s="426">
        <f>IF(IF(F33=0,0,ABS(1-I33-M33-Q33-U33))&lt;0.0001,0,IF(F33=0,0,1-I33-M33-Q33-U33))</f>
        <v>3.8077522131408033E-2</v>
      </c>
      <c r="Z33" s="456">
        <f>$F33*Y33</f>
        <v>1.3805627075562323</v>
      </c>
    </row>
    <row r="34" spans="1:26" s="453" customFormat="1" ht="12.75" customHeight="1">
      <c r="A34" s="442">
        <f t="shared" si="0"/>
        <v>23</v>
      </c>
      <c r="C34" s="12" t="s">
        <v>72</v>
      </c>
      <c r="D34" s="12"/>
      <c r="E34" s="12"/>
      <c r="F34" s="29">
        <f>SUM(F32:F33)</f>
        <v>2288.9301503481174</v>
      </c>
      <c r="G34" s="19"/>
      <c r="H34" s="110"/>
      <c r="I34" s="89">
        <f>J34/$F34</f>
        <v>0.44120018350425805</v>
      </c>
      <c r="J34" s="33">
        <f>SUM(J32:J33)</f>
        <v>1009.8764023620183</v>
      </c>
      <c r="K34" s="19"/>
      <c r="L34" s="110"/>
      <c r="M34" s="89">
        <f>N34/$F34</f>
        <v>0.38423180546539909</v>
      </c>
      <c r="N34" s="33">
        <f>SUM(N32:N33)</f>
        <v>879.47976425244451</v>
      </c>
      <c r="O34" s="19"/>
      <c r="P34" s="110"/>
      <c r="Q34" s="89">
        <f>R34/$F34</f>
        <v>5.4596671679203013E-2</v>
      </c>
      <c r="R34" s="33">
        <f>SUM(R32:R33)</f>
        <v>124.96796791518496</v>
      </c>
      <c r="S34" s="19"/>
      <c r="T34" s="110"/>
      <c r="U34" s="89">
        <f>V34/$F34</f>
        <v>8.5192639002261789E-2</v>
      </c>
      <c r="V34" s="33">
        <f>SUM(V32:V33)</f>
        <v>194.99999999999997</v>
      </c>
      <c r="W34" s="19"/>
      <c r="X34" s="110"/>
      <c r="Y34" s="89">
        <f>Z34/$F34</f>
        <v>3.4778700348877936E-2</v>
      </c>
      <c r="Z34" s="33">
        <f>SUM(Z32:Z33)</f>
        <v>79.606015818469302</v>
      </c>
    </row>
    <row r="36" spans="1:26">
      <c r="A36" t="s">
        <v>52</v>
      </c>
      <c r="B36"/>
      <c r="C36" t="s">
        <v>487</v>
      </c>
    </row>
    <row r="37" spans="1:26">
      <c r="C37" t="s">
        <v>484</v>
      </c>
    </row>
  </sheetData>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3"/>
  <cols>
    <col min="1" max="1" width="4.77734375" style="3" customWidth="1"/>
    <col min="2" max="2" width="1.77734375" style="3" customWidth="1"/>
    <col min="3" max="3" width="2.77734375" style="3" customWidth="1"/>
    <col min="4" max="4" width="30.77734375" style="3" customWidth="1"/>
    <col min="5" max="5" width="1.77734375" style="3" customWidth="1"/>
    <col min="6" max="6" width="12.77734375" style="3" customWidth="1"/>
    <col min="7" max="8" width="1.77734375" style="3" customWidth="1"/>
    <col min="9" max="9" width="10.77734375" style="3" customWidth="1"/>
    <col min="10" max="11" width="1.77734375" style="3" customWidth="1"/>
    <col min="12" max="12" width="11.77734375" style="211" customWidth="1"/>
    <col min="13" max="13" width="1.77734375" style="211" customWidth="1"/>
    <col min="14" max="14" width="11.77734375" style="211" customWidth="1"/>
    <col min="15" max="15" width="5.109375" style="211" customWidth="1"/>
    <col min="16" max="16" width="11.77734375" style="211" customWidth="1"/>
    <col min="17" max="17" width="1.77734375" style="211" customWidth="1"/>
    <col min="18" max="18" width="11.77734375" style="211" customWidth="1"/>
    <col min="19" max="20" width="1.77734375" style="3" customWidth="1"/>
    <col min="21" max="21" width="10.77734375" style="3" customWidth="1"/>
    <col min="22" max="16384" width="9" style="3"/>
  </cols>
  <sheetData>
    <row r="1" spans="1:22" s="168" customFormat="1">
      <c r="A1" s="5" t="str">
        <f>Applicant</f>
        <v>Alberta Electric System Operator</v>
      </c>
      <c r="B1" s="5"/>
      <c r="C1" s="5"/>
      <c r="D1" s="5"/>
      <c r="E1" s="5"/>
      <c r="F1" s="5"/>
      <c r="G1" s="5"/>
      <c r="H1" s="5"/>
      <c r="I1" s="5"/>
      <c r="J1" s="5"/>
      <c r="K1" s="5"/>
      <c r="L1" s="206"/>
      <c r="M1" s="206"/>
      <c r="N1" s="206"/>
      <c r="O1" s="206"/>
      <c r="P1" s="207"/>
      <c r="Q1" s="206"/>
      <c r="R1" s="208"/>
      <c r="S1" s="3"/>
      <c r="T1" s="3"/>
      <c r="U1" s="4" t="str">
        <f ca="1">TablePrefix&amp;TRIM(MID(CELL("filename",W2),FIND("]",CELL("filename",W2))+1,4))&amp;TableSuffix</f>
        <v>Table B-6</v>
      </c>
    </row>
    <row r="2" spans="1:22" s="168" customFormat="1">
      <c r="A2" s="5" t="str">
        <f>Application</f>
        <v>2021 ISO Tariff Update Application</v>
      </c>
      <c r="B2" s="5"/>
      <c r="C2" s="5"/>
      <c r="D2" s="5"/>
      <c r="E2" s="5"/>
      <c r="F2" s="5"/>
      <c r="G2" s="5"/>
      <c r="H2" s="5"/>
      <c r="I2" s="5"/>
      <c r="J2" s="5"/>
      <c r="K2" s="5"/>
      <c r="L2" s="206"/>
      <c r="M2" s="206"/>
      <c r="N2" s="206"/>
      <c r="O2" s="206"/>
      <c r="P2" s="207"/>
      <c r="Q2" s="206"/>
      <c r="R2" s="208"/>
      <c r="S2" s="3"/>
      <c r="T2" s="3"/>
      <c r="U2" s="4" t="str">
        <f>TableDate</f>
        <v>November 6, 2020</v>
      </c>
    </row>
    <row r="3" spans="1:22" s="168" customFormat="1">
      <c r="L3" s="209"/>
      <c r="M3" s="209"/>
      <c r="N3" s="209"/>
      <c r="O3" s="209"/>
      <c r="P3" s="207"/>
      <c r="Q3" s="209"/>
      <c r="R3" s="208"/>
    </row>
    <row r="4" spans="1:22" s="168" customFormat="1">
      <c r="A4" s="347" t="str">
        <f>TableGroup1</f>
        <v>Appendix B — 2021 Rate Calculations</v>
      </c>
      <c r="B4" s="6"/>
      <c r="C4" s="6"/>
      <c r="D4" s="6"/>
      <c r="E4" s="6"/>
      <c r="F4" s="6"/>
      <c r="G4" s="6"/>
      <c r="H4" s="6"/>
      <c r="I4" s="6"/>
      <c r="J4" s="6"/>
      <c r="K4" s="6"/>
      <c r="L4" s="210"/>
      <c r="M4" s="210"/>
      <c r="N4" s="210"/>
      <c r="O4" s="210"/>
      <c r="P4" s="210"/>
      <c r="Q4" s="210"/>
      <c r="R4" s="210"/>
      <c r="S4" s="6"/>
      <c r="T4" s="6"/>
      <c r="U4" s="6"/>
    </row>
    <row r="5" spans="1:22" s="168" customFormat="1">
      <c r="A5" s="6" t="s">
        <v>179</v>
      </c>
      <c r="B5" s="6"/>
      <c r="C5" s="6"/>
      <c r="D5" s="6"/>
      <c r="E5" s="6"/>
      <c r="F5" s="6"/>
      <c r="G5" s="6"/>
      <c r="H5" s="6"/>
      <c r="I5" s="6"/>
      <c r="J5" s="6"/>
      <c r="K5" s="6"/>
      <c r="L5" s="210"/>
      <c r="M5" s="210"/>
      <c r="N5" s="210"/>
      <c r="O5" s="210"/>
      <c r="P5" s="210"/>
      <c r="Q5" s="210"/>
      <c r="R5" s="210"/>
      <c r="S5" s="6"/>
      <c r="T5" s="6"/>
      <c r="U5" s="6"/>
    </row>
    <row r="6" spans="1:22">
      <c r="I6" s="256"/>
    </row>
    <row r="7" spans="1:22" s="252" customFormat="1">
      <c r="I7" s="252" t="s">
        <v>2</v>
      </c>
      <c r="L7" s="391" t="s">
        <v>3</v>
      </c>
      <c r="M7" s="391"/>
      <c r="N7" s="391" t="s">
        <v>4</v>
      </c>
      <c r="O7" s="391"/>
      <c r="P7" s="391" t="s">
        <v>5</v>
      </c>
      <c r="Q7" s="391"/>
      <c r="R7" s="391" t="s">
        <v>25</v>
      </c>
      <c r="U7" s="252" t="s">
        <v>26</v>
      </c>
    </row>
    <row r="8" spans="1:22">
      <c r="A8" s="3" t="s">
        <v>57</v>
      </c>
    </row>
    <row r="9" spans="1:22" s="47" customFormat="1">
      <c r="A9" s="46" t="s">
        <v>58</v>
      </c>
      <c r="C9" s="48" t="s">
        <v>1</v>
      </c>
      <c r="D9" s="48"/>
      <c r="F9" s="46" t="s">
        <v>120</v>
      </c>
      <c r="H9" s="99"/>
      <c r="I9" s="48" t="s">
        <v>91</v>
      </c>
      <c r="J9" s="212"/>
      <c r="K9" s="213"/>
      <c r="L9" s="48" t="s">
        <v>24</v>
      </c>
      <c r="M9" s="48"/>
      <c r="N9" s="48"/>
      <c r="O9" s="48"/>
      <c r="P9" s="48"/>
      <c r="Q9" s="48"/>
      <c r="R9" s="48"/>
      <c r="T9" s="99"/>
      <c r="U9" s="48" t="s">
        <v>121</v>
      </c>
    </row>
    <row r="10" spans="1:22" s="22" customFormat="1" ht="25.5" customHeight="1">
      <c r="A10" s="21">
        <v>1</v>
      </c>
      <c r="C10" s="730" t="s">
        <v>486</v>
      </c>
      <c r="D10" s="730"/>
      <c r="F10" s="420" t="s">
        <v>478</v>
      </c>
      <c r="G10" s="246"/>
      <c r="H10" s="121"/>
      <c r="I10" s="729" t="s">
        <v>403</v>
      </c>
      <c r="J10" s="729"/>
      <c r="K10" s="729"/>
      <c r="L10" s="641">
        <v>2.9582999999999999</v>
      </c>
      <c r="M10" s="606" t="s">
        <v>404</v>
      </c>
      <c r="N10" s="606" t="s">
        <v>405</v>
      </c>
      <c r="O10" s="642">
        <v>0.52349999999999997</v>
      </c>
      <c r="P10" s="493"/>
      <c r="Q10" s="58"/>
      <c r="R10" s="58"/>
      <c r="S10" s="246"/>
      <c r="T10" s="121"/>
      <c r="V10" s="457"/>
    </row>
    <row r="11" spans="1:22" ht="19.399999999999999" customHeight="1">
      <c r="A11" s="184">
        <v>2</v>
      </c>
      <c r="C11" s="3" t="s">
        <v>174</v>
      </c>
      <c r="F11" s="434" t="s">
        <v>441</v>
      </c>
      <c r="G11" s="247"/>
      <c r="H11" s="248"/>
      <c r="I11" s="240">
        <v>1.5</v>
      </c>
      <c r="L11" s="241">
        <v>7.5</v>
      </c>
      <c r="N11" s="242">
        <v>17</v>
      </c>
      <c r="P11" s="242">
        <v>40</v>
      </c>
      <c r="R11" s="241">
        <v>122.8</v>
      </c>
      <c r="S11" s="247"/>
      <c r="T11" s="248"/>
      <c r="V11" s="431"/>
    </row>
    <row r="12" spans="1:22" s="35" customFormat="1" ht="19.399999999999999" customHeight="1">
      <c r="A12" s="34">
        <v>3</v>
      </c>
      <c r="C12" s="35" t="s">
        <v>181</v>
      </c>
      <c r="F12" s="253" t="s">
        <v>176</v>
      </c>
      <c r="G12" s="249"/>
      <c r="H12" s="229"/>
      <c r="I12" s="251">
        <f>$L$10*(I11^$O$10)</f>
        <v>3.6578508047460767</v>
      </c>
      <c r="J12" s="251">
        <f t="shared" ref="J12:R12" si="0">$L$10*(J11^$O$10)</f>
        <v>0</v>
      </c>
      <c r="K12" s="251">
        <f t="shared" si="0"/>
        <v>0</v>
      </c>
      <c r="L12" s="251">
        <f>$L$10*(L11^$O$10)</f>
        <v>8.494479740966991</v>
      </c>
      <c r="M12" s="251">
        <f t="shared" si="0"/>
        <v>0</v>
      </c>
      <c r="N12" s="251">
        <f t="shared" si="0"/>
        <v>13.037136836510088</v>
      </c>
      <c r="O12" s="251"/>
      <c r="P12" s="251">
        <f t="shared" si="0"/>
        <v>20.404249199495844</v>
      </c>
      <c r="Q12" s="251">
        <f t="shared" si="0"/>
        <v>0</v>
      </c>
      <c r="R12" s="251">
        <f t="shared" si="0"/>
        <v>36.706042113322781</v>
      </c>
      <c r="S12" s="249"/>
      <c r="T12" s="229"/>
    </row>
    <row r="13" spans="1:22" s="47" customFormat="1" ht="19.399999999999999" customHeight="1">
      <c r="E13"/>
      <c r="F13"/>
      <c r="G13" s="250"/>
      <c r="H13" s="99"/>
      <c r="J13" s="212"/>
      <c r="K13" s="213"/>
      <c r="L13" s="45" t="s">
        <v>24</v>
      </c>
      <c r="M13" s="45"/>
      <c r="N13" s="45"/>
      <c r="O13" s="45"/>
      <c r="P13" s="45"/>
      <c r="Q13" s="45"/>
      <c r="R13" s="45"/>
      <c r="S13" s="250"/>
      <c r="T13" s="99"/>
    </row>
    <row r="14" spans="1:22" s="152" customFormat="1">
      <c r="A14" s="261"/>
      <c r="B14" s="235"/>
      <c r="C14" s="236"/>
      <c r="D14" s="235"/>
      <c r="E14" s="235"/>
      <c r="F14" s="235"/>
      <c r="H14" s="99"/>
      <c r="I14" s="94" t="s">
        <v>91</v>
      </c>
      <c r="J14" s="212"/>
      <c r="K14" s="99"/>
      <c r="N14" s="152" t="s">
        <v>186</v>
      </c>
      <c r="P14" s="152" t="s">
        <v>187</v>
      </c>
      <c r="T14" s="99"/>
    </row>
    <row r="15" spans="1:22" s="211" customFormat="1">
      <c r="A15" s="184"/>
      <c r="B15"/>
      <c r="C15" s="2" t="s">
        <v>178</v>
      </c>
      <c r="D15"/>
      <c r="E15" s="218"/>
      <c r="F15" s="75"/>
      <c r="G15" s="218"/>
      <c r="H15" s="215"/>
      <c r="I15" s="243" t="s">
        <v>155</v>
      </c>
      <c r="J15" s="217"/>
      <c r="K15" s="216"/>
      <c r="L15" s="244" t="s">
        <v>188</v>
      </c>
      <c r="M15" s="245"/>
      <c r="N15" s="244" t="s">
        <v>189</v>
      </c>
      <c r="O15" s="245"/>
      <c r="P15" s="244" t="s">
        <v>190</v>
      </c>
      <c r="Q15" s="245"/>
      <c r="R15" s="174" t="s">
        <v>191</v>
      </c>
      <c r="S15" s="218"/>
      <c r="T15" s="215"/>
      <c r="U15" s="45" t="s">
        <v>121</v>
      </c>
    </row>
    <row r="16" spans="1:22">
      <c r="A16" s="184">
        <f>A12+1</f>
        <v>4</v>
      </c>
      <c r="C16" s="3" t="s">
        <v>175</v>
      </c>
      <c r="E16" s="214"/>
      <c r="F16" s="252" t="s">
        <v>177</v>
      </c>
      <c r="G16" s="214"/>
      <c r="H16" s="222"/>
      <c r="I16" s="219">
        <f>ROUND(L12-(L11*((L12-I12)/(L11-I11))),3)</f>
        <v>2.4489999999999998</v>
      </c>
      <c r="J16" s="93"/>
      <c r="K16" s="112"/>
      <c r="L16" s="219">
        <f>ROUND((L12-I12)/(L11-I11),3)</f>
        <v>0.80600000000000005</v>
      </c>
      <c r="M16" s="93"/>
      <c r="N16" s="219">
        <f>ROUND((N12-L12)/(N11-L11),3)</f>
        <v>0.47799999999999998</v>
      </c>
      <c r="O16" s="93"/>
      <c r="P16" s="219">
        <f>ROUND((P12-N12)/(P11-N11),3)</f>
        <v>0.32</v>
      </c>
      <c r="Q16" s="196"/>
      <c r="R16" s="219">
        <f>ROUND((R12-P12)/(R11-P11),3)</f>
        <v>0.19700000000000001</v>
      </c>
      <c r="S16" s="214"/>
      <c r="T16" s="222"/>
      <c r="U16" s="223"/>
    </row>
    <row r="17" spans="1:21">
      <c r="A17" s="184">
        <f>A16+1</f>
        <v>5</v>
      </c>
      <c r="C17" s="22" t="s">
        <v>351</v>
      </c>
      <c r="E17" s="22"/>
      <c r="F17" s="473" t="s">
        <v>442</v>
      </c>
      <c r="G17" s="214"/>
      <c r="H17" s="222"/>
      <c r="I17" s="133">
        <f>'B-12 Determinants'!F19</f>
        <v>5387.0289699999985</v>
      </c>
      <c r="J17" s="93"/>
      <c r="K17" s="112"/>
      <c r="L17" s="133">
        <f>'B-12 Determinants'!F13</f>
        <v>36754.783780600003</v>
      </c>
      <c r="M17" s="93"/>
      <c r="N17" s="197">
        <f>'B-12 Determinants'!F14</f>
        <v>34657.949192999986</v>
      </c>
      <c r="O17" s="93"/>
      <c r="P17" s="197">
        <f>'B-12 Determinants'!F15</f>
        <v>43642.496507200012</v>
      </c>
      <c r="Q17" s="196"/>
      <c r="R17" s="197">
        <f>'B-12 Determinants'!F16</f>
        <v>44899.013734799999</v>
      </c>
      <c r="S17" s="214"/>
      <c r="T17" s="222"/>
      <c r="U17" s="196"/>
    </row>
    <row r="18" spans="1:21">
      <c r="A18" s="184">
        <f>A17+1</f>
        <v>6</v>
      </c>
      <c r="C18" s="22" t="s">
        <v>165</v>
      </c>
      <c r="E18" s="22"/>
      <c r="F18" s="473" t="s">
        <v>443</v>
      </c>
      <c r="G18" s="214"/>
      <c r="H18" s="222"/>
      <c r="I18" s="220">
        <f>I16*I17</f>
        <v>13192.833947529996</v>
      </c>
      <c r="J18" s="93"/>
      <c r="K18" s="112"/>
      <c r="L18" s="220">
        <f>L16*L17</f>
        <v>29624.355727163605</v>
      </c>
      <c r="M18" s="93"/>
      <c r="N18" s="220">
        <f>N16*N17</f>
        <v>16566.499714253994</v>
      </c>
      <c r="O18" s="93"/>
      <c r="P18" s="220">
        <f>P16*P17</f>
        <v>13965.598882304004</v>
      </c>
      <c r="Q18" s="196"/>
      <c r="R18" s="220">
        <f>R16*R17</f>
        <v>8845.1057057556009</v>
      </c>
      <c r="S18" s="214"/>
      <c r="T18" s="222"/>
      <c r="U18" s="220">
        <f>SUM(I18,L18,N18,P18,R18)</f>
        <v>82194.393977007203</v>
      </c>
    </row>
    <row r="19" spans="1:21" s="35" customFormat="1">
      <c r="A19" s="34">
        <f>A18+1</f>
        <v>7</v>
      </c>
      <c r="C19" s="35" t="s">
        <v>166</v>
      </c>
      <c r="E19" s="141"/>
      <c r="F19" s="469" t="s">
        <v>444</v>
      </c>
      <c r="G19" s="19"/>
      <c r="H19" s="110"/>
      <c r="I19" s="427">
        <f>I18/$U$18</f>
        <v>0.16050770994455554</v>
      </c>
      <c r="J19" s="427"/>
      <c r="K19" s="427"/>
      <c r="L19" s="427">
        <f t="shared" ref="L19:R19" si="1">L18/$U$18</f>
        <v>0.3604182024317939</v>
      </c>
      <c r="M19" s="427"/>
      <c r="N19" s="427">
        <f>N18/$U$18</f>
        <v>0.20155267181467698</v>
      </c>
      <c r="O19" s="427"/>
      <c r="P19" s="427">
        <f t="shared" si="1"/>
        <v>0.16990938440656544</v>
      </c>
      <c r="Q19" s="427"/>
      <c r="R19" s="427">
        <f t="shared" si="1"/>
        <v>0.10761203140240808</v>
      </c>
      <c r="S19" s="19"/>
      <c r="T19" s="110"/>
      <c r="U19" s="221">
        <f>SUM(I19:R19)</f>
        <v>0.99999999999999989</v>
      </c>
    </row>
    <row r="21" spans="1:21">
      <c r="A21" s="3" t="s">
        <v>52</v>
      </c>
      <c r="C21" s="256" t="s">
        <v>139</v>
      </c>
      <c r="D21" s="431" t="s">
        <v>489</v>
      </c>
    </row>
    <row r="22" spans="1:21">
      <c r="C22" s="433"/>
      <c r="D22" s="431" t="s">
        <v>488</v>
      </c>
    </row>
    <row r="23" spans="1:21">
      <c r="C23" s="433" t="s">
        <v>138</v>
      </c>
      <c r="D23" s="431" t="s">
        <v>439</v>
      </c>
    </row>
    <row r="24" spans="1:21">
      <c r="C24" s="433" t="s">
        <v>184</v>
      </c>
      <c r="D24" s="431" t="s">
        <v>440</v>
      </c>
    </row>
    <row r="25" spans="1:21">
      <c r="D25" s="3" t="s">
        <v>358</v>
      </c>
    </row>
  </sheetData>
  <mergeCells count="2">
    <mergeCell ref="I10:K10"/>
    <mergeCell ref="C10:D10"/>
  </mergeCells>
  <phoneticPr fontId="14"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5"/>
  <sheetViews>
    <sheetView showGridLines="0" zoomScaleNormal="100" workbookViewId="0">
      <selection activeCell="A5" sqref="A5"/>
    </sheetView>
  </sheetViews>
  <sheetFormatPr defaultRowHeight="13"/>
  <cols>
    <col min="1" max="1" width="4.77734375" customWidth="1"/>
    <col min="2" max="2" width="1.77734375" customWidth="1"/>
    <col min="3" max="3" width="2.77734375" customWidth="1"/>
    <col min="4" max="4" width="34.33203125" customWidth="1"/>
    <col min="5" max="5" width="1.77734375" customWidth="1"/>
    <col min="6" max="6" width="11.33203125" customWidth="1"/>
    <col min="7" max="8" width="1.77734375" customWidth="1"/>
    <col min="9" max="9" width="12.77734375" customWidth="1"/>
    <col min="10" max="11" width="1.77734375" customWidth="1"/>
    <col min="12" max="12" width="12.77734375" customWidth="1"/>
    <col min="13" max="14" width="1.77734375" customWidth="1"/>
    <col min="15" max="15" width="12.77734375" customWidth="1"/>
    <col min="16" max="17" width="1.77734375" customWidth="1"/>
    <col min="18" max="18" width="12.77734375" customWidth="1"/>
    <col min="19" max="20" width="1.77734375" customWidth="1"/>
    <col min="21" max="21" width="12.77734375" customWidth="1"/>
    <col min="22" max="23" width="1.7773437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B-7</v>
      </c>
    </row>
    <row r="2" spans="1:24" s="3" customFormat="1">
      <c r="A2" s="5" t="str">
        <f>Application</f>
        <v>2021 ISO Tariff Update Application</v>
      </c>
      <c r="B2" s="5"/>
      <c r="C2" s="5"/>
      <c r="D2" s="5"/>
      <c r="E2" s="5"/>
      <c r="F2" s="5"/>
      <c r="G2" s="5"/>
      <c r="H2" s="5"/>
      <c r="I2" s="5"/>
      <c r="J2" s="5"/>
      <c r="K2" s="5"/>
      <c r="L2" s="5"/>
      <c r="M2" s="5"/>
      <c r="N2" s="5"/>
      <c r="O2" s="5"/>
      <c r="P2" s="5"/>
      <c r="Q2" s="5"/>
      <c r="R2" s="5"/>
      <c r="S2" s="5"/>
      <c r="T2" s="5"/>
      <c r="U2" s="4"/>
      <c r="X2" s="4" t="str">
        <f>TableDate</f>
        <v>November 6, 2020</v>
      </c>
    </row>
    <row r="3" spans="1:24">
      <c r="U3" s="4"/>
    </row>
    <row r="4" spans="1:24">
      <c r="A4" s="347" t="str">
        <f>TableGroup1</f>
        <v>Appendix B — 2021 Rate Calculations</v>
      </c>
      <c r="B4" s="6"/>
      <c r="C4" s="6"/>
      <c r="D4" s="6"/>
      <c r="E4" s="6"/>
      <c r="F4" s="6"/>
      <c r="G4" s="6"/>
      <c r="H4" s="6"/>
      <c r="I4" s="6"/>
      <c r="J4" s="6"/>
      <c r="K4" s="6"/>
      <c r="L4" s="6"/>
      <c r="M4" s="6"/>
      <c r="N4" s="6"/>
      <c r="O4" s="6"/>
      <c r="P4" s="6"/>
      <c r="Q4" s="6"/>
      <c r="R4" s="6"/>
      <c r="S4" s="6"/>
      <c r="T4" s="6"/>
      <c r="U4" s="6"/>
      <c r="V4" s="6"/>
      <c r="W4" s="6"/>
      <c r="X4" s="6"/>
    </row>
    <row r="5" spans="1:24">
      <c r="A5" s="6" t="s">
        <v>102</v>
      </c>
      <c r="B5" s="6"/>
      <c r="C5" s="6"/>
      <c r="D5" s="6"/>
      <c r="E5" s="6"/>
      <c r="F5" s="6"/>
      <c r="G5" s="6"/>
      <c r="H5" s="6"/>
      <c r="I5" s="6"/>
      <c r="J5" s="6"/>
      <c r="K5" s="6"/>
      <c r="L5" s="6"/>
      <c r="M5" s="6"/>
      <c r="N5" s="6"/>
      <c r="O5" s="6"/>
      <c r="P5" s="6"/>
      <c r="Q5" s="6"/>
      <c r="R5" s="6"/>
      <c r="S5" s="6"/>
      <c r="T5" s="6"/>
      <c r="U5" s="6"/>
      <c r="V5" s="6"/>
      <c r="W5" s="6"/>
      <c r="X5" s="6"/>
    </row>
    <row r="6" spans="1:24">
      <c r="I6" s="91"/>
    </row>
    <row r="7" spans="1:24" s="252" customFormat="1">
      <c r="I7" s="252" t="s">
        <v>2</v>
      </c>
      <c r="L7" s="252" t="s">
        <v>3</v>
      </c>
      <c r="O7" s="252" t="s">
        <v>4</v>
      </c>
      <c r="R7" s="252" t="s">
        <v>5</v>
      </c>
      <c r="U7" s="252" t="s">
        <v>25</v>
      </c>
      <c r="X7" s="252" t="s">
        <v>26</v>
      </c>
    </row>
    <row r="9" spans="1:24">
      <c r="G9" s="44"/>
      <c r="H9" s="98"/>
      <c r="I9" s="94" t="s">
        <v>167</v>
      </c>
      <c r="J9" s="130"/>
      <c r="K9" s="98"/>
      <c r="L9" s="94" t="s">
        <v>103</v>
      </c>
      <c r="M9" s="130"/>
      <c r="N9" s="98"/>
      <c r="O9" s="94" t="s">
        <v>104</v>
      </c>
      <c r="P9" s="130"/>
      <c r="Q9" s="98"/>
      <c r="R9" s="94" t="s">
        <v>106</v>
      </c>
      <c r="S9" s="130"/>
      <c r="T9" s="98"/>
      <c r="U9" s="94"/>
      <c r="V9" s="130"/>
      <c r="W9" s="98"/>
      <c r="X9" s="94"/>
    </row>
    <row r="10" spans="1:24" s="44" customFormat="1">
      <c r="F10" s="50"/>
      <c r="H10" s="98"/>
      <c r="I10" s="45" t="s">
        <v>24</v>
      </c>
      <c r="J10" s="130"/>
      <c r="K10" s="98"/>
      <c r="L10" s="45" t="s">
        <v>24</v>
      </c>
      <c r="M10" s="130"/>
      <c r="N10" s="98"/>
      <c r="O10" s="45" t="s">
        <v>105</v>
      </c>
      <c r="P10" s="130"/>
      <c r="Q10" s="98"/>
      <c r="R10" s="45" t="s">
        <v>105</v>
      </c>
      <c r="S10" s="130"/>
      <c r="T10" s="98"/>
      <c r="U10" s="45" t="s">
        <v>91</v>
      </c>
      <c r="V10" s="130"/>
      <c r="W10" s="98"/>
      <c r="X10" s="45" t="s">
        <v>121</v>
      </c>
    </row>
    <row r="11" spans="1:24" s="47" customFormat="1" ht="39">
      <c r="A11" s="46" t="s">
        <v>0</v>
      </c>
      <c r="C11" s="48" t="s">
        <v>1</v>
      </c>
      <c r="D11" s="48"/>
      <c r="F11" s="439" t="s">
        <v>436</v>
      </c>
      <c r="H11" s="99"/>
      <c r="I11" s="49" t="s">
        <v>392</v>
      </c>
      <c r="K11" s="99"/>
      <c r="L11" s="49" t="s">
        <v>393</v>
      </c>
      <c r="N11" s="99"/>
      <c r="O11" s="49" t="s">
        <v>394</v>
      </c>
      <c r="Q11" s="99"/>
      <c r="R11" s="49" t="s">
        <v>395</v>
      </c>
      <c r="T11" s="99"/>
      <c r="U11" s="49" t="s">
        <v>396</v>
      </c>
      <c r="W11" s="99"/>
      <c r="X11" s="49" t="s">
        <v>335</v>
      </c>
    </row>
    <row r="12" spans="1:24" ht="15.65" customHeight="1">
      <c r="A12" s="7">
        <v>1</v>
      </c>
      <c r="C12" s="2" t="s">
        <v>386</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25" si="0">A12+1</f>
        <v>2</v>
      </c>
      <c r="C13" s="22" t="s">
        <v>117</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t="s">
        <v>95</v>
      </c>
      <c r="F14" s="72" t="s">
        <v>98</v>
      </c>
      <c r="G14" s="23"/>
      <c r="H14" s="112"/>
      <c r="I14" s="176">
        <f>'B-5 DTS Classification'!J13</f>
        <v>937.05359095492929</v>
      </c>
      <c r="J14" s="23"/>
      <c r="K14" s="112"/>
      <c r="L14" s="224">
        <f>'B-5 DTS Classification'!N13</f>
        <v>0</v>
      </c>
      <c r="M14" s="23"/>
      <c r="N14" s="112"/>
      <c r="O14" s="176">
        <f>'B-5 DTS Classification'!R13</f>
        <v>65.718575704095656</v>
      </c>
      <c r="P14" s="23"/>
      <c r="Q14" s="112"/>
      <c r="R14" s="85">
        <f>'B-5 DTS Classification'!V13</f>
        <v>0</v>
      </c>
      <c r="S14" s="23"/>
      <c r="T14" s="112"/>
      <c r="U14" s="85">
        <f>'B-5 DTS Classification'!Z13</f>
        <v>0</v>
      </c>
      <c r="V14" s="23"/>
      <c r="W14" s="112"/>
      <c r="X14" s="177">
        <f>SUM(I14:U14)</f>
        <v>1002.7721666590249</v>
      </c>
    </row>
    <row r="15" spans="1:24" s="22" customFormat="1">
      <c r="A15" s="21">
        <f t="shared" si="0"/>
        <v>4</v>
      </c>
      <c r="D15" t="s">
        <v>372</v>
      </c>
      <c r="F15" s="72" t="s">
        <v>76</v>
      </c>
      <c r="G15" s="23"/>
      <c r="H15" s="112"/>
      <c r="I15" s="79">
        <f>'B-5 DTS Classification'!J14</f>
        <v>0</v>
      </c>
      <c r="J15" s="23"/>
      <c r="K15" s="112"/>
      <c r="L15" s="79">
        <f>'B-5 DTS Classification'!N14</f>
        <v>427.03507676501079</v>
      </c>
      <c r="M15" s="23"/>
      <c r="N15" s="112"/>
      <c r="O15" s="79">
        <f>'B-5 DTS Classification'!R14</f>
        <v>49.86671907046081</v>
      </c>
      <c r="P15" s="23"/>
      <c r="Q15" s="112"/>
      <c r="R15" s="85">
        <f>'B-5 DTS Classification'!V14</f>
        <v>0</v>
      </c>
      <c r="S15" s="23"/>
      <c r="T15" s="112"/>
      <c r="U15" s="85">
        <f>'B-5 DTS Classification'!Z14</f>
        <v>0</v>
      </c>
      <c r="V15" s="23"/>
      <c r="W15" s="112"/>
      <c r="X15" s="177">
        <f t="shared" ref="X15:X21" si="1">SUM(I15:U15)</f>
        <v>476.9017958354716</v>
      </c>
    </row>
    <row r="16" spans="1:24" s="22" customFormat="1">
      <c r="A16" s="21">
        <f t="shared" si="0"/>
        <v>5</v>
      </c>
      <c r="D16" t="s">
        <v>96</v>
      </c>
      <c r="F16" s="72" t="s">
        <v>99</v>
      </c>
      <c r="G16" s="23"/>
      <c r="H16" s="112"/>
      <c r="I16" s="79">
        <f>'B-5 DTS Classification'!J15</f>
        <v>0</v>
      </c>
      <c r="J16" s="23"/>
      <c r="K16" s="112"/>
      <c r="L16" s="79">
        <f>'B-5 DTS Classification'!N15</f>
        <v>386.33397902239636</v>
      </c>
      <c r="M16" s="23"/>
      <c r="N16" s="112"/>
      <c r="O16" s="79">
        <f>'B-5 DTS Classification'!R15</f>
        <v>0</v>
      </c>
      <c r="P16" s="23"/>
      <c r="Q16" s="112"/>
      <c r="R16" s="85">
        <f>'B-5 DTS Classification'!V15</f>
        <v>0</v>
      </c>
      <c r="S16" s="23"/>
      <c r="T16" s="112"/>
      <c r="U16" s="85">
        <f>'B-5 DTS Classification'!Z15</f>
        <v>73.865576826866842</v>
      </c>
      <c r="V16" s="23"/>
      <c r="W16" s="112"/>
      <c r="X16" s="177">
        <f t="shared" si="1"/>
        <v>460.19955584926322</v>
      </c>
    </row>
    <row r="17" spans="1:24" s="22" customFormat="1">
      <c r="A17" s="21">
        <f t="shared" si="0"/>
        <v>6</v>
      </c>
      <c r="C17" s="22" t="s">
        <v>116</v>
      </c>
      <c r="E17" s="23"/>
      <c r="F17" s="73"/>
      <c r="G17" s="23"/>
      <c r="H17" s="113"/>
      <c r="I17" s="79"/>
      <c r="J17" s="79"/>
      <c r="K17" s="113"/>
      <c r="L17" s="79"/>
      <c r="M17" s="79"/>
      <c r="N17" s="113"/>
      <c r="O17" s="79"/>
      <c r="P17" s="79"/>
      <c r="Q17" s="113"/>
      <c r="R17" s="79"/>
      <c r="S17" s="79"/>
      <c r="T17" s="113"/>
      <c r="U17" s="79"/>
      <c r="V17" s="79"/>
      <c r="W17" s="113"/>
      <c r="X17" s="177">
        <f t="shared" si="1"/>
        <v>0</v>
      </c>
    </row>
    <row r="18" spans="1:24" s="22" customFormat="1">
      <c r="A18" s="21">
        <f t="shared" si="0"/>
        <v>7</v>
      </c>
      <c r="D18" s="22" t="s">
        <v>18</v>
      </c>
      <c r="E18" s="23"/>
      <c r="F18" s="481" t="s">
        <v>428</v>
      </c>
      <c r="G18" s="23"/>
      <c r="H18" s="113"/>
      <c r="I18" s="79">
        <f>'B-5 DTS Classification'!J26</f>
        <v>0</v>
      </c>
      <c r="J18" s="79"/>
      <c r="K18" s="113"/>
      <c r="L18" s="79">
        <f>'B-5 DTS Classification'!N26</f>
        <v>0</v>
      </c>
      <c r="M18" s="79"/>
      <c r="N18" s="113"/>
      <c r="O18" s="79">
        <f>'B-5 DTS Classification'!R26</f>
        <v>0</v>
      </c>
      <c r="P18" s="79"/>
      <c r="Q18" s="113"/>
      <c r="R18" s="79">
        <f>'B-5 DTS Classification'!V26</f>
        <v>0</v>
      </c>
      <c r="S18" s="79"/>
      <c r="T18" s="113"/>
      <c r="U18" s="79">
        <f>'B-5 DTS Classification'!Z26</f>
        <v>0</v>
      </c>
      <c r="V18" s="79"/>
      <c r="W18" s="113"/>
      <c r="X18" s="177">
        <f t="shared" si="1"/>
        <v>0</v>
      </c>
    </row>
    <row r="19" spans="1:24" s="22" customFormat="1">
      <c r="A19" s="21">
        <f t="shared" si="0"/>
        <v>8</v>
      </c>
      <c r="D19" s="22" t="s">
        <v>8</v>
      </c>
      <c r="E19" s="23"/>
      <c r="F19" s="481" t="s">
        <v>445</v>
      </c>
      <c r="G19" s="23"/>
      <c r="H19" s="113"/>
      <c r="I19" s="79">
        <f>'B-5 DTS Classification'!J30</f>
        <v>10.337244493938165</v>
      </c>
      <c r="J19" s="79"/>
      <c r="K19" s="113"/>
      <c r="L19" s="79">
        <f>'B-5 DTS Classification'!N30</f>
        <v>8.9728003548971724</v>
      </c>
      <c r="M19" s="79"/>
      <c r="N19" s="113"/>
      <c r="O19" s="79">
        <f>'B-5 DTS Classification'!R30</f>
        <v>1.2750961775525314</v>
      </c>
      <c r="P19" s="79"/>
      <c r="Q19" s="113"/>
      <c r="R19" s="79">
        <f>'B-5 DTS Classification'!V30</f>
        <v>0</v>
      </c>
      <c r="S19" s="79"/>
      <c r="T19" s="113"/>
      <c r="U19" s="79">
        <f>'B-5 DTS Classification'!Z30</f>
        <v>0.81485897361213189</v>
      </c>
      <c r="V19" s="79"/>
      <c r="W19" s="113"/>
      <c r="X19" s="177">
        <f t="shared" si="1"/>
        <v>21.400000000000002</v>
      </c>
    </row>
    <row r="20" spans="1:24" s="22" customFormat="1">
      <c r="A20" s="21">
        <f t="shared" si="0"/>
        <v>9</v>
      </c>
      <c r="D20" s="22" t="s">
        <v>7</v>
      </c>
      <c r="E20" s="23"/>
      <c r="F20" s="481" t="s">
        <v>371</v>
      </c>
      <c r="G20" s="23"/>
      <c r="H20" s="113"/>
      <c r="I20" s="79">
        <f>'B-5 DTS Classification'!J31</f>
        <v>44.971844036712298</v>
      </c>
      <c r="J20" s="79"/>
      <c r="K20" s="113"/>
      <c r="L20" s="79">
        <f>'B-5 DTS Classification'!N31</f>
        <v>39.0358744411648</v>
      </c>
      <c r="M20" s="79"/>
      <c r="N20" s="113"/>
      <c r="O20" s="79">
        <f>'B-5 DTS Classification'!R31</f>
        <v>5.547264211688816</v>
      </c>
      <c r="P20" s="79"/>
      <c r="Q20" s="113"/>
      <c r="R20" s="79">
        <f>'B-5 DTS Classification'!V31</f>
        <v>0</v>
      </c>
      <c r="S20" s="79"/>
      <c r="T20" s="113"/>
      <c r="U20" s="79">
        <f>'B-5 DTS Classification'!Z31</f>
        <v>3.5450173104340879</v>
      </c>
      <c r="V20" s="79"/>
      <c r="W20" s="113"/>
      <c r="X20" s="177">
        <f t="shared" si="1"/>
        <v>93.1</v>
      </c>
    </row>
    <row r="21" spans="1:24" s="22" customFormat="1">
      <c r="A21" s="21">
        <f t="shared" si="0"/>
        <v>10</v>
      </c>
      <c r="D21" s="22" t="s">
        <v>36</v>
      </c>
      <c r="E21" s="23"/>
      <c r="F21" s="481" t="s">
        <v>446</v>
      </c>
      <c r="G21" s="23"/>
      <c r="H21" s="113"/>
      <c r="I21" s="79">
        <f>'B-5 DTS Classification'!J33</f>
        <v>17.513722876438546</v>
      </c>
      <c r="J21" s="79"/>
      <c r="K21" s="113"/>
      <c r="L21" s="79">
        <f>'B-5 DTS Classification'!N33</f>
        <v>15.202033668975398</v>
      </c>
      <c r="M21" s="79"/>
      <c r="N21" s="113"/>
      <c r="O21" s="79">
        <f>'B-5 DTS Classification'!R33</f>
        <v>2.1603127513871394</v>
      </c>
      <c r="P21" s="79"/>
      <c r="Q21" s="113"/>
      <c r="R21" s="79">
        <f>'B-5 DTS Classification'!V33</f>
        <v>0</v>
      </c>
      <c r="S21" s="79"/>
      <c r="T21" s="113"/>
      <c r="U21" s="79">
        <f>'B-5 DTS Classification'!Z33</f>
        <v>1.3805627075562323</v>
      </c>
      <c r="V21" s="79"/>
      <c r="W21" s="113"/>
      <c r="X21" s="177">
        <f t="shared" si="1"/>
        <v>36.256632004357314</v>
      </c>
    </row>
    <row r="22" spans="1:24" s="35" customFormat="1" ht="15.65" customHeight="1">
      <c r="A22" s="34">
        <f t="shared" si="0"/>
        <v>11</v>
      </c>
      <c r="C22" s="12" t="s">
        <v>386</v>
      </c>
      <c r="D22" s="12"/>
      <c r="E22" s="19"/>
      <c r="F22" s="74"/>
      <c r="G22" s="19"/>
      <c r="H22" s="110"/>
      <c r="I22" s="31">
        <f>SUM(I12:I21)</f>
        <v>1009.8764023620183</v>
      </c>
      <c r="J22" s="19"/>
      <c r="K22" s="110"/>
      <c r="L22" s="31">
        <f>SUM(L12:L21)</f>
        <v>876.57976425244453</v>
      </c>
      <c r="M22" s="19"/>
      <c r="N22" s="110"/>
      <c r="O22" s="31">
        <f>SUM(O12:O21)</f>
        <v>124.56796791518495</v>
      </c>
      <c r="P22" s="19"/>
      <c r="Q22" s="110"/>
      <c r="R22" s="84">
        <f>SUM(R12:R21)</f>
        <v>0</v>
      </c>
      <c r="S22" s="19"/>
      <c r="T22" s="110"/>
      <c r="U22" s="31">
        <f>SUM(U12:U21)</f>
        <v>79.606015818469302</v>
      </c>
      <c r="V22" s="19"/>
      <c r="W22" s="110"/>
      <c r="X22" s="31">
        <f>SUM(X12:X21)</f>
        <v>2090.6301503481172</v>
      </c>
    </row>
    <row r="23" spans="1:24" ht="15.65" customHeight="1">
      <c r="A23" s="7">
        <f t="shared" si="0"/>
        <v>12</v>
      </c>
      <c r="C23" s="2" t="s">
        <v>46</v>
      </c>
      <c r="D23" s="2"/>
      <c r="E23" s="18"/>
      <c r="F23" s="75"/>
      <c r="G23" s="18"/>
      <c r="H23" s="109"/>
      <c r="I23" s="39"/>
      <c r="J23" s="18"/>
      <c r="K23" s="109"/>
      <c r="L23" s="39"/>
      <c r="M23" s="18"/>
      <c r="N23" s="109"/>
      <c r="O23" s="39"/>
      <c r="P23" s="18"/>
      <c r="Q23" s="109"/>
      <c r="R23" s="39"/>
      <c r="S23" s="18"/>
      <c r="T23" s="109"/>
      <c r="U23" s="39"/>
      <c r="V23" s="18"/>
      <c r="W23" s="109"/>
      <c r="X23" s="39"/>
    </row>
    <row r="24" spans="1:24">
      <c r="A24" s="7">
        <f t="shared" si="0"/>
        <v>13</v>
      </c>
      <c r="C24" t="s">
        <v>12</v>
      </c>
      <c r="E24" s="18"/>
      <c r="F24" s="75" t="s">
        <v>77</v>
      </c>
      <c r="G24" s="18"/>
      <c r="H24" s="109"/>
      <c r="I24" s="83">
        <f>'B-5 DTS Classification'!J18</f>
        <v>0</v>
      </c>
      <c r="J24" s="18"/>
      <c r="K24" s="109"/>
      <c r="L24" s="83">
        <f>'B-5 DTS Classification'!N18</f>
        <v>0</v>
      </c>
      <c r="M24" s="18"/>
      <c r="N24" s="109"/>
      <c r="O24" s="83">
        <f>'B-5 DTS Classification'!R18</f>
        <v>0</v>
      </c>
      <c r="P24" s="18"/>
      <c r="Q24" s="109"/>
      <c r="R24" s="39">
        <f>'B-5 DTS Classification'!V18</f>
        <v>159.89999999999998</v>
      </c>
      <c r="S24" s="18"/>
      <c r="T24" s="109"/>
      <c r="U24" s="80">
        <f>'B-5 DTS Classification'!Z18</f>
        <v>0</v>
      </c>
      <c r="V24" s="18"/>
      <c r="W24" s="109"/>
      <c r="X24" s="178">
        <f>SUM(I24:U24)</f>
        <v>159.89999999999998</v>
      </c>
    </row>
    <row r="25" spans="1:24">
      <c r="A25" s="7">
        <f t="shared" si="0"/>
        <v>14</v>
      </c>
      <c r="C25" t="s">
        <v>14</v>
      </c>
      <c r="E25" s="18"/>
      <c r="F25" s="482" t="s">
        <v>398</v>
      </c>
      <c r="G25" s="18"/>
      <c r="H25" s="262"/>
      <c r="I25" s="80">
        <f>'B-5 DTS Classification'!J20</f>
        <v>0</v>
      </c>
      <c r="J25" s="80"/>
      <c r="K25" s="262"/>
      <c r="L25" s="80">
        <f>'B-5 DTS Classification'!N20</f>
        <v>0</v>
      </c>
      <c r="M25" s="80"/>
      <c r="N25" s="262"/>
      <c r="O25" s="80">
        <f>'B-5 DTS Classification'!R20</f>
        <v>0</v>
      </c>
      <c r="P25" s="80"/>
      <c r="Q25" s="262"/>
      <c r="R25" s="80">
        <f>'B-5 DTS Classification'!V20</f>
        <v>2.4</v>
      </c>
      <c r="S25" s="80"/>
      <c r="T25" s="262"/>
      <c r="U25" s="80">
        <f>'B-5 DTS Classification'!Z20</f>
        <v>0</v>
      </c>
      <c r="V25" s="80"/>
      <c r="W25" s="262"/>
      <c r="X25" s="178">
        <f t="shared" ref="X25:X26" si="2">SUM(I25:U25)</f>
        <v>2.4</v>
      </c>
    </row>
    <row r="26" spans="1:24">
      <c r="A26" s="7">
        <f t="shared" ref="A26:A35" si="3">A25+1</f>
        <v>15</v>
      </c>
      <c r="C26" s="431" t="s">
        <v>367</v>
      </c>
      <c r="E26" s="18"/>
      <c r="F26" s="483" t="s">
        <v>75</v>
      </c>
      <c r="G26" s="18"/>
      <c r="H26" s="109"/>
      <c r="I26" s="83">
        <v>0</v>
      </c>
      <c r="J26" s="18"/>
      <c r="K26" s="109"/>
      <c r="L26" s="83">
        <v>0</v>
      </c>
      <c r="M26" s="18"/>
      <c r="N26" s="109"/>
      <c r="O26" s="83">
        <v>0</v>
      </c>
      <c r="P26" s="18"/>
      <c r="Q26" s="109"/>
      <c r="R26" s="83">
        <f>'B-5 DTS Classification'!V22</f>
        <v>32.6</v>
      </c>
      <c r="S26" s="18"/>
      <c r="T26" s="109"/>
      <c r="U26" s="80">
        <v>0</v>
      </c>
      <c r="V26" s="18"/>
      <c r="W26" s="109"/>
      <c r="X26" s="178">
        <f t="shared" si="2"/>
        <v>32.6</v>
      </c>
    </row>
    <row r="27" spans="1:24" s="35" customFormat="1" ht="15.65" customHeight="1">
      <c r="A27" s="7">
        <f t="shared" si="3"/>
        <v>16</v>
      </c>
      <c r="C27" s="12" t="s">
        <v>46</v>
      </c>
      <c r="D27" s="12"/>
      <c r="E27" s="19"/>
      <c r="F27" s="74"/>
      <c r="G27" s="19"/>
      <c r="H27" s="110"/>
      <c r="I27" s="84">
        <f>SUM(I23:I26)</f>
        <v>0</v>
      </c>
      <c r="J27" s="19"/>
      <c r="K27" s="110"/>
      <c r="L27" s="84">
        <f>SUM(L23:L26)</f>
        <v>0</v>
      </c>
      <c r="M27" s="19"/>
      <c r="N27" s="110"/>
      <c r="O27" s="84">
        <f>SUM(O23:O26)</f>
        <v>0</v>
      </c>
      <c r="P27" s="19"/>
      <c r="Q27" s="110"/>
      <c r="R27" s="31">
        <f>SUM(R23:R26)</f>
        <v>194.89999999999998</v>
      </c>
      <c r="S27" s="19"/>
      <c r="T27" s="110"/>
      <c r="U27" s="84">
        <f>SUM(U23:U26)</f>
        <v>0</v>
      </c>
      <c r="V27" s="19"/>
      <c r="W27" s="110"/>
      <c r="X27" s="31">
        <f>SUM(X23:X26)</f>
        <v>194.89999999999998</v>
      </c>
    </row>
    <row r="28" spans="1:24" s="35" customFormat="1" ht="15.65" customHeight="1">
      <c r="A28" s="7">
        <f t="shared" si="3"/>
        <v>17</v>
      </c>
      <c r="C28" s="12" t="s">
        <v>435</v>
      </c>
      <c r="D28" s="12"/>
      <c r="E28" s="19"/>
      <c r="F28" s="469" t="s">
        <v>183</v>
      </c>
      <c r="G28" s="19"/>
      <c r="H28" s="110"/>
      <c r="I28" s="572">
        <v>0</v>
      </c>
      <c r="J28" s="19"/>
      <c r="K28" s="110"/>
      <c r="L28" s="572">
        <v>0</v>
      </c>
      <c r="M28" s="19"/>
      <c r="N28" s="110"/>
      <c r="O28" s="572">
        <v>0</v>
      </c>
      <c r="P28" s="19"/>
      <c r="Q28" s="110"/>
      <c r="R28" s="52">
        <f>'B-5 DTS Classification'!V24</f>
        <v>0.1</v>
      </c>
      <c r="S28" s="19"/>
      <c r="T28" s="110"/>
      <c r="U28" s="572"/>
      <c r="V28" s="19"/>
      <c r="W28" s="110"/>
      <c r="X28" s="180">
        <f>SUM(I28:U28)</f>
        <v>0.1</v>
      </c>
    </row>
    <row r="29" spans="1:24" s="58" customFormat="1" ht="19" customHeight="1">
      <c r="A29" s="7">
        <f t="shared" si="3"/>
        <v>18</v>
      </c>
      <c r="C29" s="59" t="s">
        <v>82</v>
      </c>
      <c r="D29" s="59"/>
      <c r="E29" s="20"/>
      <c r="F29" s="473" t="s">
        <v>78</v>
      </c>
      <c r="G29" s="20"/>
      <c r="H29" s="108"/>
      <c r="I29" s="86">
        <f>'B-5 DTS Classification'!J21</f>
        <v>0</v>
      </c>
      <c r="J29" s="20"/>
      <c r="K29" s="108"/>
      <c r="L29" s="86">
        <f>'B-5 DTS Classification'!N21</f>
        <v>0</v>
      </c>
      <c r="M29" s="20"/>
      <c r="N29" s="108"/>
      <c r="O29" s="60">
        <f>'B-5 DTS Classification'!R21</f>
        <v>0.4</v>
      </c>
      <c r="P29" s="20"/>
      <c r="Q29" s="108"/>
      <c r="R29" s="132">
        <f>'B-5 DTS Classification'!V21</f>
        <v>0</v>
      </c>
      <c r="S29" s="20"/>
      <c r="T29" s="108"/>
      <c r="U29" s="132">
        <f>'B-5 DTS Classification'!Z21</f>
        <v>0</v>
      </c>
      <c r="V29" s="20"/>
      <c r="W29" s="108"/>
      <c r="X29" s="180">
        <f>SUM(I29:U29)</f>
        <v>0.4</v>
      </c>
    </row>
    <row r="30" spans="1:24" ht="15.65" customHeight="1">
      <c r="A30" s="7">
        <f t="shared" si="3"/>
        <v>19</v>
      </c>
      <c r="C30" s="2" t="s">
        <v>47</v>
      </c>
      <c r="D30" s="2"/>
      <c r="E30" s="18"/>
      <c r="F30" s="75"/>
      <c r="G30" s="18"/>
      <c r="H30" s="109"/>
      <c r="I30" s="39"/>
      <c r="J30" s="18"/>
      <c r="K30" s="109"/>
      <c r="L30" s="39"/>
      <c r="M30" s="18"/>
      <c r="N30" s="109"/>
      <c r="O30" s="39"/>
      <c r="P30" s="18"/>
      <c r="Q30" s="109"/>
      <c r="R30" s="39"/>
      <c r="S30" s="18"/>
      <c r="T30" s="109"/>
      <c r="U30" s="39"/>
      <c r="V30" s="18"/>
      <c r="W30" s="109"/>
      <c r="X30" s="39"/>
    </row>
    <row r="31" spans="1:24">
      <c r="A31" s="7">
        <f t="shared" si="3"/>
        <v>20</v>
      </c>
      <c r="C31" t="s">
        <v>16</v>
      </c>
      <c r="E31" s="18"/>
      <c r="F31" s="483" t="s">
        <v>100</v>
      </c>
      <c r="G31" s="18"/>
      <c r="H31" s="109"/>
      <c r="I31" s="612">
        <v>0</v>
      </c>
      <c r="J31" s="370"/>
      <c r="K31" s="613"/>
      <c r="L31" s="612">
        <f>'B-5 DTS Classification'!N22</f>
        <v>0</v>
      </c>
      <c r="M31" s="18"/>
      <c r="N31" s="109"/>
      <c r="O31" s="83">
        <f>'B-5 DTS Classification'!R22</f>
        <v>0</v>
      </c>
      <c r="P31" s="18"/>
      <c r="Q31" s="109"/>
      <c r="R31" s="83">
        <v>0</v>
      </c>
      <c r="S31" s="18"/>
      <c r="T31" s="109"/>
      <c r="U31" s="83">
        <f>'B-5 DTS Classification'!Z22</f>
        <v>0</v>
      </c>
      <c r="V31" s="18"/>
      <c r="W31" s="109"/>
      <c r="X31" s="179">
        <f>SUM(I31:U31)</f>
        <v>0</v>
      </c>
    </row>
    <row r="32" spans="1:24">
      <c r="A32" s="7">
        <f t="shared" si="3"/>
        <v>21</v>
      </c>
      <c r="C32" t="s">
        <v>17</v>
      </c>
      <c r="E32" s="18"/>
      <c r="F32" s="482" t="s">
        <v>79</v>
      </c>
      <c r="G32" s="18"/>
      <c r="H32" s="262"/>
      <c r="I32" s="80">
        <f>'B-5 DTS Classification'!J23</f>
        <v>0</v>
      </c>
      <c r="J32" s="80"/>
      <c r="K32" s="262"/>
      <c r="L32" s="80">
        <f>'B-5 DTS Classification'!N25</f>
        <v>0</v>
      </c>
      <c r="M32" s="80"/>
      <c r="N32" s="262"/>
      <c r="O32" s="80">
        <f>'B-5 DTS Classification'!R23</f>
        <v>0</v>
      </c>
      <c r="P32" s="80"/>
      <c r="Q32" s="262"/>
      <c r="R32" s="80">
        <f>'B-5 DTS Classification'!V23</f>
        <v>0</v>
      </c>
      <c r="S32" s="80"/>
      <c r="T32" s="262"/>
      <c r="U32" s="80">
        <f>'B-5 DTS Classification'!Z23</f>
        <v>0</v>
      </c>
      <c r="V32" s="80"/>
      <c r="W32" s="262"/>
      <c r="X32" s="179">
        <f>SUM(I32:U32)</f>
        <v>0</v>
      </c>
    </row>
    <row r="33" spans="1:24">
      <c r="A33" s="7">
        <f t="shared" si="3"/>
        <v>22</v>
      </c>
      <c r="C33" t="str">
        <f>'B-5 DTS Classification'!D23</f>
        <v>Reliability Services from BC</v>
      </c>
      <c r="E33" s="18"/>
      <c r="F33" s="482" t="s">
        <v>428</v>
      </c>
      <c r="G33" s="18"/>
      <c r="H33" s="262"/>
      <c r="I33" s="80">
        <f>'B-5 DTS Classification'!J26</f>
        <v>0</v>
      </c>
      <c r="J33" s="80"/>
      <c r="K33" s="262"/>
      <c r="L33" s="80">
        <f>'B-5 DTS Classification'!N23</f>
        <v>2.9</v>
      </c>
      <c r="M33" s="80"/>
      <c r="N33" s="262"/>
      <c r="O33" s="80">
        <f>'B-5 DTS Classification'!R26</f>
        <v>0</v>
      </c>
      <c r="P33" s="80"/>
      <c r="Q33" s="262"/>
      <c r="R33" s="80">
        <f>'B-5 DTS Classification'!V26</f>
        <v>0</v>
      </c>
      <c r="S33" s="80"/>
      <c r="T33" s="262"/>
      <c r="U33" s="80">
        <f>'B-5 DTS Classification'!Z26</f>
        <v>0</v>
      </c>
      <c r="V33" s="80"/>
      <c r="W33" s="262"/>
      <c r="X33" s="179">
        <f>SUM(I33:U33)</f>
        <v>2.9</v>
      </c>
    </row>
    <row r="34" spans="1:24" s="35" customFormat="1" ht="15.65" customHeight="1">
      <c r="A34" s="7">
        <f t="shared" si="3"/>
        <v>23</v>
      </c>
      <c r="C34" s="12" t="s">
        <v>48</v>
      </c>
      <c r="D34" s="12"/>
      <c r="E34" s="19"/>
      <c r="F34" s="74"/>
      <c r="G34" s="19"/>
      <c r="H34" s="110"/>
      <c r="I34" s="31">
        <f>SUM(I31:I32)</f>
        <v>0</v>
      </c>
      <c r="J34" s="488"/>
      <c r="K34" s="110"/>
      <c r="L34" s="31">
        <f>SUM(L31:L33)</f>
        <v>2.9</v>
      </c>
      <c r="M34" s="488"/>
      <c r="N34" s="110"/>
      <c r="O34" s="84">
        <f>SUM(O31:O32)</f>
        <v>0</v>
      </c>
      <c r="P34" s="488"/>
      <c r="Q34" s="110"/>
      <c r="R34" s="84">
        <f>SUM(R31:R32)</f>
        <v>0</v>
      </c>
      <c r="S34" s="488"/>
      <c r="T34" s="110"/>
      <c r="U34" s="84">
        <f>SUM(U31:U32)</f>
        <v>0</v>
      </c>
      <c r="V34" s="488"/>
      <c r="W34" s="110"/>
      <c r="X34" s="181">
        <f>SUM(X31:X33)</f>
        <v>2.9</v>
      </c>
    </row>
    <row r="35" spans="1:24" s="24" customFormat="1" ht="15.65" customHeight="1">
      <c r="A35" s="7">
        <f t="shared" si="3"/>
        <v>24</v>
      </c>
      <c r="C35" s="25" t="s">
        <v>49</v>
      </c>
      <c r="D35" s="25"/>
      <c r="E35" s="114"/>
      <c r="F35" s="115"/>
      <c r="G35" s="114"/>
      <c r="H35" s="117"/>
      <c r="I35" s="32">
        <f>SUM(I22,I27,I28,I29,I34)</f>
        <v>1009.8764023620183</v>
      </c>
      <c r="J35" s="106">
        <f>SUM(J22,J27,J26,J29,J34)</f>
        <v>0</v>
      </c>
      <c r="K35" s="106">
        <f>SUM(K22,K27,K26,K29,K34)</f>
        <v>0</v>
      </c>
      <c r="L35" s="32">
        <f>SUM(L22,L27,L28,L29,L34)</f>
        <v>879.47976425244451</v>
      </c>
      <c r="M35" s="106">
        <f>SUM(M22,M27,M26,M29,M34)</f>
        <v>0</v>
      </c>
      <c r="N35" s="106">
        <f>SUM(N22,N27,N26,N29,N34)</f>
        <v>0</v>
      </c>
      <c r="O35" s="32">
        <f>SUM(O22,O27,O28,O29,O34)</f>
        <v>124.96796791518496</v>
      </c>
      <c r="P35" s="106">
        <f>SUM(P22,P27,P26,P29,P34)</f>
        <v>0</v>
      </c>
      <c r="Q35" s="106">
        <f>SUM(Q22,Q27,Q26,Q29,Q34)</f>
        <v>0</v>
      </c>
      <c r="R35" s="32">
        <f>SUM(R22,R27,R28,R29,R34)</f>
        <v>194.99999999999997</v>
      </c>
      <c r="S35" s="106">
        <f>SUM(S22,S27,S26,S29,S34)</f>
        <v>0</v>
      </c>
      <c r="T35" s="106">
        <f>SUM(T22,T27,T26,T29,T34)</f>
        <v>0</v>
      </c>
      <c r="U35" s="32">
        <f>SUM(U22,U27,U28,U29,U34)</f>
        <v>79.606015818469302</v>
      </c>
      <c r="V35" s="106">
        <f>SUM(V22,V27,V26,V29,V34)</f>
        <v>0</v>
      </c>
      <c r="W35" s="106">
        <f>SUM(W22,W27,W26,W29,W34)</f>
        <v>0</v>
      </c>
      <c r="X35" s="32">
        <f>SUM(X22,X27,X28,X29,X34)</f>
        <v>2288.9301503481174</v>
      </c>
    </row>
  </sheetData>
  <phoneticPr fontId="14"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7"/>
  <sheetViews>
    <sheetView showGridLines="0" topLeftCell="A10" zoomScale="130" zoomScaleNormal="130" workbookViewId="0">
      <selection activeCell="K13" sqref="K13"/>
    </sheetView>
  </sheetViews>
  <sheetFormatPr defaultRowHeight="13"/>
  <cols>
    <col min="1" max="1" width="4.77734375" customWidth="1"/>
    <col min="2" max="2" width="1.77734375" customWidth="1"/>
    <col min="3" max="3" width="2.77734375" customWidth="1"/>
    <col min="4" max="4" width="27.6640625" customWidth="1"/>
    <col min="5" max="5" width="1.77734375" customWidth="1"/>
    <col min="6" max="6" width="9.33203125" customWidth="1"/>
    <col min="7" max="8" width="1.77734375" customWidth="1"/>
    <col min="9" max="9" width="10.33203125" customWidth="1"/>
    <col min="10" max="10" width="9.33203125" customWidth="1"/>
    <col min="11" max="11" width="10.77734375" customWidth="1"/>
    <col min="12" max="13" width="1.77734375" customWidth="1"/>
    <col min="14" max="15" width="12.77734375" customWidth="1"/>
    <col min="16" max="17" width="1.77734375" customWidth="1"/>
    <col min="18" max="18" width="13.109375" customWidth="1"/>
    <col min="19" max="19" width="11.33203125" customWidth="1"/>
    <col min="20" max="20" width="14" customWidth="1"/>
    <col min="21" max="21" width="11" customWidth="1"/>
    <col min="22" max="22" width="12.44140625" customWidth="1"/>
    <col min="23" max="23" width="11.10937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B-8</v>
      </c>
    </row>
    <row r="2" spans="1:23" s="3" customFormat="1">
      <c r="A2" s="5" t="str">
        <f>Application</f>
        <v>2021 ISO Tariff Update Application</v>
      </c>
      <c r="B2" s="5"/>
      <c r="C2" s="5"/>
      <c r="D2" s="5"/>
      <c r="E2" s="5"/>
      <c r="F2" s="5"/>
      <c r="G2" s="5"/>
      <c r="H2" s="5"/>
      <c r="I2" s="5"/>
      <c r="J2" s="5"/>
      <c r="K2" s="5"/>
      <c r="L2" s="5"/>
      <c r="M2" s="5"/>
      <c r="N2" s="5"/>
      <c r="O2" s="5"/>
      <c r="P2" s="5"/>
      <c r="Q2" s="5"/>
      <c r="R2" s="5"/>
      <c r="U2" s="4" t="str">
        <f>TableDate</f>
        <v>November 6, 2020</v>
      </c>
    </row>
    <row r="4" spans="1:23">
      <c r="A4" s="347" t="str">
        <f>TableGroup1</f>
        <v>Appendix B — 2021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10" spans="1:23" s="62" customFormat="1">
      <c r="F10" s="468" t="s">
        <v>447</v>
      </c>
      <c r="H10" s="153"/>
      <c r="I10" s="45" t="s">
        <v>147</v>
      </c>
      <c r="J10" s="45"/>
      <c r="K10" s="45"/>
      <c r="L10" s="154"/>
      <c r="M10" s="153"/>
      <c r="N10" s="45" t="s">
        <v>108</v>
      </c>
      <c r="O10" s="45"/>
      <c r="P10" s="154"/>
      <c r="Q10" s="153"/>
      <c r="R10" s="45" t="s">
        <v>109</v>
      </c>
      <c r="S10" s="45"/>
      <c r="T10" s="45"/>
      <c r="U10" s="45"/>
    </row>
    <row r="11" spans="1:23" s="47" customFormat="1" ht="12.75" customHeight="1">
      <c r="A11" s="46" t="s">
        <v>58</v>
      </c>
      <c r="C11" s="48" t="s">
        <v>1</v>
      </c>
      <c r="D11" s="48"/>
      <c r="F11" s="46" t="s">
        <v>120</v>
      </c>
      <c r="H11" s="99"/>
      <c r="I11" s="151" t="s">
        <v>117</v>
      </c>
      <c r="J11" s="173" t="s">
        <v>116</v>
      </c>
      <c r="K11" s="151" t="s">
        <v>121</v>
      </c>
      <c r="M11" s="99"/>
      <c r="N11" s="49" t="s">
        <v>113</v>
      </c>
      <c r="O11" s="49" t="s">
        <v>56</v>
      </c>
      <c r="Q11" s="99"/>
      <c r="R11" s="46" t="s">
        <v>117</v>
      </c>
      <c r="S11" s="46" t="s">
        <v>116</v>
      </c>
      <c r="T11" s="46" t="s">
        <v>121</v>
      </c>
      <c r="U11" s="46" t="s">
        <v>56</v>
      </c>
      <c r="V11" s="495"/>
      <c r="W11" s="2"/>
    </row>
    <row r="12" spans="1:23" ht="19" customHeight="1">
      <c r="A12" s="7">
        <v>1</v>
      </c>
      <c r="C12" s="2" t="s">
        <v>168</v>
      </c>
      <c r="D12" s="2"/>
      <c r="E12" s="18"/>
      <c r="F12" s="71"/>
      <c r="G12" s="18"/>
      <c r="H12" s="109"/>
      <c r="I12" s="39"/>
      <c r="J12" s="39"/>
      <c r="K12" s="39"/>
      <c r="L12" s="18"/>
      <c r="M12" s="109"/>
      <c r="N12" s="39"/>
      <c r="O12" s="155"/>
      <c r="P12" s="18"/>
      <c r="Q12" s="109"/>
      <c r="R12" s="135"/>
      <c r="S12" s="135"/>
      <c r="T12" s="135"/>
      <c r="U12" s="138"/>
      <c r="W12" s="426"/>
    </row>
    <row r="13" spans="1:23" s="22" customFormat="1">
      <c r="A13" s="21">
        <f t="shared" ref="A13:A32" si="0">A12+1</f>
        <v>2</v>
      </c>
      <c r="C13" t="s">
        <v>169</v>
      </c>
      <c r="E13" s="23"/>
      <c r="F13" s="72" t="s">
        <v>182</v>
      </c>
      <c r="G13" s="23"/>
      <c r="H13" s="112"/>
      <c r="I13" s="220">
        <f>'B-7 DTS Costs'!I14</f>
        <v>937.05359095492929</v>
      </c>
      <c r="J13" s="220">
        <f>SUM('B-7 DTS Costs'!I18:I21)</f>
        <v>72.822811407089006</v>
      </c>
      <c r="K13" s="220">
        <f>SUM(I13:J13)</f>
        <v>1009.8764023620183</v>
      </c>
      <c r="L13" s="23"/>
      <c r="M13" s="112"/>
      <c r="N13" s="79">
        <f>'B-12 Determinants'!F11</f>
        <v>91617.175437382641</v>
      </c>
      <c r="O13" s="134" t="str">
        <f>'B-12 Determinants'!G12</f>
        <v>MW-months</v>
      </c>
      <c r="P13" s="23"/>
      <c r="Q13" s="112"/>
      <c r="R13" s="136">
        <f>ROUND(I13*1000000/$N13,0)</f>
        <v>10228</v>
      </c>
      <c r="S13" s="136">
        <f>ROUND(J13*1000000/$N13,0)</f>
        <v>795</v>
      </c>
      <c r="T13" s="136">
        <f>ROUND(K13*1000000/N13,0)</f>
        <v>11023</v>
      </c>
      <c r="U13" s="137" t="s">
        <v>107</v>
      </c>
      <c r="W13" s="426"/>
    </row>
    <row r="14" spans="1:23" s="35" customFormat="1" ht="13.75" customHeight="1">
      <c r="A14" s="34">
        <f t="shared" si="0"/>
        <v>3</v>
      </c>
      <c r="C14" s="9" t="s">
        <v>114</v>
      </c>
      <c r="E14" s="141"/>
      <c r="F14" s="74" t="s">
        <v>182</v>
      </c>
      <c r="G14" s="141"/>
      <c r="H14" s="142"/>
      <c r="I14" s="143">
        <f>'B-7 DTS Costs'!O14</f>
        <v>65.718575704095656</v>
      </c>
      <c r="J14" s="143">
        <f>SUM('B-7 DTS Costs'!O18:O21)*I14/SUM(I14,I17)</f>
        <v>5.1072974807820239</v>
      </c>
      <c r="K14" s="143">
        <f>SUM(I14:J14)</f>
        <v>70.825873184877679</v>
      </c>
      <c r="L14" s="141"/>
      <c r="M14" s="142"/>
      <c r="N14" s="144">
        <f>'B-12 Determinants'!F18</f>
        <v>58398.900030000004</v>
      </c>
      <c r="O14" s="145" t="str">
        <f>'B-12 Determinants'!G18</f>
        <v>GWh</v>
      </c>
      <c r="P14" s="141"/>
      <c r="Q14" s="142"/>
      <c r="R14" s="475">
        <f>ROUND(I14*1000/$N14,2)</f>
        <v>1.1299999999999999</v>
      </c>
      <c r="S14" s="475">
        <f>ROUND(J14*1000/$N14,2)</f>
        <v>0.09</v>
      </c>
      <c r="T14" s="475">
        <f>ROUND(K14*1000/N14,2)</f>
        <v>1.21</v>
      </c>
      <c r="U14" s="137" t="s">
        <v>62</v>
      </c>
      <c r="W14" s="426"/>
    </row>
    <row r="15" spans="1:23" ht="13.75" customHeight="1">
      <c r="A15" s="7">
        <f t="shared" si="0"/>
        <v>4</v>
      </c>
      <c r="C15" s="2" t="s">
        <v>373</v>
      </c>
      <c r="D15" s="2"/>
      <c r="E15" s="18"/>
      <c r="F15" s="75"/>
      <c r="G15" s="18"/>
      <c r="H15" s="109"/>
      <c r="I15" s="39"/>
      <c r="J15" s="39"/>
      <c r="K15" s="39"/>
      <c r="L15" s="18"/>
      <c r="M15" s="109"/>
      <c r="N15" s="39"/>
      <c r="O15" s="155"/>
      <c r="P15" s="18"/>
      <c r="Q15" s="109"/>
      <c r="R15" s="135"/>
      <c r="S15" s="135"/>
      <c r="T15" s="135"/>
      <c r="U15" s="138"/>
      <c r="W15" s="426"/>
    </row>
    <row r="16" spans="1:23" s="22" customFormat="1">
      <c r="A16" s="21">
        <f t="shared" si="0"/>
        <v>5</v>
      </c>
      <c r="C16" t="s">
        <v>158</v>
      </c>
      <c r="E16" s="23"/>
      <c r="F16" s="72" t="s">
        <v>122</v>
      </c>
      <c r="G16" s="23"/>
      <c r="H16" s="112"/>
      <c r="I16" s="133">
        <f>'B-7 DTS Costs'!L15</f>
        <v>427.03507676501079</v>
      </c>
      <c r="J16" s="133">
        <f>SUM('B-7 DTS Costs'!L18:L21)*I16/SUM(I16,I20:I23)</f>
        <v>33.186890440043058</v>
      </c>
      <c r="K16" s="133">
        <f>SUM(I16:J16)</f>
        <v>460.22196720505383</v>
      </c>
      <c r="L16" s="23"/>
      <c r="M16" s="112"/>
      <c r="N16" s="79">
        <f>'B-12 Determinants'!F12</f>
        <v>159954.2432156</v>
      </c>
      <c r="O16" s="134" t="str">
        <f>'B-12 Determinants'!G17</f>
        <v>MW-months</v>
      </c>
      <c r="P16" s="23"/>
      <c r="Q16" s="112"/>
      <c r="R16" s="475">
        <f>ROUND(I16*1000000/$N16,0)</f>
        <v>2670</v>
      </c>
      <c r="S16" s="475">
        <f>ROUND(J16*1000000/$N16,0)</f>
        <v>207</v>
      </c>
      <c r="T16" s="475">
        <f>ROUND(K16*1000000/N16,0)</f>
        <v>2877</v>
      </c>
      <c r="U16" s="137" t="s">
        <v>107</v>
      </c>
      <c r="W16" s="426"/>
    </row>
    <row r="17" spans="1:25" s="35" customFormat="1" ht="19" customHeight="1">
      <c r="A17" s="34">
        <f t="shared" si="0"/>
        <v>6</v>
      </c>
      <c r="C17" s="9" t="s">
        <v>114</v>
      </c>
      <c r="E17" s="141"/>
      <c r="F17" s="74" t="s">
        <v>122</v>
      </c>
      <c r="G17" s="141"/>
      <c r="H17" s="142"/>
      <c r="I17" s="143">
        <f>'B-7 DTS Costs'!O15</f>
        <v>49.86671907046081</v>
      </c>
      <c r="J17" s="143">
        <f>SUM('B-7 DTS Costs'!O18:O21)*I17/SUM(I14,I17)</f>
        <v>3.8753756598464624</v>
      </c>
      <c r="K17" s="484">
        <f>SUM(I17:J17)</f>
        <v>53.742094730307272</v>
      </c>
      <c r="L17" s="141"/>
      <c r="M17" s="142"/>
      <c r="N17" s="144">
        <f>'B-12 Determinants'!F18</f>
        <v>58398.900030000004</v>
      </c>
      <c r="O17" s="145" t="str">
        <f>'B-12 Determinants'!G18</f>
        <v>GWh</v>
      </c>
      <c r="P17" s="141"/>
      <c r="Q17" s="142"/>
      <c r="R17" s="475">
        <f>ROUND(I17*1000/$N17,2)</f>
        <v>0.85</v>
      </c>
      <c r="S17" s="475">
        <f>ROUND(J17*1000/$N17,2)</f>
        <v>7.0000000000000007E-2</v>
      </c>
      <c r="T17" s="475">
        <f>ROUND(K17*1000/N17,2)</f>
        <v>0.92</v>
      </c>
      <c r="U17" s="137" t="s">
        <v>62</v>
      </c>
    </row>
    <row r="18" spans="1:25" ht="19" customHeight="1">
      <c r="A18" s="7">
        <f t="shared" si="0"/>
        <v>7</v>
      </c>
      <c r="C18" s="2" t="s">
        <v>192</v>
      </c>
      <c r="D18" s="2"/>
      <c r="E18" s="18"/>
      <c r="F18" s="75"/>
      <c r="G18" s="18"/>
      <c r="H18" s="109"/>
      <c r="I18" s="140"/>
      <c r="J18" s="140"/>
      <c r="K18" s="140"/>
      <c r="L18" s="18"/>
      <c r="M18" s="109"/>
      <c r="N18" s="39"/>
      <c r="O18" s="155"/>
      <c r="P18" s="18"/>
      <c r="Q18" s="109"/>
      <c r="R18" s="474"/>
      <c r="S18" s="474"/>
      <c r="T18" s="485"/>
      <c r="U18" s="138"/>
      <c r="V18" s="495" t="s">
        <v>406</v>
      </c>
      <c r="W18" s="2"/>
    </row>
    <row r="19" spans="1:25" s="35" customFormat="1" ht="13.75" customHeight="1">
      <c r="A19" s="34">
        <f>A18+1</f>
        <v>8</v>
      </c>
      <c r="C19" s="9" t="s">
        <v>197</v>
      </c>
      <c r="E19" s="141"/>
      <c r="F19" s="74" t="s">
        <v>123</v>
      </c>
      <c r="G19" s="141"/>
      <c r="H19" s="142"/>
      <c r="I19" s="143">
        <f>('B-7 DTS Costs'!X16-'B-7 DTS Costs'!O16)*'B-6 POD Classification'!I19</f>
        <v>73.865576826866828</v>
      </c>
      <c r="J19" s="143">
        <f>SUM('B-7 DTS Costs'!U18:U21)</f>
        <v>5.7404389916024519</v>
      </c>
      <c r="K19" s="143">
        <f>SUM(I19:J19)</f>
        <v>79.606015818469274</v>
      </c>
      <c r="L19" s="141"/>
      <c r="M19" s="142"/>
      <c r="N19" s="35">
        <f>'B-12 Determinants'!F19</f>
        <v>5387.0289699999985</v>
      </c>
      <c r="O19" s="156" t="str">
        <f>'B-12 Determinants'!G19</f>
        <v>customer-months</v>
      </c>
      <c r="P19" s="18"/>
      <c r="Q19" s="109"/>
      <c r="R19" s="494">
        <f>ROUND(I19*1000000/$N19,0)</f>
        <v>13712</v>
      </c>
      <c r="S19" s="475">
        <f>ROUND(J19*1000000/$N19,0)</f>
        <v>1066</v>
      </c>
      <c r="T19" s="475">
        <f>ROUND(K19*1000000/N19,0)</f>
        <v>14777</v>
      </c>
      <c r="U19" s="137" t="s">
        <v>112</v>
      </c>
      <c r="V19" s="494">
        <f>MROUND(0.79*T19,1)</f>
        <v>11674</v>
      </c>
      <c r="W19" s="260"/>
    </row>
    <row r="20" spans="1:25" s="22" customFormat="1">
      <c r="A20" s="21">
        <f>A19+1</f>
        <v>9</v>
      </c>
      <c r="C20" t="s">
        <v>193</v>
      </c>
      <c r="E20" s="23"/>
      <c r="F20" s="72" t="s">
        <v>123</v>
      </c>
      <c r="G20" s="23"/>
      <c r="H20" s="112"/>
      <c r="I20" s="133">
        <f>('B-7 DTS Costs'!X16-'B-7 DTS Costs'!O16)*'B-6 POD Classification'!L19</f>
        <v>165.86429667910139</v>
      </c>
      <c r="J20" s="133">
        <f>SUM('B-7 DTS Costs'!L18:L21)*I20/SUM(I16,I20:I23)</f>
        <v>12.890089225230476</v>
      </c>
      <c r="K20" s="133">
        <f>SUM(I20:J20)</f>
        <v>178.75438590433185</v>
      </c>
      <c r="L20" s="23"/>
      <c r="M20" s="112"/>
      <c r="N20" s="22">
        <f>'B-12 Determinants'!F13</f>
        <v>36754.783780600003</v>
      </c>
      <c r="O20" s="63" t="str">
        <f>'B-12 Determinants'!G13</f>
        <v>MW-months</v>
      </c>
      <c r="P20" s="23"/>
      <c r="Q20" s="112"/>
      <c r="R20" s="475">
        <f t="shared" ref="R20:S23" si="1">ROUND(I20*1000000/$N20,0)</f>
        <v>4513</v>
      </c>
      <c r="S20" s="475">
        <f t="shared" si="1"/>
        <v>351</v>
      </c>
      <c r="T20" s="475">
        <f>ROUND(K20*1000000/N20,0)</f>
        <v>4863</v>
      </c>
      <c r="U20" s="139" t="s">
        <v>107</v>
      </c>
      <c r="V20" s="494">
        <f>MROUND(0.79*T20,1)</f>
        <v>3842</v>
      </c>
      <c r="W20" s="260"/>
      <c r="X20" s="35"/>
      <c r="Y20" s="35"/>
    </row>
    <row r="21" spans="1:25" s="22" customFormat="1">
      <c r="A21" s="21">
        <f t="shared" si="0"/>
        <v>10</v>
      </c>
      <c r="C21" s="9" t="s">
        <v>194</v>
      </c>
      <c r="E21" s="23"/>
      <c r="F21" s="72" t="s">
        <v>123</v>
      </c>
      <c r="G21" s="23"/>
      <c r="H21" s="112"/>
      <c r="I21" s="133">
        <f>('B-7 DTS Costs'!X16-'B-7 DTS Costs'!O16)*'B-6 POD Classification'!N19</f>
        <v>92.754450049346659</v>
      </c>
      <c r="J21" s="133">
        <f>SUM('B-7 DTS Costs'!L18:L21)*I21/SUM(I16,I20:I23)</f>
        <v>7.2083815571618857</v>
      </c>
      <c r="K21" s="133">
        <f>SUM(I21:J21)</f>
        <v>99.962831606508544</v>
      </c>
      <c r="L21" s="23"/>
      <c r="M21" s="112"/>
      <c r="N21" s="22">
        <f>'B-12 Determinants'!F14</f>
        <v>34657.949192999986</v>
      </c>
      <c r="O21" s="63" t="str">
        <f>'B-12 Determinants'!G14</f>
        <v>MW-months</v>
      </c>
      <c r="P21" s="23"/>
      <c r="Q21" s="112"/>
      <c r="R21" s="475">
        <f t="shared" si="1"/>
        <v>2676</v>
      </c>
      <c r="S21" s="475">
        <f t="shared" si="1"/>
        <v>208</v>
      </c>
      <c r="T21" s="475">
        <f>ROUND(K21*1000000/N21,0)</f>
        <v>2884</v>
      </c>
      <c r="U21" s="139" t="s">
        <v>107</v>
      </c>
      <c r="V21" s="494">
        <f>MROUND(0.79*T21,1)</f>
        <v>2278</v>
      </c>
      <c r="W21" s="260"/>
      <c r="X21" s="35"/>
      <c r="Y21" s="35"/>
    </row>
    <row r="22" spans="1:25" s="22" customFormat="1">
      <c r="A22" s="21">
        <f t="shared" si="0"/>
        <v>11</v>
      </c>
      <c r="C22" s="9" t="s">
        <v>195</v>
      </c>
      <c r="E22" s="23"/>
      <c r="F22" s="72" t="s">
        <v>123</v>
      </c>
      <c r="G22" s="23"/>
      <c r="H22" s="112"/>
      <c r="I22" s="133">
        <f>('B-7 DTS Costs'!X16-'B-7 DTS Costs'!O16)*'B-6 POD Classification'!P19</f>
        <v>78.192223238523141</v>
      </c>
      <c r="J22" s="133">
        <f>SUM('B-7 DTS Costs'!L18:L21)*I22/SUM(I16,I20:I23)</f>
        <v>6.0766828934481438</v>
      </c>
      <c r="K22" s="133">
        <f>SUM(I22:J22)</f>
        <v>84.268906131971278</v>
      </c>
      <c r="L22" s="23"/>
      <c r="M22" s="112"/>
      <c r="N22" s="22">
        <f>'B-12 Determinants'!F15</f>
        <v>43642.496507200012</v>
      </c>
      <c r="O22" s="63" t="str">
        <f>'B-12 Determinants'!G15</f>
        <v>MW-months</v>
      </c>
      <c r="P22" s="23"/>
      <c r="Q22" s="112"/>
      <c r="R22" s="475">
        <f t="shared" si="1"/>
        <v>1792</v>
      </c>
      <c r="S22" s="475">
        <f t="shared" si="1"/>
        <v>139</v>
      </c>
      <c r="T22" s="475">
        <f>ROUND(K22*1000000/N22,0)</f>
        <v>1931</v>
      </c>
      <c r="U22" s="139" t="s">
        <v>107</v>
      </c>
      <c r="V22" s="494">
        <f>MROUND(0.79*T22,1)</f>
        <v>1525</v>
      </c>
      <c r="W22" s="260"/>
      <c r="X22" s="35"/>
      <c r="Y22" s="35"/>
    </row>
    <row r="23" spans="1:25" s="22" customFormat="1">
      <c r="A23" s="21">
        <f t="shared" si="0"/>
        <v>12</v>
      </c>
      <c r="C23" s="9" t="s">
        <v>196</v>
      </c>
      <c r="E23" s="23"/>
      <c r="F23" s="72" t="s">
        <v>123</v>
      </c>
      <c r="G23" s="23"/>
      <c r="H23" s="112"/>
      <c r="I23" s="133">
        <f>('B-7 DTS Costs'!X16-'B-7 DTS Costs'!O16)*'B-6 POD Classification'!R19</f>
        <v>49.523009055425163</v>
      </c>
      <c r="J23" s="133">
        <f>SUM('B-7 DTS Costs'!L18:L21)*I23/SUM(I16,I20:I23)</f>
        <v>3.8486643491538044</v>
      </c>
      <c r="K23" s="133">
        <f>SUM(I23:J23)</f>
        <v>53.371673404578971</v>
      </c>
      <c r="L23" s="23"/>
      <c r="M23" s="112"/>
      <c r="N23" s="22">
        <f>'B-12 Determinants'!F16</f>
        <v>44899.013734799999</v>
      </c>
      <c r="O23" s="63" t="str">
        <f>'B-12 Determinants'!G16</f>
        <v>MW-months</v>
      </c>
      <c r="P23" s="23"/>
      <c r="Q23" s="112"/>
      <c r="R23" s="475">
        <f t="shared" si="1"/>
        <v>1103</v>
      </c>
      <c r="S23" s="475">
        <f t="shared" si="1"/>
        <v>86</v>
      </c>
      <c r="T23" s="475">
        <f>ROUND(K23*1000000/N23,0)</f>
        <v>1189</v>
      </c>
      <c r="U23" s="139" t="s">
        <v>107</v>
      </c>
      <c r="V23" s="494">
        <f>T23</f>
        <v>1189</v>
      </c>
      <c r="W23" s="260"/>
      <c r="X23" s="35"/>
      <c r="Y23" s="35"/>
    </row>
    <row r="24" spans="1:25" ht="19" customHeight="1">
      <c r="A24" s="7">
        <f>A23+1</f>
        <v>13</v>
      </c>
      <c r="C24" s="2" t="s">
        <v>46</v>
      </c>
      <c r="D24" s="2"/>
      <c r="E24" s="18"/>
      <c r="F24" s="75"/>
      <c r="G24" s="18"/>
      <c r="H24" s="109"/>
      <c r="I24" s="80"/>
      <c r="J24" s="80"/>
      <c r="K24" s="80"/>
      <c r="L24" s="18"/>
      <c r="M24" s="109"/>
      <c r="N24" s="39"/>
      <c r="O24" s="155"/>
      <c r="P24" s="18"/>
      <c r="Q24" s="109"/>
      <c r="R24" s="135"/>
      <c r="S24" s="135"/>
      <c r="T24" s="135"/>
      <c r="U24" s="138"/>
    </row>
    <row r="25" spans="1:25" s="9" customFormat="1" ht="19" customHeight="1">
      <c r="A25" s="8">
        <f t="shared" si="0"/>
        <v>14</v>
      </c>
      <c r="C25" s="9" t="s">
        <v>399</v>
      </c>
      <c r="E25" s="146"/>
      <c r="F25" s="469" t="s">
        <v>183</v>
      </c>
      <c r="G25" s="490"/>
      <c r="H25" s="147"/>
      <c r="I25" s="148">
        <f>'B-7 DTS Costs'!R27</f>
        <v>194.89999999999998</v>
      </c>
      <c r="J25" s="148">
        <v>0</v>
      </c>
      <c r="K25" s="148">
        <f>SUM(I25:J25)</f>
        <v>194.89999999999998</v>
      </c>
      <c r="L25" s="146"/>
      <c r="M25" s="147"/>
      <c r="N25" s="149">
        <f>'B-12 Determinants'!F18</f>
        <v>58398.900030000004</v>
      </c>
      <c r="O25" s="156" t="str">
        <f>'B-12 Determinants'!G18</f>
        <v>GWh</v>
      </c>
      <c r="P25" s="146"/>
      <c r="Q25" s="147"/>
      <c r="R25" s="171">
        <f>ROUND(I25*1000/(N25*'B-12 Determinants'!$F20),4)</f>
        <v>6.1899999999999997E-2</v>
      </c>
      <c r="S25" s="171">
        <f>ROUND(J25*1000/('B-12 Determinants'!$F18*'B-12 Determinants'!$F20),4)</f>
        <v>0</v>
      </c>
      <c r="T25" s="171">
        <f>ROUND(K25*1000/('B-12 Determinants'!F18*'B-12 Determinants'!F20),4)</f>
        <v>6.1899999999999997E-2</v>
      </c>
      <c r="U25" s="172" t="s">
        <v>148</v>
      </c>
    </row>
    <row r="26" spans="1:25" s="9" customFormat="1" ht="19" customHeight="1">
      <c r="A26" s="8">
        <f t="shared" si="0"/>
        <v>15</v>
      </c>
      <c r="C26" s="12" t="s">
        <v>454</v>
      </c>
      <c r="E26" s="146"/>
      <c r="F26" s="469"/>
      <c r="G26" s="573"/>
      <c r="H26" s="147"/>
      <c r="I26" s="148"/>
      <c r="J26" s="148"/>
      <c r="K26" s="148"/>
      <c r="L26" s="146"/>
      <c r="M26" s="147"/>
      <c r="N26" s="149"/>
      <c r="O26" s="156"/>
      <c r="P26" s="146"/>
      <c r="Q26" s="147"/>
      <c r="R26" s="466"/>
      <c r="S26" s="466"/>
      <c r="T26" s="466"/>
      <c r="U26" s="172"/>
    </row>
    <row r="27" spans="1:25" s="9" customFormat="1" ht="19" customHeight="1">
      <c r="A27" s="8">
        <f t="shared" si="0"/>
        <v>16</v>
      </c>
      <c r="C27" s="9" t="s">
        <v>115</v>
      </c>
      <c r="E27" s="146"/>
      <c r="F27" s="469" t="s">
        <v>397</v>
      </c>
      <c r="G27" s="573"/>
      <c r="H27" s="147"/>
      <c r="I27" s="148">
        <f>'B-7 DTS Costs'!R28</f>
        <v>0.1</v>
      </c>
      <c r="J27" s="148">
        <v>0</v>
      </c>
      <c r="K27" s="148">
        <f>SUM(I27:J27)</f>
        <v>0.1</v>
      </c>
      <c r="L27" s="146"/>
      <c r="M27" s="147"/>
      <c r="N27" s="149">
        <f>'B-12 Determinants'!F18</f>
        <v>58398.900030000004</v>
      </c>
      <c r="O27" s="156" t="str">
        <f>'B-12 Determinants'!G18</f>
        <v>GWh</v>
      </c>
      <c r="P27" s="146"/>
      <c r="Q27" s="147"/>
      <c r="R27" s="601">
        <f>ROUND(I27*1000/$N27,3)</f>
        <v>2E-3</v>
      </c>
      <c r="S27" s="475">
        <f>ROUND(J27*1000/$N27,2)</f>
        <v>0</v>
      </c>
      <c r="T27" s="601">
        <f>ROUND(K27*1000/N27,3)</f>
        <v>2E-3</v>
      </c>
      <c r="U27" s="137" t="s">
        <v>62</v>
      </c>
    </row>
    <row r="28" spans="1:25" s="24" customFormat="1" ht="19" customHeight="1">
      <c r="A28" s="8">
        <f t="shared" si="0"/>
        <v>17</v>
      </c>
      <c r="C28" s="25" t="s">
        <v>118</v>
      </c>
      <c r="D28" s="25"/>
      <c r="E28" s="491"/>
      <c r="F28" s="483"/>
      <c r="G28" s="491"/>
      <c r="H28" s="492"/>
      <c r="I28" s="140"/>
      <c r="J28" s="140"/>
      <c r="K28" s="140"/>
      <c r="L28" s="491"/>
      <c r="M28" s="492"/>
      <c r="N28" s="39"/>
      <c r="O28" s="155"/>
      <c r="P28" s="491"/>
      <c r="Q28" s="492"/>
      <c r="R28" s="135"/>
      <c r="S28" s="475"/>
      <c r="T28" s="475"/>
      <c r="U28" s="138"/>
    </row>
    <row r="29" spans="1:25" s="35" customFormat="1" ht="19" customHeight="1">
      <c r="A29" s="8">
        <f t="shared" si="0"/>
        <v>18</v>
      </c>
      <c r="C29" s="9" t="s">
        <v>114</v>
      </c>
      <c r="E29" s="141"/>
      <c r="F29" s="469" t="s">
        <v>101</v>
      </c>
      <c r="G29" s="141"/>
      <c r="H29" s="142"/>
      <c r="I29" s="143">
        <f>'B-7 DTS Costs'!O29</f>
        <v>0.4</v>
      </c>
      <c r="J29" s="143">
        <v>0</v>
      </c>
      <c r="K29" s="143">
        <f>SUM(I29:J29)</f>
        <v>0.4</v>
      </c>
      <c r="L29" s="141"/>
      <c r="M29" s="142"/>
      <c r="N29" s="144">
        <f>'B-12 Determinants'!F18</f>
        <v>58398.900030000004</v>
      </c>
      <c r="O29" s="145" t="str">
        <f>'B-12 Determinants'!G18</f>
        <v>GWh</v>
      </c>
      <c r="P29" s="141"/>
      <c r="Q29" s="142"/>
      <c r="R29" s="475">
        <f>ROUND(I29*1000/$N29,2)</f>
        <v>0.01</v>
      </c>
      <c r="S29" s="475">
        <f>ROUND(J29*1000/$N29,2)</f>
        <v>0</v>
      </c>
      <c r="T29" s="475">
        <f>ROUND(K29*1000/N29,2)</f>
        <v>0.01</v>
      </c>
      <c r="U29" s="137" t="s">
        <v>62</v>
      </c>
    </row>
    <row r="30" spans="1:25" s="24" customFormat="1" ht="19" customHeight="1">
      <c r="A30" s="7">
        <f t="shared" si="0"/>
        <v>19</v>
      </c>
      <c r="C30" s="25" t="s">
        <v>47</v>
      </c>
      <c r="D30" s="25"/>
      <c r="E30" s="491"/>
      <c r="F30" s="75"/>
      <c r="G30" s="491"/>
      <c r="H30" s="492"/>
      <c r="I30" s="80"/>
      <c r="J30" s="80"/>
      <c r="K30" s="80"/>
      <c r="L30" s="491"/>
      <c r="M30" s="492"/>
      <c r="N30" s="39"/>
      <c r="O30" s="155"/>
      <c r="P30" s="491"/>
      <c r="Q30" s="492"/>
      <c r="R30" s="474"/>
      <c r="S30" s="474"/>
      <c r="T30" s="474"/>
      <c r="U30" s="138"/>
    </row>
    <row r="31" spans="1:25" s="35" customFormat="1" ht="19" customHeight="1">
      <c r="A31" s="8">
        <f t="shared" si="0"/>
        <v>20</v>
      </c>
      <c r="C31" s="9" t="s">
        <v>159</v>
      </c>
      <c r="E31" s="141"/>
      <c r="F31" s="469" t="s">
        <v>446</v>
      </c>
      <c r="G31" s="141"/>
      <c r="H31" s="142"/>
      <c r="I31" s="143">
        <f>'B-7 DTS Costs'!L34</f>
        <v>2.9</v>
      </c>
      <c r="J31" s="143">
        <v>0</v>
      </c>
      <c r="K31" s="143">
        <f>SUM(I31:J31)</f>
        <v>2.9</v>
      </c>
      <c r="L31" s="141"/>
      <c r="M31" s="142"/>
      <c r="N31" s="144">
        <f>'B-12 Determinants'!F17</f>
        <v>117932.02213583802</v>
      </c>
      <c r="O31" s="145" t="str">
        <f>'B-12 Determinants'!G13</f>
        <v>MW-months</v>
      </c>
      <c r="P31" s="141"/>
      <c r="Q31" s="142"/>
      <c r="R31" s="475">
        <f>ROUND(I31*1000000/$N31,0)</f>
        <v>25</v>
      </c>
      <c r="S31" s="475">
        <f>ROUND(J31*1000000/$N31,0)</f>
        <v>0</v>
      </c>
      <c r="T31" s="475">
        <f>ROUND(K31*1000000/N31,0)</f>
        <v>25</v>
      </c>
      <c r="U31" s="137" t="s">
        <v>107</v>
      </c>
    </row>
    <row r="32" spans="1:25" s="24" customFormat="1" ht="19.399999999999999" customHeight="1">
      <c r="A32" s="7">
        <f t="shared" si="0"/>
        <v>21</v>
      </c>
      <c r="C32" s="25" t="s">
        <v>119</v>
      </c>
      <c r="D32" s="25"/>
      <c r="E32" s="114"/>
      <c r="F32" s="115"/>
      <c r="G32" s="114"/>
      <c r="H32" s="117"/>
      <c r="I32" s="32">
        <f>SUM(I12:I31)</f>
        <v>2138.1735183437595</v>
      </c>
      <c r="J32" s="32">
        <f>SUM(J12:J31)</f>
        <v>150.75663200435733</v>
      </c>
      <c r="K32" s="32">
        <f>SUM(K12:K31)</f>
        <v>2288.9301503481174</v>
      </c>
      <c r="L32" s="28"/>
      <c r="M32" s="117"/>
      <c r="N32" s="106"/>
      <c r="O32" s="157"/>
      <c r="P32" s="114"/>
      <c r="Q32" s="117"/>
      <c r="R32" s="106"/>
      <c r="S32" s="106"/>
      <c r="T32" s="106"/>
      <c r="U32" s="157"/>
    </row>
    <row r="33" spans="1:21" s="24" customFormat="1" ht="12.75" customHeight="1">
      <c r="A33" s="7"/>
      <c r="C33" s="25"/>
      <c r="D33" s="25"/>
      <c r="E33" s="114"/>
      <c r="F33" s="115"/>
      <c r="G33" s="114"/>
      <c r="H33" s="119"/>
      <c r="I33" s="106"/>
      <c r="J33" s="106"/>
      <c r="K33" s="106"/>
      <c r="L33" s="28"/>
      <c r="M33" s="119"/>
      <c r="N33" s="106"/>
      <c r="O33" s="106"/>
      <c r="P33" s="28"/>
      <c r="Q33" s="119"/>
      <c r="R33" s="106"/>
      <c r="S33" s="106"/>
      <c r="T33" s="106"/>
      <c r="U33" s="106"/>
    </row>
    <row r="34" spans="1:21">
      <c r="A34" s="55" t="s">
        <v>52</v>
      </c>
      <c r="C34" s="166" t="s">
        <v>139</v>
      </c>
      <c r="D34" t="s">
        <v>401</v>
      </c>
      <c r="F34" s="56"/>
      <c r="I34" s="56"/>
      <c r="J34" s="56"/>
      <c r="K34" s="56"/>
      <c r="N34" s="56"/>
      <c r="O34" s="56"/>
      <c r="U34" s="56"/>
    </row>
    <row r="35" spans="1:21">
      <c r="D35" t="s">
        <v>352</v>
      </c>
    </row>
    <row r="36" spans="1:21">
      <c r="C36" s="166" t="s">
        <v>138</v>
      </c>
      <c r="D36" t="str">
        <f>"The 2020 ISO Tariff pool price is the 2020 BRP forecast pool price for 2020, "&amp;DOLLAR('B-12 Determinants'!$J$20,2)&amp;"/MWh"</f>
        <v>The 2020 ISO Tariff pool price is the 2020 BRP forecast pool price for 2020, $53.93/MWh</v>
      </c>
    </row>
    <row r="37" spans="1:21">
      <c r="C37" s="487"/>
    </row>
  </sheetData>
  <phoneticPr fontId="14"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3371fdb-7bec-4d52-adeb-1166efac0023" ContentTypeId="0x010100BC84ACA119491D43B8AEA0C41A758E3B0B05" PreviousValue="false"/>
</file>

<file path=customXml/item2.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34" ma:contentTypeDescription="" ma:contentTypeScope="" ma:versionID="fe369dc823812f56a11bc5fdb01a40ec">
  <xsd:schema xmlns:xsd="http://www.w3.org/2001/XMLSchema" xmlns:xs="http://www.w3.org/2001/XMLSchema" xmlns:p="http://schemas.microsoft.com/office/2006/metadata/properties" xmlns:ns2="bfc2574c-8110-4e43-9784-1ee86de75c6c" xmlns:ns4="650fffc6-a86a-4844-afad-966e4497fd3d" xmlns:ns5="http://schemas.microsoft.com/sharepoint/v3/fields" targetNamespace="http://schemas.microsoft.com/office/2006/metadata/properties" ma:root="true" ma:fieldsID="072c68549c5973e85f1d339c08149511" ns2:_="" ns4:_="" ns5:_="">
    <xsd:import namespace="bfc2574c-8110-4e43-9784-1ee86de75c6c"/>
    <xsd:import namespace="650fffc6-a86a-4844-afad-966e4497fd3d"/>
    <xsd:import namespace="http://schemas.microsoft.com/sharepoint/v3/fields"/>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LARA_x0020_Status xmlns="bfc2574c-8110-4e43-9784-1ee86de75c6c">Active</LARA_x0020_Status>
    <CWRMItemUniqueId xmlns="650fffc6-a86a-4844-afad-966e4497fd3d">000000K2AI</CWRMItemUniqueId>
    <CWRMItemRecordState xmlns="650fffc6-a86a-4844-afad-966e4497fd3d" xsi:nil="true"/>
    <CWRMItemRecordDeclaredDate xmlns="650fffc6-a86a-4844-afad-966e4497fd3d" xsi:nil="true"/>
    <_dlc_DocId xmlns="bfc2574c-8110-4e43-9784-1ee86de75c6c">FEM4CCJ4VYUQ-682840431-46727</_dlc_DocId>
    <TaxCatchAll xmlns="bfc2574c-8110-4e43-9784-1ee86de75c6c">
      <Value>1566</Value>
      <Value>1321</Value>
      <Value>1271</Value>
      <Value>1913</Value>
      <Value>1341</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 xsi:nil="true"/>
    <CWRMItemRecordStatus xmlns="650fffc6-a86a-4844-afad-966e4497fd3d" xsi:nil="true"/>
    <CWRMItemRecordData xmlns="650fffc6-a86a-4844-afad-966e4497fd3d" xsi:nil="true"/>
    <Activity_x0020_Complete_x0020_Date xmlns="bfc2574c-8110-4e43-9784-1ee86de75c6c" xsi:nil="true"/>
    <_dlc_DocIdUrl xmlns="bfc2574c-8110-4e43-9784-1ee86de75c6c">
      <Url>https://share.aeso.ca/sites/records-law/LARA/_layouts/15/DocIdRedir.aspx?ID=FEM4CCJ4VYUQ-682840431-46727</Url>
      <Description>FEM4CCJ4VYUQ-682840431-46727</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ecision_x0020_Date xmlns="bfc2574c-8110-4e43-9784-1ee86de75c6c" xsi:nil="true"/>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26054</TermName>
          <TermId xmlns="http://schemas.microsoft.com/office/infopath/2007/PartnerControls">7be2990e-2639-417e-bc71-cbe3c65e57fb</TermId>
        </TermInfo>
      </Terms>
    </beb34789e8634c32b66cd7ef0d677d2a>
    <LARA_x0020_Proceeding_x0020_Status xmlns="bfc2574c-8110-4e43-9784-1ee86de75c6c" xsi:nil="true"/>
    <Participation xmlns="bfc2574c-8110-4e43-9784-1ee86de75c6c">Applicant</Participation>
    <Hearing_x003f_ xmlns="bfc2574c-8110-4e43-9784-1ee86de75c6c">false</Hearing_x003f_>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Grid_x0020_Project_x0020_Number xmlns="bfc2574c-8110-4e43-9784-1ee86de75c6c" xsi:nil="true"/>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b6072d8c15734d5f9401c2079b003642 xmlns="bfc2574c-8110-4e43-9784-1ee86de75c6c">
      <Terms xmlns="http://schemas.microsoft.com/office/infopath/2007/PartnerControls"/>
    </b6072d8c15734d5f9401c2079b003642>
    <gb6d6d2bd2b74ae2b9d7dbcbd37e8fb3 xmlns="bfc2574c-8110-4e43-9784-1ee86de75c6c">
      <Terms xmlns="http://schemas.microsoft.com/office/infopath/2007/PartnerControls"/>
    </gb6d6d2bd2b74ae2b9d7dbcbd37e8fb3>
    <a563630371364660aa7374394db326fc xmlns="bfc2574c-8110-4e43-9784-1ee86de75c6c">
      <Terms xmlns="http://schemas.microsoft.com/office/infopath/2007/PartnerControls"/>
    </a563630371364660aa7374394db326fc>
  </documentManagement>
</p:properties>
</file>

<file path=customXml/itemProps1.xml><?xml version="1.0" encoding="utf-8"?>
<ds:datastoreItem xmlns:ds="http://schemas.openxmlformats.org/officeDocument/2006/customXml" ds:itemID="{AF7DAD60-4FE0-4346-84A2-C31EC10F6D88}"/>
</file>

<file path=customXml/itemProps2.xml><?xml version="1.0" encoding="utf-8"?>
<ds:datastoreItem xmlns:ds="http://schemas.openxmlformats.org/officeDocument/2006/customXml" ds:itemID="{2EBD8B94-3FF9-4A66-85EF-8E296D5CA151}"/>
</file>

<file path=customXml/itemProps3.xml><?xml version="1.0" encoding="utf-8"?>
<ds:datastoreItem xmlns:ds="http://schemas.openxmlformats.org/officeDocument/2006/customXml" ds:itemID="{5A9DCA27-2607-49D8-99AC-BBCF0699EDFF}"/>
</file>

<file path=customXml/itemProps4.xml><?xml version="1.0" encoding="utf-8"?>
<ds:datastoreItem xmlns:ds="http://schemas.openxmlformats.org/officeDocument/2006/customXml" ds:itemID="{52F895D9-BA26-4B2B-9778-77396D366692}"/>
</file>

<file path=customXml/itemProps5.xml><?xml version="1.0" encoding="utf-8"?>
<ds:datastoreItem xmlns:ds="http://schemas.openxmlformats.org/officeDocument/2006/customXml" ds:itemID="{E1019B22-F326-41F9-BB62-A94349DF8992}"/>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B-1 Rev Req</vt:lpstr>
      <vt:lpstr>B-2 TFO Rev Req</vt:lpstr>
      <vt:lpstr>B-3 Allocation</vt:lpstr>
      <vt:lpstr>B-4 Offsets</vt:lpstr>
      <vt:lpstr>B-5 DTS Classification</vt:lpstr>
      <vt:lpstr>B-6 POD Classification</vt:lpstr>
      <vt:lpstr>B-7 DTS Costs</vt:lpstr>
      <vt:lpstr>B-8 DTS Rate</vt:lpstr>
      <vt:lpstr>B-9 STS Classification</vt:lpstr>
      <vt:lpstr>B-10 STS Rate</vt:lpstr>
      <vt:lpstr>B-11 Other Rates</vt:lpstr>
      <vt:lpstr>B-12 Determinants</vt:lpstr>
      <vt:lpstr>B-13 Impact</vt:lpstr>
      <vt:lpstr>B-14 FTS Rate</vt:lpstr>
      <vt:lpstr>B-15 FTS Determinants</vt:lpstr>
      <vt:lpstr>B-16 Bill Estimator</vt:lpstr>
      <vt:lpstr>'B-1 Rev Req'!Print_Area</vt:lpstr>
      <vt:lpstr>'B-10 STS Rate'!Print_Area</vt:lpstr>
      <vt:lpstr>'B-11 Other Rates'!Print_Area</vt:lpstr>
      <vt:lpstr>'B-12 Determinants'!Print_Area</vt:lpstr>
      <vt:lpstr>'B-13 Impact'!Print_Area</vt:lpstr>
      <vt:lpstr>'B-14 FTS Rate'!Print_Area</vt:lpstr>
      <vt:lpstr>'B-15 FTS Determinants'!Print_Area</vt:lpstr>
      <vt:lpstr>'B-16 Bill Estimator'!Print_Area</vt:lpstr>
      <vt:lpstr>'B-2 TFO Rev Req'!Print_Area</vt:lpstr>
      <vt:lpstr>'B-3 Allocation'!Print_Area</vt:lpstr>
      <vt:lpstr>'B-4 Offsets'!Print_Area</vt:lpstr>
      <vt:lpstr>'B-5 DTS Classification'!Print_Area</vt:lpstr>
      <vt:lpstr>'B-6 POD Classification'!Print_Area</vt:lpstr>
      <vt:lpstr>'B-7 DTS Costs'!Print_Area</vt:lpstr>
      <vt:lpstr>'B-8 DTS Rate'!Print_Area</vt:lpstr>
      <vt:lpstr>'B-9 STS Classification'!Print_Area</vt:lpstr>
      <vt:lpstr>Contents!Print_Area</vt:lpstr>
      <vt:lpstr>'B-1 Rev Req'!Print_Titles</vt:lpstr>
      <vt:lpstr>'B-16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2020-11-06T00:32:34Z</dcterms:created>
  <dcterms:modified xsi:type="dcterms:W3CDTF">2020-11-06T00:32:47Z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Description">
    <vt:lpwstr>AESO 2018 ISO Tariff Update - Appendix C - 2018 Rate Calculations</vt:lpwstr>
  </property>
  <property fmtid="{D5CDD505-2E9C-101B-9397-08002B2CF9AE}" pid="3" name="DocumentTypeTemp">
    <vt:lpwstr>Appendix</vt:lpwstr>
  </property>
  <property fmtid="{D5CDD505-2E9C-101B-9397-08002B2CF9AE}" pid="4" name="DocumentStatus">
    <vt:lpwstr>Active</vt:lpwstr>
  </property>
  <property fmtid="{D5CDD505-2E9C-101B-9397-08002B2CF9AE}" pid="5" name="ApplicationsTemp">
    <vt:lpwstr>23065-A001</vt:lpwstr>
  </property>
  <property fmtid="{D5CDD505-2E9C-101B-9397-08002B2CF9AE}" pid="6" name="ContentTypeId">
    <vt:lpwstr>0x010100BC84ACA119491D43B8AEA0C41A758E3B0B05008DD82780B7943642B09BBFE47AA13809</vt:lpwstr>
  </property>
  <property fmtid="{D5CDD505-2E9C-101B-9397-08002B2CF9AE}" pid="7" name="CommentsAdded">
    <vt:bool>false</vt:bool>
  </property>
  <property fmtid="{D5CDD505-2E9C-101B-9397-08002B2CF9AE}" pid="8" name="OnBehalfOf">
    <vt:lpwstr>Independent System Operator</vt:lpwstr>
  </property>
  <property fmtid="{D5CDD505-2E9C-101B-9397-08002B2CF9AE}" pid="9" name="Name">
    <vt:lpwstr>23065_X[]_AESO2018ISOTariffUpdate-AppendixC-2018Ra_0002.xlsx</vt:lpwstr>
  </property>
  <property fmtid="{D5CDD505-2E9C-101B-9397-08002B2CF9AE}" pid="10" name="SubmittingPCE">
    <vt:lpwstr>Independent System Operator</vt:lpwstr>
  </property>
  <property fmtid="{D5CDD505-2E9C-101B-9397-08002B2CF9AE}" pid="11" name="AucDocumentId">
    <vt:r8>2</vt:r8>
  </property>
  <property fmtid="{D5CDD505-2E9C-101B-9397-08002B2CF9AE}" pid="12" name="Confidentiality Classification">
    <vt:lpwstr>1271;#AESO Internal|fe2129cc-e616-4c1e-9a39-b6921e014562</vt:lpwstr>
  </property>
  <property fmtid="{D5CDD505-2E9C-101B-9397-08002B2CF9AE}" pid="13" name="AUCFileName">
    <vt:lpwstr>23065_X0002_AESO2018ISOTariffUpdate-AppendixC-2018Ra_0002.xlsx</vt:lpwstr>
  </property>
  <property fmtid="{D5CDD505-2E9C-101B-9397-08002B2CF9AE}" pid="14" name="ExhibitNumberTemp">
    <vt:lpwstr>23065-X0002</vt:lpwstr>
  </property>
  <property fmtid="{D5CDD505-2E9C-101B-9397-08002B2CF9AE}" pid="15" name="_dlc_DocIdItemGuid">
    <vt:lpwstr>b10e20d8-fcd3-4011-b356-8944de66615d</vt:lpwstr>
  </property>
  <property fmtid="{D5CDD505-2E9C-101B-9397-08002B2CF9AE}" pid="17" name="Applications">
    <vt:lpwstr>&lt;a href="http&amp;#58;//efiling.auc.ab.ca/Proceeding23065/sitepages/ManageApplications.aspx?AppNumber=23065-A001"&gt;23065-A001&lt;/a&gt;</vt:lpwstr>
  </property>
  <property fmtid="{D5CDD505-2E9C-101B-9397-08002B2CF9AE}" pid="18" name="DocumentCategory">
    <vt:lpwstr>Application and support</vt:lpwstr>
  </property>
  <property fmtid="{D5CDD505-2E9C-101B-9397-08002B2CF9AE}" pid="19" name="OriginalFilename">
    <vt:lpwstr>AESO2018ISOTariffUpdate-AppendixC-2018RateCalculations.xlsx</vt:lpwstr>
  </property>
  <property fmtid="{D5CDD505-2E9C-101B-9397-08002B2CF9AE}" pid="20" name="LARA Category0">
    <vt:lpwstr>1329;#Applications|c658717d-8430-44ce-8a58-d7dd4c19296a</vt:lpwstr>
  </property>
  <property fmtid="{D5CDD505-2E9C-101B-9397-08002B2CF9AE}" pid="21" name="ProceedingStatus">
    <vt:lpwstr>1341;#Active|898b100d-994d-40ab-964e-65d12fdd6881</vt:lpwstr>
  </property>
  <property fmtid="{D5CDD505-2E9C-101B-9397-08002B2CF9AE}" pid="22" name="Related Proceeding(s)">
    <vt:lpwstr/>
  </property>
  <property fmtid="{D5CDD505-2E9C-101B-9397-08002B2CF9AE}" pid="23" name="AUC Number">
    <vt:lpwstr>1913;#26054|7be2990e-2639-417e-bc71-cbe3c65e57fb</vt:lpwstr>
  </property>
  <property fmtid="{D5CDD505-2E9C-101B-9397-08002B2CF9AE}" pid="24" name="Proceeding Type">
    <vt:lpwstr>1566;#Tariff - AESO|71517199-512a-4696-b726-f34be08e058c</vt:lpwstr>
  </property>
</Properties>
</file>