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howInkAnnotation="0" defaultThemeVersion="124226"/>
  <xr:revisionPtr revIDLastSave="0" documentId="13_ncr:1_{F0CF0975-3024-4C27-9A54-811446B37CA9}" xr6:coauthVersionLast="44" xr6:coauthVersionMax="45" xr10:uidLastSave="{00000000-0000-0000-0000-000000000000}"/>
  <bookViews>
    <workbookView xWindow="-120" yWindow="-120" windowWidth="29040" windowHeight="15840" tabRatio="901" xr2:uid="{00000000-000D-0000-FFFF-FFFF00000000}"/>
  </bookViews>
  <sheets>
    <sheet name="Information Page 1" sheetId="32" r:id="rId1"/>
    <sheet name="Information Page 2" sheetId="33" r:id="rId2"/>
    <sheet name="Information Page 3" sheetId="36" r:id="rId3"/>
    <sheet name="Information Page 4" sheetId="38" r:id="rId4"/>
    <sheet name="A1 Costs and Contract" sheetId="1" r:id="rId5"/>
    <sheet name="A2 Contribution" sheetId="7" r:id="rId6"/>
    <sheet name="A3 Allocation and Fractions" sheetId="6" r:id="rId7"/>
    <sheet name="A4 Investment" sheetId="2" r:id="rId8"/>
    <sheet name="Investment Lookup" sheetId="39" state="hidden" r:id="rId9"/>
    <sheet name="Discounted Increments" sheetId="3" r:id="rId10"/>
    <sheet name="Nominal Increments" sheetId="31" r:id="rId11"/>
    <sheet name="Stage (1) Investment" sheetId="27" r:id="rId12"/>
    <sheet name="Stage (2) Investment" sheetId="26" r:id="rId13"/>
    <sheet name="Stage (3) Investment" sheetId="25" r:id="rId14"/>
    <sheet name="Stage (4) Investment" sheetId="24" r:id="rId15"/>
    <sheet name="Stage (5) Investment" sheetId="23" r:id="rId16"/>
    <sheet name="Stage (6) Investment" sheetId="22" r:id="rId17"/>
    <sheet name="Stage (7) Investment" sheetId="21" r:id="rId18"/>
    <sheet name="Stage (8) Investment" sheetId="20" r:id="rId19"/>
    <sheet name="Stage (9) Investment" sheetId="19" r:id="rId20"/>
    <sheet name="Stage (10) Investment" sheetId="13" r:id="rId21"/>
  </sheets>
  <definedNames>
    <definedName name="AESOTariffs">'Investment Lookup'!$A$3:$A$30</definedName>
    <definedName name="CommOperDate">'A1 Costs and Contract'!$F$38</definedName>
    <definedName name="DiscountRate">'A1 Costs and Contract'!$F$40</definedName>
    <definedName name="GUOContribution">#REF!</definedName>
    <definedName name="GUOCRegions">#REF!</definedName>
    <definedName name="GUOCYears">#REF!</definedName>
    <definedName name="InvestmentColumnB">'Investment Lookup'!$D$2:$H$22</definedName>
    <definedName name="InvestmentColumnC">'Investment Lookup'!$J$2:$N$22</definedName>
    <definedName name="InvestmentTiers">'Investment Lookup'!$D$2:$H$2</definedName>
    <definedName name="MaxInvestTerm">'A1 Costs and Contract'!$F$39</definedName>
    <definedName name="NewOrExistingSub">'A1 Costs and Contract'!$F$17</definedName>
    <definedName name="NewOrExpansion">'A1 Costs and Contract'!$F$16</definedName>
    <definedName name="OtherParticipant">'A1 Costs and Contract'!$F$19</definedName>
    <definedName name="ParticipantName">'A1 Costs and Contract'!$C$10</definedName>
    <definedName name="PreparationDate">'A1 Costs and Contract'!$F$13</definedName>
    <definedName name="PreparerName">'A1 Costs and Contract'!$C$13</definedName>
    <definedName name="_xlnm.Print_Area" localSheetId="4">'A1 Costs and Contract'!$A$1:$J$58</definedName>
    <definedName name="_xlnm.Print_Area" localSheetId="5">'A2 Contribution'!$A$1:$J$37</definedName>
    <definedName name="_xlnm.Print_Area" localSheetId="6">'A3 Allocation and Fractions'!$A$1:$J$53</definedName>
    <definedName name="_xlnm.Print_Area" localSheetId="7">'A4 Investment'!$A$1:$J$63</definedName>
    <definedName name="_xlnm.Print_Area" localSheetId="9">'Discounted Increments'!$A$1:$T$263</definedName>
    <definedName name="_xlnm.Print_Area" localSheetId="0">'Information Page 1'!$A$1:$G$52</definedName>
    <definedName name="_xlnm.Print_Area" localSheetId="1">'Information Page 2'!$A$1:$G$61</definedName>
    <definedName name="_xlnm.Print_Area" localSheetId="2">'Information Page 3'!$A$1:$G$50</definedName>
    <definedName name="_xlnm.Print_Area" localSheetId="3">'Information Page 4'!$A$1:$G$49</definedName>
    <definedName name="_xlnm.Print_Area" localSheetId="10">'Nominal Increments'!$A$1:$T$263</definedName>
    <definedName name="_xlnm.Print_Titles" localSheetId="9">'Discounted Increments'!$21:$22</definedName>
    <definedName name="_xlnm.Print_Titles" localSheetId="10">'Nominal Increments'!$21:$22</definedName>
    <definedName name="_xlnm.Print_Titles" localSheetId="11">'Stage (1) Investment'!$21:$22</definedName>
    <definedName name="_xlnm.Print_Titles" localSheetId="20">'Stage (10) Investment'!$21:$22</definedName>
    <definedName name="_xlnm.Print_Titles" localSheetId="12">'Stage (2) Investment'!$21:$22</definedName>
    <definedName name="_xlnm.Print_Titles" localSheetId="13">'Stage (3) Investment'!$21:$22</definedName>
    <definedName name="_xlnm.Print_Titles" localSheetId="14">'Stage (4) Investment'!$21:$22</definedName>
    <definedName name="_xlnm.Print_Titles" localSheetId="15">'Stage (5) Investment'!$21:$22</definedName>
    <definedName name="_xlnm.Print_Titles" localSheetId="16">'Stage (6) Investment'!$21:$22</definedName>
    <definedName name="_xlnm.Print_Titles" localSheetId="17">'Stage (7) Investment'!$21:$22</definedName>
    <definedName name="_xlnm.Print_Titles" localSheetId="18">'Stage (8) Investment'!$21:$22</definedName>
    <definedName name="_xlnm.Print_Titles" localSheetId="19">'Stage (9) Investment'!$21:$22</definedName>
    <definedName name="ProjectName">'A1 Costs and Contract'!$C$11</definedName>
    <definedName name="ProjectNumber">'A1 Costs and Contract'!$C$12</definedName>
    <definedName name="ProjectType">'A1 Costs and Contract'!$F$12</definedName>
    <definedName name="ReceivePSC">'A1 Costs and Contract'!$F$18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 i="1" l="1"/>
  <c r="I11" i="1" l="1"/>
  <c r="I38" i="7" l="1"/>
  <c r="I37" i="7"/>
  <c r="B47" i="1" l="1"/>
  <c r="A38" i="7" l="1"/>
  <c r="A37" i="7"/>
  <c r="B37" i="7" l="1"/>
  <c r="G37" i="7"/>
  <c r="G20" i="7"/>
  <c r="G19" i="7"/>
  <c r="G18" i="7"/>
  <c r="G17" i="7"/>
  <c r="G16" i="7"/>
  <c r="G15" i="7"/>
  <c r="F28" i="1"/>
  <c r="G21" i="7" l="1"/>
  <c r="H38" i="6"/>
  <c r="G38" i="6"/>
  <c r="E38" i="6"/>
  <c r="D38" i="6"/>
  <c r="H19" i="6"/>
  <c r="G19" i="6"/>
  <c r="E19" i="6"/>
  <c r="D19" i="6"/>
  <c r="H46" i="1" l="1"/>
  <c r="G46" i="1"/>
  <c r="E46" i="1"/>
  <c r="D46" i="1"/>
  <c r="F31" i="1" l="1"/>
  <c r="J5" i="31" l="1"/>
  <c r="J4" i="31"/>
  <c r="J48" i="1"/>
  <c r="J18" i="1"/>
  <c r="J11" i="1" l="1"/>
  <c r="J12" i="1"/>
  <c r="I12" i="7"/>
  <c r="J51" i="1" l="1"/>
  <c r="J50" i="1"/>
  <c r="J49" i="1"/>
  <c r="J47" i="1"/>
  <c r="D9" i="20"/>
  <c r="A48" i="1"/>
  <c r="A49" i="1" s="1"/>
  <c r="A50" i="1" s="1"/>
  <c r="A55" i="1"/>
  <c r="A17" i="3" s="1"/>
  <c r="A56" i="1"/>
  <c r="A23" i="13"/>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23" i="19"/>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23" i="20"/>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23" i="2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23" i="23"/>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23" i="24"/>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23" i="25"/>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23" i="26"/>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23" i="27"/>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23" i="3"/>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24" i="2"/>
  <c r="B39" i="6"/>
  <c r="B40" i="6"/>
  <c r="B41" i="6"/>
  <c r="B42" i="6"/>
  <c r="B43" i="6"/>
  <c r="B44" i="6"/>
  <c r="B45" i="6"/>
  <c r="B46" i="6"/>
  <c r="D46" i="6" s="1"/>
  <c r="B47" i="6"/>
  <c r="B48" i="6"/>
  <c r="A48" i="6" s="1"/>
  <c r="B24" i="3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54" i="31" s="1"/>
  <c r="B55" i="31" s="1"/>
  <c r="B56" i="31" s="1"/>
  <c r="B57" i="31" s="1"/>
  <c r="B58" i="31" s="1"/>
  <c r="B59" i="31" s="1"/>
  <c r="B60" i="31" s="1"/>
  <c r="B61" i="31" s="1"/>
  <c r="B62" i="31" s="1"/>
  <c r="B63" i="31" s="1"/>
  <c r="B64" i="31" s="1"/>
  <c r="B65" i="31" s="1"/>
  <c r="B66" i="31" s="1"/>
  <c r="B67" i="31" s="1"/>
  <c r="B68" i="31" s="1"/>
  <c r="B69" i="31" s="1"/>
  <c r="B70" i="31" s="1"/>
  <c r="B71" i="31" s="1"/>
  <c r="B72" i="31" s="1"/>
  <c r="B73" i="31" s="1"/>
  <c r="B74" i="31" s="1"/>
  <c r="B75" i="31" s="1"/>
  <c r="B76" i="31" s="1"/>
  <c r="B77" i="31" s="1"/>
  <c r="B78" i="31" s="1"/>
  <c r="B79" i="31" s="1"/>
  <c r="B80" i="31" s="1"/>
  <c r="B81" i="31" s="1"/>
  <c r="B82" i="31" s="1"/>
  <c r="D8" i="31"/>
  <c r="B24" i="3"/>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24" i="25"/>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24" i="26"/>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24" i="24"/>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24" i="23"/>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59" i="23" s="1"/>
  <c r="B60" i="23" s="1"/>
  <c r="B61" i="23" s="1"/>
  <c r="B62" i="23" s="1"/>
  <c r="B63" i="23" s="1"/>
  <c r="B64" i="23" s="1"/>
  <c r="B65" i="23" s="1"/>
  <c r="B66" i="23" s="1"/>
  <c r="B67" i="23" s="1"/>
  <c r="B68" i="23" s="1"/>
  <c r="B69" i="23" s="1"/>
  <c r="B70" i="23" s="1"/>
  <c r="B71" i="23" s="1"/>
  <c r="B72" i="23" s="1"/>
  <c r="B73" i="23" s="1"/>
  <c r="B74" i="23" s="1"/>
  <c r="B75" i="23" s="1"/>
  <c r="B76" i="23" s="1"/>
  <c r="B77" i="23" s="1"/>
  <c r="B78" i="23" s="1"/>
  <c r="B79" i="23" s="1"/>
  <c r="B80" i="23" s="1"/>
  <c r="B81" i="23" s="1"/>
  <c r="B82" i="23" s="1"/>
  <c r="B24" i="22"/>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24" i="2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24" i="20"/>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24" i="19"/>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24" i="13"/>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24" i="27"/>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B68" i="27" s="1"/>
  <c r="B69" i="27" s="1"/>
  <c r="B70" i="27" s="1"/>
  <c r="B71" i="27" s="1"/>
  <c r="B72" i="27" s="1"/>
  <c r="B73" i="27" s="1"/>
  <c r="B74" i="27" s="1"/>
  <c r="B75" i="27" s="1"/>
  <c r="B76" i="27" s="1"/>
  <c r="B77" i="27" s="1"/>
  <c r="B78" i="27" s="1"/>
  <c r="B79" i="27" s="1"/>
  <c r="B80" i="27" s="1"/>
  <c r="B81" i="27" s="1"/>
  <c r="B82" i="27" s="1"/>
  <c r="C3" i="31"/>
  <c r="J3" i="31"/>
  <c r="C4" i="31"/>
  <c r="C5" i="31"/>
  <c r="F5" i="31"/>
  <c r="A9" i="31"/>
  <c r="A21" i="2"/>
  <c r="E20" i="6"/>
  <c r="B21" i="6"/>
  <c r="B22" i="6"/>
  <c r="B23" i="6"/>
  <c r="B24" i="6"/>
  <c r="B25" i="6"/>
  <c r="B26" i="6"/>
  <c r="B27" i="6"/>
  <c r="B28" i="6"/>
  <c r="B29" i="6"/>
  <c r="E29" i="6" s="1"/>
  <c r="J32" i="1"/>
  <c r="J40" i="1"/>
  <c r="H30" i="7"/>
  <c r="G22" i="7"/>
  <c r="A9" i="3"/>
  <c r="C3" i="27"/>
  <c r="I3" i="27"/>
  <c r="C4" i="27"/>
  <c r="I4" i="27"/>
  <c r="C5" i="27"/>
  <c r="F5" i="27"/>
  <c r="I5" i="27"/>
  <c r="A9" i="27"/>
  <c r="C3" i="26"/>
  <c r="I3" i="26"/>
  <c r="C4" i="26"/>
  <c r="I4" i="26"/>
  <c r="C5" i="26"/>
  <c r="F5" i="26"/>
  <c r="I5" i="26"/>
  <c r="A9" i="26"/>
  <c r="C3" i="25"/>
  <c r="I3" i="25"/>
  <c r="C4" i="25"/>
  <c r="I4" i="25"/>
  <c r="C5" i="25"/>
  <c r="F5" i="25"/>
  <c r="I5" i="25"/>
  <c r="A9" i="25"/>
  <c r="C3" i="24"/>
  <c r="I3" i="24"/>
  <c r="C4" i="24"/>
  <c r="I4" i="24"/>
  <c r="C5" i="24"/>
  <c r="F5" i="24"/>
  <c r="I5" i="24"/>
  <c r="A9" i="24"/>
  <c r="C3" i="23"/>
  <c r="I3" i="23"/>
  <c r="C4" i="23"/>
  <c r="I4" i="23"/>
  <c r="C5" i="23"/>
  <c r="F5" i="23"/>
  <c r="I5" i="23"/>
  <c r="A9" i="23"/>
  <c r="C3" i="22"/>
  <c r="I3" i="22"/>
  <c r="C4" i="22"/>
  <c r="I4" i="22"/>
  <c r="C5" i="22"/>
  <c r="F5" i="22"/>
  <c r="I5" i="22"/>
  <c r="A9" i="22"/>
  <c r="C3" i="21"/>
  <c r="I3" i="21"/>
  <c r="C4" i="21"/>
  <c r="I4" i="21"/>
  <c r="C5" i="21"/>
  <c r="F5" i="21"/>
  <c r="I5" i="21"/>
  <c r="A9" i="21"/>
  <c r="C3" i="20"/>
  <c r="I3" i="20"/>
  <c r="C4" i="20"/>
  <c r="I4" i="20"/>
  <c r="C5" i="20"/>
  <c r="F5" i="20"/>
  <c r="I5" i="20"/>
  <c r="A9" i="20"/>
  <c r="C3" i="19"/>
  <c r="I3" i="19"/>
  <c r="C4" i="19"/>
  <c r="I4" i="19"/>
  <c r="C5" i="19"/>
  <c r="F5" i="19"/>
  <c r="I5" i="19"/>
  <c r="A9" i="19"/>
  <c r="A9" i="13"/>
  <c r="C3" i="13"/>
  <c r="I3" i="13"/>
  <c r="C4" i="13"/>
  <c r="I4" i="13"/>
  <c r="C5" i="13"/>
  <c r="F5" i="13"/>
  <c r="I5" i="13"/>
  <c r="D8" i="3"/>
  <c r="G23" i="7"/>
  <c r="G15" i="6"/>
  <c r="G17" i="6"/>
  <c r="D17" i="6"/>
  <c r="J19" i="1"/>
  <c r="J17" i="1"/>
  <c r="J5" i="3"/>
  <c r="F5" i="3"/>
  <c r="C5" i="3"/>
  <c r="J4" i="3"/>
  <c r="C4" i="3"/>
  <c r="J3" i="3"/>
  <c r="C3" i="3"/>
  <c r="D23" i="7"/>
  <c r="D22" i="7"/>
  <c r="D20" i="7"/>
  <c r="D19" i="7"/>
  <c r="D15" i="7"/>
  <c r="D20" i="6"/>
  <c r="F20" i="6"/>
  <c r="F12" i="7"/>
  <c r="C12" i="7"/>
  <c r="I11" i="7"/>
  <c r="F11" i="7"/>
  <c r="C11" i="7"/>
  <c r="I10" i="7"/>
  <c r="C10" i="7"/>
  <c r="I9" i="7"/>
  <c r="C9" i="7"/>
  <c r="F11" i="6"/>
  <c r="F12" i="2"/>
  <c r="I12" i="2"/>
  <c r="C12" i="2"/>
  <c r="I11" i="2"/>
  <c r="C11" i="2"/>
  <c r="I10" i="2"/>
  <c r="C10" i="2"/>
  <c r="F39" i="6"/>
  <c r="E39" i="6"/>
  <c r="D39" i="6"/>
  <c r="B20" i="6"/>
  <c r="I11" i="6"/>
  <c r="C11" i="6"/>
  <c r="I10" i="6"/>
  <c r="C10" i="6"/>
  <c r="I9" i="6"/>
  <c r="C9" i="6"/>
  <c r="B38" i="2"/>
  <c r="B39" i="2" s="1"/>
  <c r="B40" i="2" s="1"/>
  <c r="B41" i="2" s="1"/>
  <c r="E48" i="6" l="1"/>
  <c r="H29" i="7"/>
  <c r="H31" i="7" s="1"/>
  <c r="H33" i="7" s="1"/>
  <c r="H35" i="7" s="1"/>
  <c r="G24" i="7"/>
  <c r="F29" i="7" s="1"/>
  <c r="F31" i="7" s="1"/>
  <c r="A11" i="22"/>
  <c r="D11" i="22" s="1"/>
  <c r="A11" i="19"/>
  <c r="D11" i="19" s="1"/>
  <c r="A11" i="21"/>
  <c r="D11" i="21" s="1"/>
  <c r="A10" i="20"/>
  <c r="D10" i="20" s="1"/>
  <c r="A11" i="13"/>
  <c r="D11" i="13" s="1"/>
  <c r="A26" i="2"/>
  <c r="D48" i="6"/>
  <c r="G48" i="6" s="1"/>
  <c r="D9" i="25"/>
  <c r="D9" i="21"/>
  <c r="C18" i="2"/>
  <c r="J18" i="2" s="1"/>
  <c r="D18" i="2"/>
  <c r="E18" i="2"/>
  <c r="F18" i="2"/>
  <c r="G18" i="2"/>
  <c r="H24" i="2"/>
  <c r="D44" i="6"/>
  <c r="D29" i="6"/>
  <c r="H33" i="2" s="1"/>
  <c r="F29" i="6"/>
  <c r="I29" i="6" s="1"/>
  <c r="D9" i="26"/>
  <c r="D9" i="22"/>
  <c r="D26" i="6"/>
  <c r="H30" i="2" s="1"/>
  <c r="F45" i="6"/>
  <c r="E41" i="6"/>
  <c r="E25" i="6"/>
  <c r="E44" i="6"/>
  <c r="C47" i="1"/>
  <c r="B9" i="3" s="1"/>
  <c r="D9" i="3" s="1"/>
  <c r="A28" i="6"/>
  <c r="E43" i="6"/>
  <c r="D9" i="19"/>
  <c r="E45" i="6"/>
  <c r="F48" i="6"/>
  <c r="H48" i="6" s="1"/>
  <c r="F27" i="6"/>
  <c r="D23" i="6"/>
  <c r="F46" i="6"/>
  <c r="D42" i="6"/>
  <c r="D9" i="13"/>
  <c r="D9" i="27"/>
  <c r="I60" i="2"/>
  <c r="D9" i="23"/>
  <c r="D9" i="24"/>
  <c r="F25" i="6"/>
  <c r="F44" i="6"/>
  <c r="D25" i="6"/>
  <c r="H29" i="2" s="1"/>
  <c r="D41" i="6"/>
  <c r="E46" i="6"/>
  <c r="G45" i="6" s="1"/>
  <c r="D45" i="6"/>
  <c r="H44" i="6" s="1"/>
  <c r="F41" i="6"/>
  <c r="F23" i="6"/>
  <c r="F24" i="6"/>
  <c r="E24" i="6"/>
  <c r="D24" i="6"/>
  <c r="H28" i="2" s="1"/>
  <c r="E47" i="6"/>
  <c r="A47" i="6"/>
  <c r="D47" i="6"/>
  <c r="A29" i="6"/>
  <c r="F26" i="6"/>
  <c r="E26" i="6"/>
  <c r="E23" i="6"/>
  <c r="E28" i="6"/>
  <c r="F28" i="6"/>
  <c r="F47" i="6"/>
  <c r="D28" i="6"/>
  <c r="H32" i="2" s="1"/>
  <c r="A12" i="22"/>
  <c r="D12" i="22" s="1"/>
  <c r="A51" i="1"/>
  <c r="A13" i="20" s="1"/>
  <c r="D27" i="6"/>
  <c r="I26" i="6" s="1"/>
  <c r="E27" i="6"/>
  <c r="F43" i="6"/>
  <c r="D43" i="6"/>
  <c r="F42" i="6"/>
  <c r="E42" i="6"/>
  <c r="E22" i="6"/>
  <c r="D22" i="6"/>
  <c r="H26" i="2" s="1"/>
  <c r="F22" i="6"/>
  <c r="A40" i="6"/>
  <c r="A41" i="6" s="1"/>
  <c r="A42" i="6" s="1"/>
  <c r="A43" i="6" s="1"/>
  <c r="A44" i="6" s="1"/>
  <c r="A45" i="6" s="1"/>
  <c r="A46" i="6" s="1"/>
  <c r="E40" i="6"/>
  <c r="F40" i="6"/>
  <c r="A10" i="26"/>
  <c r="D10" i="26" s="1"/>
  <c r="A10" i="21"/>
  <c r="D10" i="21" s="1"/>
  <c r="A10" i="23"/>
  <c r="D10" i="23" s="1"/>
  <c r="A10" i="25"/>
  <c r="D10" i="25" s="1"/>
  <c r="A10" i="19"/>
  <c r="D10" i="19" s="1"/>
  <c r="A10" i="22"/>
  <c r="D10" i="22" s="1"/>
  <c r="A10" i="13"/>
  <c r="D10" i="13" s="1"/>
  <c r="A10" i="31"/>
  <c r="A10" i="3"/>
  <c r="E21" i="6"/>
  <c r="F21" i="6"/>
  <c r="A21" i="6"/>
  <c r="A22" i="6" s="1"/>
  <c r="A23" i="6" s="1"/>
  <c r="A24" i="6" s="1"/>
  <c r="A25" i="6" s="1"/>
  <c r="A26" i="6" s="1"/>
  <c r="A27" i="6" s="1"/>
  <c r="D21" i="6"/>
  <c r="A10" i="24"/>
  <c r="D10" i="24" s="1"/>
  <c r="D40" i="6"/>
  <c r="A25" i="2"/>
  <c r="A18" i="3"/>
  <c r="A17" i="13"/>
  <c r="A32" i="2"/>
  <c r="A17" i="31"/>
  <c r="A17" i="19"/>
  <c r="A12" i="24"/>
  <c r="A12" i="31"/>
  <c r="A12" i="23"/>
  <c r="A12" i="20"/>
  <c r="A27" i="2"/>
  <c r="A12" i="21"/>
  <c r="A12" i="19"/>
  <c r="A12" i="13"/>
  <c r="A12" i="3"/>
  <c r="A11" i="24"/>
  <c r="A11" i="20"/>
  <c r="A11" i="25"/>
  <c r="A11" i="31"/>
  <c r="A11" i="3"/>
  <c r="A11" i="23"/>
  <c r="A33" i="2"/>
  <c r="A18" i="13"/>
  <c r="A18" i="31"/>
  <c r="I45" i="6" l="1"/>
  <c r="H27" i="6"/>
  <c r="H46" i="6"/>
  <c r="G27" i="6"/>
  <c r="C33" i="2"/>
  <c r="E33" i="2"/>
  <c r="G33" i="2"/>
  <c r="F33" i="2"/>
  <c r="D33" i="2"/>
  <c r="I47" i="6"/>
  <c r="G29" i="6"/>
  <c r="I48" i="6"/>
  <c r="H29" i="6"/>
  <c r="G47" i="6"/>
  <c r="G28" i="6"/>
  <c r="H47" i="6"/>
  <c r="G46" i="6"/>
  <c r="D31" i="2" s="1"/>
  <c r="I46" i="6"/>
  <c r="I27" i="6"/>
  <c r="I28" i="6"/>
  <c r="H28" i="6"/>
  <c r="H26" i="6"/>
  <c r="H45" i="6"/>
  <c r="G44" i="6"/>
  <c r="F29" i="2" s="1"/>
  <c r="G26" i="6"/>
  <c r="G24" i="6"/>
  <c r="G25" i="6"/>
  <c r="H25" i="6"/>
  <c r="I43" i="6"/>
  <c r="G23" i="6"/>
  <c r="H43" i="6"/>
  <c r="H23" i="6"/>
  <c r="G43" i="6"/>
  <c r="C28" i="2" s="1"/>
  <c r="H42" i="6"/>
  <c r="H24" i="6"/>
  <c r="G42" i="6"/>
  <c r="G27" i="2" s="1"/>
  <c r="H41" i="6"/>
  <c r="G41" i="6"/>
  <c r="F26" i="2" s="1"/>
  <c r="G22" i="6"/>
  <c r="G40" i="6"/>
  <c r="D25" i="2" s="1"/>
  <c r="H22" i="6"/>
  <c r="H21" i="6"/>
  <c r="H40" i="6"/>
  <c r="H39" i="6"/>
  <c r="G21" i="6"/>
  <c r="G20" i="6"/>
  <c r="G39" i="6"/>
  <c r="H20" i="6"/>
  <c r="C39" i="6"/>
  <c r="B24" i="2" s="1"/>
  <c r="C48" i="1"/>
  <c r="C40" i="6" s="1"/>
  <c r="B25" i="2" s="1"/>
  <c r="C20" i="6"/>
  <c r="B9" i="31"/>
  <c r="D9" i="31" s="1"/>
  <c r="I39" i="6"/>
  <c r="I44" i="6"/>
  <c r="H27" i="2"/>
  <c r="I20" i="6"/>
  <c r="I42" i="6"/>
  <c r="I24" i="6"/>
  <c r="I40" i="6"/>
  <c r="I25" i="6"/>
  <c r="I23" i="6"/>
  <c r="I21" i="6"/>
  <c r="I41" i="6"/>
  <c r="I22" i="6"/>
  <c r="A13" i="3"/>
  <c r="A13" i="21"/>
  <c r="D13" i="21" s="1"/>
  <c r="A13" i="31"/>
  <c r="A13" i="23"/>
  <c r="D13" i="23" s="1"/>
  <c r="A13" i="22"/>
  <c r="D13" i="22" s="1"/>
  <c r="A13" i="19"/>
  <c r="D13" i="19" s="1"/>
  <c r="E30" i="2"/>
  <c r="C30" i="2"/>
  <c r="A28" i="2"/>
  <c r="A13" i="13"/>
  <c r="D13" i="13" s="1"/>
  <c r="A52" i="1"/>
  <c r="D30" i="2"/>
  <c r="F30" i="2"/>
  <c r="G30" i="2"/>
  <c r="H31" i="2"/>
  <c r="H25" i="2"/>
  <c r="D13" i="20"/>
  <c r="D12" i="19"/>
  <c r="D11" i="25"/>
  <c r="D12" i="21"/>
  <c r="D11" i="23"/>
  <c r="D11" i="20"/>
  <c r="D12" i="24"/>
  <c r="D17" i="13"/>
  <c r="D18" i="13"/>
  <c r="D12" i="23"/>
  <c r="D11" i="24"/>
  <c r="D12" i="13"/>
  <c r="D12" i="20"/>
  <c r="D17" i="19"/>
  <c r="C31" i="2" l="1"/>
  <c r="C29" i="2"/>
  <c r="D29" i="2"/>
  <c r="E29" i="2"/>
  <c r="G29" i="2"/>
  <c r="F31" i="2"/>
  <c r="G31" i="2"/>
  <c r="E31" i="2"/>
  <c r="C32" i="2"/>
  <c r="E32" i="2"/>
  <c r="D32" i="2"/>
  <c r="F32" i="2"/>
  <c r="G32" i="2"/>
  <c r="E25" i="2"/>
  <c r="B10" i="31"/>
  <c r="D10" i="31" s="1"/>
  <c r="B10" i="3"/>
  <c r="D10" i="3" s="1"/>
  <c r="E24" i="2"/>
  <c r="C49" i="1"/>
  <c r="C21" i="6"/>
  <c r="C24" i="2"/>
  <c r="D26" i="2"/>
  <c r="F24" i="2"/>
  <c r="C26" i="2"/>
  <c r="G24" i="2"/>
  <c r="C25" i="2"/>
  <c r="D24" i="2"/>
  <c r="G25" i="2"/>
  <c r="F25" i="2"/>
  <c r="G26" i="2"/>
  <c r="E26" i="2"/>
  <c r="D27" i="2"/>
  <c r="F27" i="2"/>
  <c r="C27" i="2"/>
  <c r="A53" i="1"/>
  <c r="A14" i="13"/>
  <c r="D14" i="13" s="1"/>
  <c r="A29" i="2"/>
  <c r="A14" i="3"/>
  <c r="A14" i="20"/>
  <c r="D14" i="20" s="1"/>
  <c r="A14" i="22"/>
  <c r="D14" i="22" s="1"/>
  <c r="A14" i="21"/>
  <c r="D14" i="21" s="1"/>
  <c r="A14" i="31"/>
  <c r="A14" i="19"/>
  <c r="D14" i="19" s="1"/>
  <c r="E27" i="2"/>
  <c r="G28" i="2"/>
  <c r="F28" i="2"/>
  <c r="E28" i="2"/>
  <c r="D28" i="2"/>
  <c r="B11" i="31" l="1"/>
  <c r="D11" i="31" s="1"/>
  <c r="B11" i="3"/>
  <c r="D11" i="3" s="1"/>
  <c r="C41" i="6"/>
  <c r="B26" i="2" s="1"/>
  <c r="C22" i="6"/>
  <c r="C50" i="1"/>
  <c r="A15" i="21"/>
  <c r="D15" i="21" s="1"/>
  <c r="A54" i="1"/>
  <c r="A15" i="31"/>
  <c r="A15" i="20"/>
  <c r="D15" i="20" s="1"/>
  <c r="A15" i="19"/>
  <c r="D15" i="19" s="1"/>
  <c r="A15" i="3"/>
  <c r="A30" i="2"/>
  <c r="A15" i="13"/>
  <c r="D15" i="13" s="1"/>
  <c r="B12" i="31" l="1"/>
  <c r="D12" i="31" s="1"/>
  <c r="O28" i="31" s="1"/>
  <c r="O28" i="3" s="1"/>
  <c r="B12" i="3"/>
  <c r="D12" i="3" s="1"/>
  <c r="C51" i="1"/>
  <c r="C23" i="6"/>
  <c r="C42" i="6"/>
  <c r="A16" i="13"/>
  <c r="D16" i="13" s="1"/>
  <c r="A16" i="20"/>
  <c r="D16" i="20" s="1"/>
  <c r="A16" i="19"/>
  <c r="D16" i="19" s="1"/>
  <c r="A16" i="3"/>
  <c r="A31" i="2"/>
  <c r="A16" i="31"/>
  <c r="N37" i="31"/>
  <c r="N37" i="3" s="1"/>
  <c r="N38" i="31"/>
  <c r="N38" i="3" s="1"/>
  <c r="N33" i="31"/>
  <c r="N33" i="3" s="1"/>
  <c r="N23" i="31"/>
  <c r="N23" i="3" s="1"/>
  <c r="N24" i="31"/>
  <c r="N24" i="3" s="1"/>
  <c r="N28" i="31"/>
  <c r="N28" i="3" s="1"/>
  <c r="N32" i="31"/>
  <c r="N32" i="3" s="1"/>
  <c r="N40" i="31"/>
  <c r="N40" i="3" s="1"/>
  <c r="N35" i="31"/>
  <c r="N35" i="3" s="1"/>
  <c r="N31" i="31"/>
  <c r="N31" i="3" s="1"/>
  <c r="N30" i="31"/>
  <c r="N30" i="3" s="1"/>
  <c r="N26" i="31"/>
  <c r="N26" i="3" s="1"/>
  <c r="N27" i="31"/>
  <c r="N27" i="3" s="1"/>
  <c r="N39" i="31"/>
  <c r="N39" i="3" s="1"/>
  <c r="N25" i="31"/>
  <c r="N25" i="3" s="1"/>
  <c r="N34" i="31"/>
  <c r="N34" i="3" s="1"/>
  <c r="N36" i="31"/>
  <c r="N36" i="3" s="1"/>
  <c r="N29" i="31"/>
  <c r="N29" i="3" s="1"/>
  <c r="O35" i="31" l="1"/>
  <c r="O35" i="3" s="1"/>
  <c r="O27" i="31"/>
  <c r="O27" i="3" s="1"/>
  <c r="O37" i="31"/>
  <c r="O37" i="3" s="1"/>
  <c r="O23" i="31"/>
  <c r="O23" i="3" s="1"/>
  <c r="O30" i="31"/>
  <c r="O30" i="3" s="1"/>
  <c r="O26" i="31"/>
  <c r="O26" i="3" s="1"/>
  <c r="O32" i="31"/>
  <c r="O32" i="3" s="1"/>
  <c r="O44" i="31"/>
  <c r="O44" i="3" s="1"/>
  <c r="O39" i="31"/>
  <c r="O39" i="3" s="1"/>
  <c r="O49" i="31"/>
  <c r="O49" i="3" s="1"/>
  <c r="O40" i="31"/>
  <c r="O40" i="3" s="1"/>
  <c r="O29" i="31"/>
  <c r="O29" i="3" s="1"/>
  <c r="O46" i="31"/>
  <c r="O46" i="3" s="1"/>
  <c r="O47" i="31"/>
  <c r="O47" i="3" s="1"/>
  <c r="O36" i="31"/>
  <c r="O36" i="3" s="1"/>
  <c r="O41" i="31"/>
  <c r="O41" i="3" s="1"/>
  <c r="O34" i="31"/>
  <c r="O34" i="3" s="1"/>
  <c r="O38" i="31"/>
  <c r="O38" i="3" s="1"/>
  <c r="O33" i="31"/>
  <c r="O33" i="3" s="1"/>
  <c r="O48" i="31"/>
  <c r="O48" i="3" s="1"/>
  <c r="O25" i="31"/>
  <c r="O25" i="3" s="1"/>
  <c r="O31" i="31"/>
  <c r="O31" i="3" s="1"/>
  <c r="O43" i="31"/>
  <c r="O43" i="3" s="1"/>
  <c r="O42" i="31"/>
  <c r="O42" i="3" s="1"/>
  <c r="O24" i="31"/>
  <c r="O24" i="3" s="1"/>
  <c r="O45" i="31"/>
  <c r="O45" i="3" s="1"/>
  <c r="B13" i="31"/>
  <c r="D13" i="31" s="1"/>
  <c r="P55" i="31" s="1"/>
  <c r="B13" i="3"/>
  <c r="D13" i="3" s="1"/>
  <c r="P55" i="3" s="1"/>
  <c r="C52" i="1"/>
  <c r="C43" i="6"/>
  <c r="B28" i="2" s="1"/>
  <c r="C24" i="6"/>
  <c r="B27" i="2"/>
  <c r="P50" i="31" l="1"/>
  <c r="P50" i="3" s="1"/>
  <c r="P56" i="31"/>
  <c r="P56" i="3" s="1"/>
  <c r="P26" i="31"/>
  <c r="P48" i="31"/>
  <c r="P45" i="31"/>
  <c r="P23" i="31"/>
  <c r="P23" i="3" s="1"/>
  <c r="P28" i="31"/>
  <c r="P58" i="31"/>
  <c r="P58" i="3" s="1"/>
  <c r="P47" i="31"/>
  <c r="P39" i="31"/>
  <c r="P27" i="31"/>
  <c r="P27" i="3" s="1"/>
  <c r="B14" i="31"/>
  <c r="B14" i="3"/>
  <c r="P47" i="3"/>
  <c r="P26" i="3"/>
  <c r="P45" i="3"/>
  <c r="P29" i="31"/>
  <c r="P29" i="3" s="1"/>
  <c r="P39" i="3"/>
  <c r="P32" i="31"/>
  <c r="P32" i="3" s="1"/>
  <c r="P35" i="31"/>
  <c r="P35" i="3" s="1"/>
  <c r="P49" i="31"/>
  <c r="P49" i="3" s="1"/>
  <c r="P33" i="31"/>
  <c r="P33" i="3" s="1"/>
  <c r="P36" i="31"/>
  <c r="P36" i="3" s="1"/>
  <c r="P28" i="3"/>
  <c r="P48" i="3"/>
  <c r="P24" i="31"/>
  <c r="P24" i="3" s="1"/>
  <c r="P37" i="31"/>
  <c r="P37" i="3" s="1"/>
  <c r="P25" i="31"/>
  <c r="P25" i="3" s="1"/>
  <c r="P31" i="31"/>
  <c r="P31" i="3" s="1"/>
  <c r="P54" i="31"/>
  <c r="P54" i="3" s="1"/>
  <c r="P51" i="31"/>
  <c r="P51" i="3" s="1"/>
  <c r="P30" i="31"/>
  <c r="P30" i="3" s="1"/>
  <c r="P42" i="31"/>
  <c r="P42" i="3" s="1"/>
  <c r="P38" i="31"/>
  <c r="P38" i="3" s="1"/>
  <c r="P44" i="31"/>
  <c r="P44" i="3" s="1"/>
  <c r="P41" i="31"/>
  <c r="P41" i="3" s="1"/>
  <c r="P57" i="31"/>
  <c r="P57" i="3" s="1"/>
  <c r="P53" i="31"/>
  <c r="P53" i="3" s="1"/>
  <c r="P40" i="31"/>
  <c r="P40" i="3" s="1"/>
  <c r="P43" i="31"/>
  <c r="P43" i="3" s="1"/>
  <c r="P52" i="31"/>
  <c r="P52" i="3" s="1"/>
  <c r="P34" i="31"/>
  <c r="P34" i="3" s="1"/>
  <c r="P46" i="31"/>
  <c r="P46" i="3" s="1"/>
  <c r="C53" i="1"/>
  <c r="C44" i="6"/>
  <c r="B29" i="2" s="1"/>
  <c r="C25" i="6"/>
  <c r="D14" i="3" l="1"/>
  <c r="C26" i="6"/>
  <c r="B15" i="31"/>
  <c r="B15" i="3"/>
  <c r="D15" i="3" s="1"/>
  <c r="D14" i="31"/>
  <c r="D15" i="31"/>
  <c r="C45" i="6"/>
  <c r="B30" i="2" s="1"/>
  <c r="C54" i="1"/>
  <c r="C27" i="6" l="1"/>
  <c r="B16" i="3"/>
  <c r="B16" i="31"/>
  <c r="R56" i="31"/>
  <c r="R56" i="3" s="1"/>
  <c r="R45" i="31"/>
  <c r="R45" i="3" s="1"/>
  <c r="R35" i="31"/>
  <c r="R35" i="3" s="1"/>
  <c r="R33" i="31"/>
  <c r="R33" i="3" s="1"/>
  <c r="R34" i="31"/>
  <c r="R34" i="3" s="1"/>
  <c r="R52" i="31"/>
  <c r="R52" i="3" s="1"/>
  <c r="R64" i="31"/>
  <c r="R64" i="3" s="1"/>
  <c r="R55" i="31"/>
  <c r="R55" i="3" s="1"/>
  <c r="R39" i="31"/>
  <c r="R39" i="3" s="1"/>
  <c r="R36" i="31"/>
  <c r="R36" i="3" s="1"/>
  <c r="R40" i="31"/>
  <c r="R40" i="3" s="1"/>
  <c r="R54" i="31"/>
  <c r="R54" i="3" s="1"/>
  <c r="R62" i="31"/>
  <c r="R62" i="3" s="1"/>
  <c r="R57" i="31"/>
  <c r="R57" i="3" s="1"/>
  <c r="R42" i="31"/>
  <c r="R42" i="3" s="1"/>
  <c r="R37" i="31"/>
  <c r="R37" i="3" s="1"/>
  <c r="R44" i="31"/>
  <c r="R44" i="3" s="1"/>
  <c r="R49" i="31"/>
  <c r="R49" i="3" s="1"/>
  <c r="R50" i="31"/>
  <c r="R50" i="3" s="1"/>
  <c r="R27" i="31"/>
  <c r="R27" i="3" s="1"/>
  <c r="R58" i="31"/>
  <c r="R58" i="3" s="1"/>
  <c r="R31" i="31"/>
  <c r="R31" i="3" s="1"/>
  <c r="R41" i="31"/>
  <c r="R41" i="3" s="1"/>
  <c r="R61" i="31"/>
  <c r="R61" i="3" s="1"/>
  <c r="R51" i="31"/>
  <c r="R51" i="3" s="1"/>
  <c r="R46" i="31"/>
  <c r="R46" i="3" s="1"/>
  <c r="R26" i="31"/>
  <c r="R26" i="3" s="1"/>
  <c r="R38" i="31"/>
  <c r="R38" i="3" s="1"/>
  <c r="R32" i="31"/>
  <c r="R32" i="3" s="1"/>
  <c r="R63" i="31"/>
  <c r="R63" i="3" s="1"/>
  <c r="R28" i="31"/>
  <c r="R28" i="3" s="1"/>
  <c r="R60" i="31"/>
  <c r="R60" i="3" s="1"/>
  <c r="R43" i="31"/>
  <c r="R43" i="3" s="1"/>
  <c r="R25" i="31"/>
  <c r="R25" i="3" s="1"/>
  <c r="R48" i="31"/>
  <c r="R48" i="3" s="1"/>
  <c r="R24" i="31"/>
  <c r="R24" i="3" s="1"/>
  <c r="R30" i="31"/>
  <c r="R30" i="3" s="1"/>
  <c r="R53" i="31"/>
  <c r="R53" i="3" s="1"/>
  <c r="R59" i="31"/>
  <c r="R59" i="3" s="1"/>
  <c r="R23" i="31"/>
  <c r="R23" i="3" s="1"/>
  <c r="R29" i="31"/>
  <c r="R29" i="3" s="1"/>
  <c r="R47" i="31"/>
  <c r="R47" i="3" s="1"/>
  <c r="Q40" i="31"/>
  <c r="Q40" i="3" s="1"/>
  <c r="Q27" i="31"/>
  <c r="Q27" i="3" s="1"/>
  <c r="Q52" i="31"/>
  <c r="Q52" i="3" s="1"/>
  <c r="Q50" i="31"/>
  <c r="Q50" i="3" s="1"/>
  <c r="Q55" i="31"/>
  <c r="Q55" i="3" s="1"/>
  <c r="Q58" i="31"/>
  <c r="Q58" i="3" s="1"/>
  <c r="Q37" i="31"/>
  <c r="Q37" i="3" s="1"/>
  <c r="Q38" i="31"/>
  <c r="Q38" i="3" s="1"/>
  <c r="Q59" i="31"/>
  <c r="Q45" i="31"/>
  <c r="Q45" i="3" s="1"/>
  <c r="Q31" i="31"/>
  <c r="Q31" i="3" s="1"/>
  <c r="Q28" i="31"/>
  <c r="Q28" i="3" s="1"/>
  <c r="Q39" i="31"/>
  <c r="Q39" i="3" s="1"/>
  <c r="Q44" i="31"/>
  <c r="Q44" i="3" s="1"/>
  <c r="Q60" i="31"/>
  <c r="Q60" i="3" s="1"/>
  <c r="Q46" i="31"/>
  <c r="Q46" i="3" s="1"/>
  <c r="Q42" i="31"/>
  <c r="Q61" i="31"/>
  <c r="Q61" i="3" s="1"/>
  <c r="Q51" i="31"/>
  <c r="Q51" i="3" s="1"/>
  <c r="Q34" i="31"/>
  <c r="Q34" i="3" s="1"/>
  <c r="Q49" i="31"/>
  <c r="Q49" i="3" s="1"/>
  <c r="Q41" i="31"/>
  <c r="Q41" i="3" s="1"/>
  <c r="Q57" i="31"/>
  <c r="Q57" i="3" s="1"/>
  <c r="Q48" i="31"/>
  <c r="Q25" i="31"/>
  <c r="Q25" i="3" s="1"/>
  <c r="Q26" i="31"/>
  <c r="Q26" i="3" s="1"/>
  <c r="Q35" i="31"/>
  <c r="Q35" i="3" s="1"/>
  <c r="Q43" i="31"/>
  <c r="Q43" i="3" s="1"/>
  <c r="Q54" i="31"/>
  <c r="Q54" i="3" s="1"/>
  <c r="Q29" i="31"/>
  <c r="Q29" i="3" s="1"/>
  <c r="Q47" i="31"/>
  <c r="Q47" i="3" s="1"/>
  <c r="Q23" i="31"/>
  <c r="Q23" i="3" s="1"/>
  <c r="Q32" i="31"/>
  <c r="Q32" i="3" s="1"/>
  <c r="Q24" i="31"/>
  <c r="Q24" i="3" s="1"/>
  <c r="Q33" i="31"/>
  <c r="Q33" i="3" s="1"/>
  <c r="Q36" i="31"/>
  <c r="Q36" i="3" s="1"/>
  <c r="Q56" i="31"/>
  <c r="Q56" i="3" s="1"/>
  <c r="Q53" i="31"/>
  <c r="Q53" i="3" s="1"/>
  <c r="Q30" i="31"/>
  <c r="Q30" i="3" s="1"/>
  <c r="Q48" i="3"/>
  <c r="Q59" i="3"/>
  <c r="Q42" i="3"/>
  <c r="C46" i="6"/>
  <c r="B31" i="2" s="1"/>
  <c r="C55" i="1"/>
  <c r="D16" i="31" l="1"/>
  <c r="S54" i="31" s="1"/>
  <c r="D16" i="3"/>
  <c r="B17" i="3"/>
  <c r="D17" i="3" s="1"/>
  <c r="B17" i="31"/>
  <c r="C56" i="1"/>
  <c r="C47" i="6"/>
  <c r="B32" i="2" s="1"/>
  <c r="C28" i="6"/>
  <c r="S37" i="31" l="1"/>
  <c r="S76" i="31"/>
  <c r="S75" i="31"/>
  <c r="S51" i="31"/>
  <c r="S45" i="31"/>
  <c r="S50" i="31"/>
  <c r="S52" i="31"/>
  <c r="S28" i="31"/>
  <c r="S41" i="31"/>
  <c r="S23" i="31"/>
  <c r="S71" i="31"/>
  <c r="S67" i="31"/>
  <c r="S33" i="31"/>
  <c r="S77" i="31"/>
  <c r="S27" i="31"/>
  <c r="S58" i="31"/>
  <c r="S80" i="31"/>
  <c r="S48" i="31"/>
  <c r="S78" i="31"/>
  <c r="S25" i="31"/>
  <c r="S26" i="31"/>
  <c r="S24" i="31"/>
  <c r="S32" i="31"/>
  <c r="S57" i="31"/>
  <c r="S55" i="31"/>
  <c r="S40" i="31"/>
  <c r="S69" i="31"/>
  <c r="S73" i="31"/>
  <c r="S49" i="31"/>
  <c r="S70" i="31"/>
  <c r="S47" i="31"/>
  <c r="S82" i="31"/>
  <c r="S81" i="31"/>
  <c r="S74" i="31"/>
  <c r="S53" i="31"/>
  <c r="S66" i="31"/>
  <c r="S68" i="31"/>
  <c r="S65" i="31"/>
  <c r="S56" i="31"/>
  <c r="S35" i="31"/>
  <c r="S44" i="31"/>
  <c r="S29" i="31"/>
  <c r="S43" i="31"/>
  <c r="S79" i="31"/>
  <c r="S61" i="31"/>
  <c r="S42" i="31"/>
  <c r="S64" i="31"/>
  <c r="S34" i="31"/>
  <c r="S38" i="31"/>
  <c r="S46" i="31"/>
  <c r="S30" i="31"/>
  <c r="S60" i="31"/>
  <c r="S63" i="31"/>
  <c r="S36" i="31"/>
  <c r="S72" i="31"/>
  <c r="S31" i="31"/>
  <c r="S39" i="31"/>
  <c r="S59" i="31"/>
  <c r="S62" i="31"/>
  <c r="B18" i="3"/>
  <c r="D18" i="3" s="1"/>
  <c r="B83" i="3" s="1"/>
  <c r="B18" i="31"/>
  <c r="D18" i="31" s="1"/>
  <c r="D17" i="31"/>
  <c r="T81" i="31" s="1"/>
  <c r="T81" i="3" s="1"/>
  <c r="S39" i="3"/>
  <c r="S72" i="3"/>
  <c r="S40" i="3"/>
  <c r="S23" i="3"/>
  <c r="S35" i="3"/>
  <c r="S30" i="3"/>
  <c r="S34" i="3"/>
  <c r="S44" i="3"/>
  <c r="S78" i="3"/>
  <c r="S53" i="3"/>
  <c r="S64" i="3"/>
  <c r="S56" i="3"/>
  <c r="S33" i="3"/>
  <c r="S48" i="3"/>
  <c r="S68" i="3"/>
  <c r="S29" i="3"/>
  <c r="S38" i="3"/>
  <c r="S47" i="3"/>
  <c r="S51" i="3"/>
  <c r="S63" i="3"/>
  <c r="S43" i="3"/>
  <c r="S26" i="3"/>
  <c r="S37" i="3"/>
  <c r="S49" i="3"/>
  <c r="S52" i="3"/>
  <c r="S59" i="3"/>
  <c r="S28" i="3"/>
  <c r="S66" i="3"/>
  <c r="S80" i="3"/>
  <c r="S46" i="3"/>
  <c r="S36" i="3"/>
  <c r="S82" i="3"/>
  <c r="S62" i="3"/>
  <c r="S75" i="3"/>
  <c r="S60" i="3"/>
  <c r="S25" i="3"/>
  <c r="S55" i="3"/>
  <c r="S79" i="3"/>
  <c r="S42" i="3"/>
  <c r="S76" i="3"/>
  <c r="S65" i="3"/>
  <c r="S45" i="3"/>
  <c r="S69" i="3"/>
  <c r="S54" i="3"/>
  <c r="S32" i="3"/>
  <c r="S50" i="3"/>
  <c r="S31" i="3"/>
  <c r="S71" i="3"/>
  <c r="S41" i="3"/>
  <c r="S81" i="3"/>
  <c r="S70" i="3"/>
  <c r="S74" i="3"/>
  <c r="S57" i="3"/>
  <c r="S58" i="3"/>
  <c r="S67" i="3"/>
  <c r="S27" i="3"/>
  <c r="S77" i="3"/>
  <c r="S73" i="3"/>
  <c r="S61" i="3"/>
  <c r="S24" i="3"/>
  <c r="C29" i="6"/>
  <c r="C48" i="6"/>
  <c r="B33" i="2" s="1"/>
  <c r="C57" i="1"/>
  <c r="C26" i="31" l="1"/>
  <c r="H26" i="31" s="1"/>
  <c r="C47" i="31"/>
  <c r="F47" i="31" s="1"/>
  <c r="C25" i="31"/>
  <c r="H25" i="31" s="1"/>
  <c r="C71" i="31"/>
  <c r="F71" i="31" s="1"/>
  <c r="C31" i="31"/>
  <c r="E31" i="31" s="1"/>
  <c r="C41" i="31"/>
  <c r="F41" i="31" s="1"/>
  <c r="C76" i="31"/>
  <c r="H76" i="31" s="1"/>
  <c r="C50" i="31"/>
  <c r="G50" i="31" s="1"/>
  <c r="C37" i="3"/>
  <c r="G37" i="3" s="1"/>
  <c r="C71" i="3"/>
  <c r="F71" i="3" s="1"/>
  <c r="C73" i="3"/>
  <c r="H73" i="3" s="1"/>
  <c r="C60" i="3"/>
  <c r="D60" i="3" s="1"/>
  <c r="C54" i="31"/>
  <c r="G54" i="31" s="1"/>
  <c r="C81" i="31"/>
  <c r="D81" i="31" s="1"/>
  <c r="C56" i="31"/>
  <c r="D56" i="31" s="1"/>
  <c r="C55" i="3"/>
  <c r="H55" i="3" s="1"/>
  <c r="C66" i="3"/>
  <c r="G66" i="3" s="1"/>
  <c r="C46" i="3"/>
  <c r="D46" i="3" s="1"/>
  <c r="C27" i="3"/>
  <c r="E27" i="3" s="1"/>
  <c r="C65" i="3"/>
  <c r="G65" i="3" s="1"/>
  <c r="C50" i="3"/>
  <c r="E50" i="3" s="1"/>
  <c r="C67" i="3"/>
  <c r="H67" i="3" s="1"/>
  <c r="C26" i="3"/>
  <c r="D26" i="3" s="1"/>
  <c r="C24" i="3"/>
  <c r="E24" i="3" s="1"/>
  <c r="C62" i="3"/>
  <c r="F62" i="3" s="1"/>
  <c r="T42" i="31"/>
  <c r="T42" i="3" s="1"/>
  <c r="C36" i="31"/>
  <c r="E36" i="31" s="1"/>
  <c r="C45" i="31"/>
  <c r="F45" i="31" s="1"/>
  <c r="C59" i="3"/>
  <c r="D59" i="3" s="1"/>
  <c r="C40" i="3"/>
  <c r="H40" i="3" s="1"/>
  <c r="C80" i="3"/>
  <c r="G80" i="3" s="1"/>
  <c r="C68" i="3"/>
  <c r="E68" i="3" s="1"/>
  <c r="C41" i="3"/>
  <c r="D41" i="3" s="1"/>
  <c r="C30" i="3"/>
  <c r="D30" i="3" s="1"/>
  <c r="C39" i="3"/>
  <c r="H39" i="3" s="1"/>
  <c r="C49" i="31"/>
  <c r="D49" i="31" s="1"/>
  <c r="C66" i="31"/>
  <c r="G66" i="31" s="1"/>
  <c r="C82" i="3"/>
  <c r="D82" i="3" s="1"/>
  <c r="C79" i="3"/>
  <c r="H79" i="3" s="1"/>
  <c r="C70" i="3"/>
  <c r="E70" i="3" s="1"/>
  <c r="C54" i="3"/>
  <c r="D54" i="3" s="1"/>
  <c r="C29" i="31"/>
  <c r="D29" i="31" s="1"/>
  <c r="C38" i="31"/>
  <c r="G38" i="31" s="1"/>
  <c r="C43" i="3"/>
  <c r="E43" i="3" s="1"/>
  <c r="C51" i="3"/>
  <c r="D51" i="3" s="1"/>
  <c r="C63" i="3"/>
  <c r="F63" i="3" s="1"/>
  <c r="C69" i="3"/>
  <c r="G69" i="3" s="1"/>
  <c r="C46" i="31"/>
  <c r="C33" i="31"/>
  <c r="C32" i="31"/>
  <c r="C24" i="31"/>
  <c r="C40" i="31"/>
  <c r="C30" i="31"/>
  <c r="C72" i="31"/>
  <c r="C53" i="31"/>
  <c r="C68" i="31"/>
  <c r="C80" i="31"/>
  <c r="C39" i="31"/>
  <c r="C82" i="31"/>
  <c r="C51" i="31"/>
  <c r="C78" i="31"/>
  <c r="C37" i="31"/>
  <c r="C53" i="3"/>
  <c r="C77" i="3"/>
  <c r="C81" i="3"/>
  <c r="C75" i="3"/>
  <c r="C23" i="3"/>
  <c r="C57" i="3"/>
  <c r="C48" i="3"/>
  <c r="C42" i="31"/>
  <c r="C35" i="31"/>
  <c r="C43" i="31"/>
  <c r="C61" i="31"/>
  <c r="C59" i="31"/>
  <c r="C69" i="31"/>
  <c r="C60" i="31"/>
  <c r="C58" i="31"/>
  <c r="C62" i="31"/>
  <c r="C33" i="3"/>
  <c r="C44" i="3"/>
  <c r="C74" i="3"/>
  <c r="C34" i="3"/>
  <c r="C61" i="3"/>
  <c r="C76" i="3"/>
  <c r="C38" i="3"/>
  <c r="C25" i="3"/>
  <c r="C64" i="31"/>
  <c r="C70" i="31"/>
  <c r="C57" i="31"/>
  <c r="C52" i="31"/>
  <c r="C67" i="31"/>
  <c r="C74" i="31"/>
  <c r="C73" i="31"/>
  <c r="C65" i="31"/>
  <c r="C63" i="31"/>
  <c r="C55" i="31"/>
  <c r="C35" i="3"/>
  <c r="C45" i="3"/>
  <c r="C36" i="3"/>
  <c r="C78" i="3"/>
  <c r="C47" i="3"/>
  <c r="C49" i="3"/>
  <c r="C31" i="3"/>
  <c r="C42" i="3"/>
  <c r="C34" i="31"/>
  <c r="C75" i="31"/>
  <c r="C28" i="31"/>
  <c r="C79" i="31"/>
  <c r="C48" i="31"/>
  <c r="C27" i="31"/>
  <c r="C23" i="31"/>
  <c r="C77" i="31"/>
  <c r="C44" i="31"/>
  <c r="C28" i="3"/>
  <c r="C56" i="3"/>
  <c r="C32" i="3"/>
  <c r="C64" i="3"/>
  <c r="C58" i="3"/>
  <c r="C52" i="3"/>
  <c r="C72" i="3"/>
  <c r="C29" i="3"/>
  <c r="T26" i="31"/>
  <c r="T26" i="3" s="1"/>
  <c r="T28" i="31"/>
  <c r="T28" i="3" s="1"/>
  <c r="T51" i="31"/>
  <c r="T51" i="3" s="1"/>
  <c r="T45" i="31"/>
  <c r="T45" i="3" s="1"/>
  <c r="T27" i="31"/>
  <c r="T27" i="3" s="1"/>
  <c r="T59" i="31"/>
  <c r="T59" i="3" s="1"/>
  <c r="T47" i="31"/>
  <c r="T47" i="3" s="1"/>
  <c r="T62" i="31"/>
  <c r="T62" i="3" s="1"/>
  <c r="T39" i="31"/>
  <c r="T39" i="3" s="1"/>
  <c r="T36" i="31"/>
  <c r="T36" i="3" s="1"/>
  <c r="T25" i="31"/>
  <c r="T25" i="3" s="1"/>
  <c r="T52" i="31"/>
  <c r="T52" i="3" s="1"/>
  <c r="T64" i="31"/>
  <c r="T64" i="3" s="1"/>
  <c r="T61" i="31"/>
  <c r="T61" i="3" s="1"/>
  <c r="T58" i="31"/>
  <c r="T58" i="3" s="1"/>
  <c r="T82" i="31"/>
  <c r="T82" i="3" s="1"/>
  <c r="T57" i="31"/>
  <c r="T57" i="3" s="1"/>
  <c r="T40" i="31"/>
  <c r="T40" i="3" s="1"/>
  <c r="T23" i="31"/>
  <c r="T23" i="3" s="1"/>
  <c r="T78" i="31"/>
  <c r="T78" i="3" s="1"/>
  <c r="T46" i="31"/>
  <c r="T46" i="3" s="1"/>
  <c r="T65" i="31"/>
  <c r="T65" i="3" s="1"/>
  <c r="T72" i="31"/>
  <c r="T72" i="3" s="1"/>
  <c r="T76" i="31"/>
  <c r="T76" i="3" s="1"/>
  <c r="T56" i="31"/>
  <c r="T56" i="3" s="1"/>
  <c r="T43" i="31"/>
  <c r="T43" i="3" s="1"/>
  <c r="T37" i="31"/>
  <c r="T37" i="3" s="1"/>
  <c r="T24" i="31"/>
  <c r="T24" i="3" s="1"/>
  <c r="T71" i="31"/>
  <c r="T71" i="3" s="1"/>
  <c r="T67" i="31"/>
  <c r="T67" i="3" s="1"/>
  <c r="T68" i="31"/>
  <c r="T68" i="3" s="1"/>
  <c r="T32" i="31"/>
  <c r="T32" i="3" s="1"/>
  <c r="T33" i="31"/>
  <c r="T33" i="3" s="1"/>
  <c r="T79" i="31"/>
  <c r="T79" i="3" s="1"/>
  <c r="T38" i="31"/>
  <c r="T38" i="3" s="1"/>
  <c r="T77" i="31"/>
  <c r="T77" i="3" s="1"/>
  <c r="T54" i="31"/>
  <c r="T54" i="3" s="1"/>
  <c r="T48" i="31"/>
  <c r="T48" i="3" s="1"/>
  <c r="T66" i="31"/>
  <c r="T66" i="3" s="1"/>
  <c r="T53" i="31"/>
  <c r="T53" i="3" s="1"/>
  <c r="T74" i="31"/>
  <c r="T74" i="3" s="1"/>
  <c r="T31" i="31"/>
  <c r="T31" i="3" s="1"/>
  <c r="T55" i="31"/>
  <c r="T55" i="3" s="1"/>
  <c r="T60" i="31"/>
  <c r="T60" i="3" s="1"/>
  <c r="T29" i="31"/>
  <c r="T29" i="3" s="1"/>
  <c r="T63" i="31"/>
  <c r="T63" i="3" s="1"/>
  <c r="T44" i="31"/>
  <c r="T44" i="3" s="1"/>
  <c r="T69" i="31"/>
  <c r="T69" i="3" s="1"/>
  <c r="T73" i="31"/>
  <c r="T73" i="3" s="1"/>
  <c r="B83" i="31"/>
  <c r="A83" i="31" s="1"/>
  <c r="T50" i="31"/>
  <c r="T50" i="3" s="1"/>
  <c r="T34" i="31"/>
  <c r="T34" i="3" s="1"/>
  <c r="T70" i="31"/>
  <c r="T70" i="3" s="1"/>
  <c r="T35" i="31"/>
  <c r="T35" i="3" s="1"/>
  <c r="T75" i="31"/>
  <c r="T75" i="3" s="1"/>
  <c r="T80" i="31"/>
  <c r="T80" i="3" s="1"/>
  <c r="T41" i="31"/>
  <c r="T41" i="3" s="1"/>
  <c r="T49" i="31"/>
  <c r="T49" i="3" s="1"/>
  <c r="T30" i="31"/>
  <c r="T30" i="3" s="1"/>
  <c r="A83" i="3"/>
  <c r="B84" i="3"/>
  <c r="C83" i="3"/>
  <c r="E83" i="3" s="1"/>
  <c r="C30" i="6"/>
  <c r="I30" i="6" s="1"/>
  <c r="I32" i="6" s="1"/>
  <c r="E9" i="24"/>
  <c r="E9" i="21"/>
  <c r="E9" i="19"/>
  <c r="E9" i="26"/>
  <c r="E9" i="20"/>
  <c r="E9" i="27"/>
  <c r="B9" i="27" s="1"/>
  <c r="E9" i="13"/>
  <c r="E9" i="23"/>
  <c r="E9" i="25"/>
  <c r="E9" i="22"/>
  <c r="C49" i="6"/>
  <c r="G49" i="6" s="1"/>
  <c r="F32" i="7" s="1"/>
  <c r="D47" i="31" l="1"/>
  <c r="G26" i="31"/>
  <c r="F26" i="31"/>
  <c r="G47" i="31"/>
  <c r="H29" i="31"/>
  <c r="E71" i="3"/>
  <c r="H30" i="3"/>
  <c r="H47" i="31"/>
  <c r="E47" i="31"/>
  <c r="E71" i="31"/>
  <c r="F65" i="3"/>
  <c r="D71" i="31"/>
  <c r="D65" i="3"/>
  <c r="G71" i="31"/>
  <c r="H71" i="31"/>
  <c r="E26" i="31"/>
  <c r="D26" i="31"/>
  <c r="G49" i="31"/>
  <c r="E49" i="31"/>
  <c r="G73" i="3"/>
  <c r="F27" i="3"/>
  <c r="D73" i="3"/>
  <c r="F25" i="31"/>
  <c r="F73" i="3"/>
  <c r="D25" i="31"/>
  <c r="E73" i="3"/>
  <c r="G36" i="31"/>
  <c r="E38" i="31"/>
  <c r="E39" i="3"/>
  <c r="H36" i="31"/>
  <c r="D31" i="31"/>
  <c r="H31" i="31"/>
  <c r="F29" i="31"/>
  <c r="F40" i="3"/>
  <c r="F38" i="31"/>
  <c r="G81" i="31"/>
  <c r="F81" i="31"/>
  <c r="F31" i="31"/>
  <c r="F79" i="3"/>
  <c r="H56" i="31"/>
  <c r="F69" i="3"/>
  <c r="E56" i="31"/>
  <c r="D69" i="3"/>
  <c r="G56" i="31"/>
  <c r="E63" i="3"/>
  <c r="G79" i="3"/>
  <c r="G76" i="31"/>
  <c r="E80" i="3"/>
  <c r="F50" i="31"/>
  <c r="E26" i="3"/>
  <c r="G63" i="3"/>
  <c r="D55" i="3"/>
  <c r="D76" i="31"/>
  <c r="D41" i="31"/>
  <c r="E50" i="31"/>
  <c r="H26" i="3"/>
  <c r="F26" i="3"/>
  <c r="D63" i="3"/>
  <c r="F76" i="31"/>
  <c r="H41" i="31"/>
  <c r="F70" i="3"/>
  <c r="E69" i="3"/>
  <c r="F80" i="3"/>
  <c r="E76" i="31"/>
  <c r="G82" i="3"/>
  <c r="G67" i="3"/>
  <c r="D45" i="31"/>
  <c r="G24" i="3"/>
  <c r="D79" i="3"/>
  <c r="H69" i="3"/>
  <c r="H38" i="31"/>
  <c r="G39" i="3"/>
  <c r="E25" i="31"/>
  <c r="D36" i="31"/>
  <c r="F54" i="3"/>
  <c r="D38" i="31"/>
  <c r="D39" i="3"/>
  <c r="G25" i="31"/>
  <c r="G27" i="3"/>
  <c r="F39" i="3"/>
  <c r="D27" i="3"/>
  <c r="D37" i="3"/>
  <c r="F36" i="31"/>
  <c r="H54" i="3"/>
  <c r="E41" i="31"/>
  <c r="F82" i="3"/>
  <c r="H63" i="3"/>
  <c r="H66" i="3"/>
  <c r="G31" i="31"/>
  <c r="H81" i="31"/>
  <c r="G41" i="31"/>
  <c r="E82" i="3"/>
  <c r="H50" i="31"/>
  <c r="H41" i="3"/>
  <c r="F67" i="3"/>
  <c r="E66" i="3"/>
  <c r="F66" i="3"/>
  <c r="H82" i="3"/>
  <c r="D62" i="3"/>
  <c r="D40" i="3"/>
  <c r="D50" i="31"/>
  <c r="E62" i="3"/>
  <c r="E67" i="3"/>
  <c r="E40" i="3"/>
  <c r="E81" i="31"/>
  <c r="E66" i="31"/>
  <c r="G40" i="3"/>
  <c r="H62" i="3"/>
  <c r="D83" i="3"/>
  <c r="G62" i="3"/>
  <c r="E41" i="3"/>
  <c r="D67" i="3"/>
  <c r="F37" i="3"/>
  <c r="G51" i="3"/>
  <c r="E54" i="3"/>
  <c r="D66" i="3"/>
  <c r="G29" i="31"/>
  <c r="H49" i="31"/>
  <c r="G60" i="3"/>
  <c r="E30" i="3"/>
  <c r="G54" i="3"/>
  <c r="F46" i="3"/>
  <c r="E59" i="3"/>
  <c r="G43" i="3"/>
  <c r="D71" i="3"/>
  <c r="H37" i="3"/>
  <c r="F41" i="3"/>
  <c r="F60" i="3"/>
  <c r="D54" i="31"/>
  <c r="F30" i="3"/>
  <c r="G71" i="3"/>
  <c r="G30" i="3"/>
  <c r="E46" i="3"/>
  <c r="F43" i="3"/>
  <c r="H71" i="3"/>
  <c r="E37" i="3"/>
  <c r="G41" i="3"/>
  <c r="H27" i="3"/>
  <c r="H45" i="31"/>
  <c r="H43" i="3"/>
  <c r="H50" i="3"/>
  <c r="H46" i="3"/>
  <c r="D66" i="31"/>
  <c r="G45" i="31"/>
  <c r="G55" i="3"/>
  <c r="D50" i="3"/>
  <c r="G70" i="3"/>
  <c r="H66" i="31"/>
  <c r="D24" i="3"/>
  <c r="E54" i="31"/>
  <c r="E79" i="3"/>
  <c r="E55" i="3"/>
  <c r="E65" i="3"/>
  <c r="G46" i="3"/>
  <c r="F56" i="31"/>
  <c r="F49" i="31"/>
  <c r="H80" i="3"/>
  <c r="D43" i="3"/>
  <c r="H70" i="3"/>
  <c r="F66" i="31"/>
  <c r="G68" i="3"/>
  <c r="G26" i="3"/>
  <c r="H60" i="3"/>
  <c r="E45" i="31"/>
  <c r="F51" i="3"/>
  <c r="D68" i="3"/>
  <c r="H51" i="3"/>
  <c r="E29" i="31"/>
  <c r="G50" i="3"/>
  <c r="H65" i="3"/>
  <c r="F59" i="3"/>
  <c r="F68" i="3"/>
  <c r="A41" i="2"/>
  <c r="F24" i="3"/>
  <c r="H54" i="31"/>
  <c r="E60" i="3"/>
  <c r="A40" i="2"/>
  <c r="H68" i="3"/>
  <c r="G59" i="3"/>
  <c r="D80" i="3"/>
  <c r="D70" i="3"/>
  <c r="H24" i="3"/>
  <c r="F54" i="31"/>
  <c r="E51" i="3"/>
  <c r="F55" i="3"/>
  <c r="F50" i="3"/>
  <c r="H59" i="3"/>
  <c r="E23" i="31"/>
  <c r="H23" i="31"/>
  <c r="D23" i="31"/>
  <c r="F23" i="31"/>
  <c r="G23" i="31"/>
  <c r="G55" i="31"/>
  <c r="F55" i="31"/>
  <c r="H55" i="31"/>
  <c r="E55" i="31"/>
  <c r="D55" i="31"/>
  <c r="H43" i="31"/>
  <c r="E43" i="31"/>
  <c r="G43" i="31"/>
  <c r="D43" i="31"/>
  <c r="F43" i="31"/>
  <c r="H68" i="31"/>
  <c r="D68" i="31"/>
  <c r="G68" i="31"/>
  <c r="F68" i="31"/>
  <c r="E68" i="31"/>
  <c r="G31" i="3"/>
  <c r="H31" i="3"/>
  <c r="D31" i="3"/>
  <c r="E31" i="3"/>
  <c r="F31" i="3"/>
  <c r="G33" i="3"/>
  <c r="F33" i="3"/>
  <c r="H33" i="3"/>
  <c r="D33" i="3"/>
  <c r="E33" i="3"/>
  <c r="F53" i="31"/>
  <c r="H53" i="31"/>
  <c r="E53" i="31"/>
  <c r="D53" i="31"/>
  <c r="G53" i="31"/>
  <c r="E64" i="3"/>
  <c r="H64" i="3"/>
  <c r="F64" i="3"/>
  <c r="G64" i="3"/>
  <c r="D64" i="3"/>
  <c r="F49" i="3"/>
  <c r="E49" i="3"/>
  <c r="G49" i="3"/>
  <c r="D49" i="3"/>
  <c r="H49" i="3"/>
  <c r="H65" i="31"/>
  <c r="D65" i="31"/>
  <c r="E65" i="31"/>
  <c r="F65" i="31"/>
  <c r="G65" i="31"/>
  <c r="D25" i="3"/>
  <c r="E25" i="3"/>
  <c r="H25" i="3"/>
  <c r="F25" i="3"/>
  <c r="G25" i="3"/>
  <c r="E62" i="31"/>
  <c r="F62" i="31"/>
  <c r="G62" i="31"/>
  <c r="H62" i="31"/>
  <c r="D62" i="31"/>
  <c r="F37" i="31"/>
  <c r="E37" i="31"/>
  <c r="G37" i="31"/>
  <c r="H37" i="31"/>
  <c r="D37" i="31"/>
  <c r="F33" i="31"/>
  <c r="H33" i="31"/>
  <c r="G33" i="31"/>
  <c r="E33" i="31"/>
  <c r="D33" i="31"/>
  <c r="E32" i="3"/>
  <c r="D32" i="3"/>
  <c r="F32" i="3"/>
  <c r="G32" i="3"/>
  <c r="H32" i="3"/>
  <c r="F79" i="31"/>
  <c r="H79" i="31"/>
  <c r="G79" i="31"/>
  <c r="E79" i="31"/>
  <c r="D79" i="31"/>
  <c r="D47" i="3"/>
  <c r="G47" i="3"/>
  <c r="E47" i="3"/>
  <c r="H47" i="3"/>
  <c r="F47" i="3"/>
  <c r="A39" i="2"/>
  <c r="D73" i="31"/>
  <c r="E73" i="31"/>
  <c r="G73" i="31"/>
  <c r="F73" i="31"/>
  <c r="H73" i="31"/>
  <c r="E38" i="3"/>
  <c r="F38" i="3"/>
  <c r="D38" i="3"/>
  <c r="H38" i="3"/>
  <c r="G38" i="3"/>
  <c r="H58" i="31"/>
  <c r="D58" i="31"/>
  <c r="G58" i="31"/>
  <c r="F58" i="31"/>
  <c r="E58" i="31"/>
  <c r="E35" i="31"/>
  <c r="G35" i="31"/>
  <c r="H35" i="31"/>
  <c r="D35" i="31"/>
  <c r="F35" i="31"/>
  <c r="F48" i="3"/>
  <c r="H48" i="3"/>
  <c r="G48" i="3"/>
  <c r="E48" i="3"/>
  <c r="D48" i="3"/>
  <c r="H78" i="31"/>
  <c r="F78" i="31"/>
  <c r="D78" i="31"/>
  <c r="E78" i="31"/>
  <c r="G78" i="31"/>
  <c r="F46" i="31"/>
  <c r="D46" i="31"/>
  <c r="G46" i="31"/>
  <c r="H46" i="31"/>
  <c r="E46" i="31"/>
  <c r="E27" i="31"/>
  <c r="F27" i="31"/>
  <c r="H27" i="31"/>
  <c r="G27" i="31"/>
  <c r="D27" i="31"/>
  <c r="D53" i="3"/>
  <c r="G53" i="3"/>
  <c r="E53" i="3"/>
  <c r="H53" i="3"/>
  <c r="F53" i="3"/>
  <c r="E56" i="3"/>
  <c r="G56" i="3"/>
  <c r="D56" i="3"/>
  <c r="F56" i="3"/>
  <c r="H56" i="3"/>
  <c r="G74" i="31"/>
  <c r="E74" i="31"/>
  <c r="F74" i="31"/>
  <c r="D74" i="31"/>
  <c r="H74" i="31"/>
  <c r="H57" i="3"/>
  <c r="G57" i="3"/>
  <c r="D57" i="3"/>
  <c r="F57" i="3"/>
  <c r="E57" i="3"/>
  <c r="H51" i="31"/>
  <c r="E51" i="31"/>
  <c r="G51" i="31"/>
  <c r="F51" i="31"/>
  <c r="D51" i="31"/>
  <c r="G28" i="3"/>
  <c r="E28" i="3"/>
  <c r="F28" i="3"/>
  <c r="D28" i="3"/>
  <c r="H28" i="3"/>
  <c r="E34" i="31"/>
  <c r="G34" i="31"/>
  <c r="D34" i="31"/>
  <c r="H34" i="31"/>
  <c r="F34" i="31"/>
  <c r="E36" i="3"/>
  <c r="G36" i="3"/>
  <c r="F36" i="3"/>
  <c r="H36" i="3"/>
  <c r="D36" i="3"/>
  <c r="F67" i="31"/>
  <c r="D67" i="31"/>
  <c r="H67" i="31"/>
  <c r="G67" i="31"/>
  <c r="E67" i="31"/>
  <c r="D61" i="3"/>
  <c r="F61" i="3"/>
  <c r="H61" i="3"/>
  <c r="E61" i="3"/>
  <c r="G61" i="3"/>
  <c r="F69" i="31"/>
  <c r="G69" i="31"/>
  <c r="E69" i="31"/>
  <c r="H69" i="31"/>
  <c r="D69" i="31"/>
  <c r="F23" i="3"/>
  <c r="G23" i="3"/>
  <c r="E23" i="3"/>
  <c r="H23" i="3"/>
  <c r="D23" i="3"/>
  <c r="A37" i="2"/>
  <c r="E82" i="31"/>
  <c r="G82" i="31"/>
  <c r="D82" i="31"/>
  <c r="F82" i="31"/>
  <c r="H82" i="31"/>
  <c r="D72" i="31"/>
  <c r="G72" i="31"/>
  <c r="E72" i="31"/>
  <c r="F72" i="31"/>
  <c r="H72" i="31"/>
  <c r="F52" i="3"/>
  <c r="E52" i="3"/>
  <c r="H52" i="3"/>
  <c r="G52" i="3"/>
  <c r="D52" i="3"/>
  <c r="F42" i="3"/>
  <c r="G42" i="3"/>
  <c r="H42" i="3"/>
  <c r="D42" i="3"/>
  <c r="E42" i="3"/>
  <c r="H44" i="3"/>
  <c r="F44" i="3"/>
  <c r="D44" i="3"/>
  <c r="E44" i="3"/>
  <c r="G44" i="3"/>
  <c r="D77" i="3"/>
  <c r="G77" i="3"/>
  <c r="F77" i="3"/>
  <c r="H77" i="3"/>
  <c r="E77" i="3"/>
  <c r="E24" i="31"/>
  <c r="D24" i="31"/>
  <c r="G24" i="31"/>
  <c r="F24" i="31"/>
  <c r="H24" i="31"/>
  <c r="E58" i="3"/>
  <c r="F58" i="3"/>
  <c r="H58" i="3"/>
  <c r="D58" i="3"/>
  <c r="G58" i="3"/>
  <c r="G28" i="31"/>
  <c r="F28" i="31"/>
  <c r="H28" i="31"/>
  <c r="E28" i="31"/>
  <c r="D28" i="31"/>
  <c r="H75" i="31"/>
  <c r="F75" i="31"/>
  <c r="E75" i="31"/>
  <c r="D75" i="31"/>
  <c r="G75" i="31"/>
  <c r="E60" i="31"/>
  <c r="D60" i="31"/>
  <c r="H60" i="31"/>
  <c r="F60" i="31"/>
  <c r="G60" i="31"/>
  <c r="F42" i="31"/>
  <c r="E42" i="31"/>
  <c r="D42" i="31"/>
  <c r="H42" i="31"/>
  <c r="G42" i="31"/>
  <c r="D52" i="31"/>
  <c r="E52" i="31"/>
  <c r="G52" i="31"/>
  <c r="H52" i="31"/>
  <c r="F52" i="31"/>
  <c r="D34" i="3"/>
  <c r="F34" i="3"/>
  <c r="G34" i="3"/>
  <c r="H34" i="3"/>
  <c r="E34" i="3"/>
  <c r="G59" i="31"/>
  <c r="F59" i="31"/>
  <c r="H59" i="31"/>
  <c r="E59" i="31"/>
  <c r="D59" i="31"/>
  <c r="D75" i="3"/>
  <c r="E75" i="3"/>
  <c r="G75" i="3"/>
  <c r="F75" i="3"/>
  <c r="H75" i="3"/>
  <c r="D39" i="31"/>
  <c r="G39" i="31"/>
  <c r="E39" i="31"/>
  <c r="F39" i="31"/>
  <c r="H39" i="31"/>
  <c r="D30" i="31"/>
  <c r="G30" i="31"/>
  <c r="H30" i="31"/>
  <c r="E30" i="31"/>
  <c r="F30" i="31"/>
  <c r="G64" i="31"/>
  <c r="H64" i="31"/>
  <c r="E64" i="31"/>
  <c r="F64" i="31"/>
  <c r="D64" i="31"/>
  <c r="G63" i="31"/>
  <c r="H63" i="31"/>
  <c r="F63" i="31"/>
  <c r="D63" i="31"/>
  <c r="E63" i="31"/>
  <c r="H32" i="31"/>
  <c r="D32" i="31"/>
  <c r="E32" i="31"/>
  <c r="F32" i="31"/>
  <c r="G32" i="31"/>
  <c r="H48" i="31"/>
  <c r="G48" i="31"/>
  <c r="E48" i="31"/>
  <c r="D48" i="31"/>
  <c r="F48" i="31"/>
  <c r="D78" i="3"/>
  <c r="H78" i="3"/>
  <c r="E78" i="3"/>
  <c r="G78" i="3"/>
  <c r="F78" i="3"/>
  <c r="F76" i="3"/>
  <c r="D76" i="3"/>
  <c r="G76" i="3"/>
  <c r="H76" i="3"/>
  <c r="E76" i="3"/>
  <c r="H29" i="3"/>
  <c r="E29" i="3"/>
  <c r="D29" i="3"/>
  <c r="F29" i="3"/>
  <c r="G29" i="3"/>
  <c r="G44" i="31"/>
  <c r="F44" i="31"/>
  <c r="E44" i="31"/>
  <c r="D44" i="31"/>
  <c r="H44" i="31"/>
  <c r="D45" i="3"/>
  <c r="E45" i="3"/>
  <c r="F45" i="3"/>
  <c r="H45" i="3"/>
  <c r="G45" i="3"/>
  <c r="H57" i="31"/>
  <c r="F57" i="31"/>
  <c r="E57" i="31"/>
  <c r="D57" i="31"/>
  <c r="G57" i="31"/>
  <c r="F72" i="3"/>
  <c r="H72" i="3"/>
  <c r="D72" i="3"/>
  <c r="E72" i="3"/>
  <c r="G72" i="3"/>
  <c r="H77" i="31"/>
  <c r="F77" i="31"/>
  <c r="G77" i="31"/>
  <c r="E77" i="31"/>
  <c r="D77" i="31"/>
  <c r="F35" i="3"/>
  <c r="D35" i="3"/>
  <c r="E35" i="3"/>
  <c r="G35" i="3"/>
  <c r="A38" i="2"/>
  <c r="H35" i="3"/>
  <c r="E70" i="31"/>
  <c r="F70" i="31"/>
  <c r="G70" i="31"/>
  <c r="H70" i="31"/>
  <c r="D70" i="31"/>
  <c r="E74" i="3"/>
  <c r="D74" i="3"/>
  <c r="F74" i="3"/>
  <c r="G74" i="3"/>
  <c r="H74" i="3"/>
  <c r="G61" i="31"/>
  <c r="D61" i="31"/>
  <c r="H61" i="31"/>
  <c r="E61" i="31"/>
  <c r="F61" i="31"/>
  <c r="G81" i="3"/>
  <c r="H81" i="3"/>
  <c r="F81" i="3"/>
  <c r="D81" i="3"/>
  <c r="E81" i="3"/>
  <c r="D80" i="31"/>
  <c r="H80" i="31"/>
  <c r="F80" i="31"/>
  <c r="E80" i="31"/>
  <c r="G80" i="31"/>
  <c r="H40" i="31"/>
  <c r="E40" i="31"/>
  <c r="D40" i="31"/>
  <c r="F40" i="31"/>
  <c r="G40" i="31"/>
  <c r="C83" i="31"/>
  <c r="G83" i="31" s="1"/>
  <c r="B84" i="31"/>
  <c r="C84" i="31" s="1"/>
  <c r="H83" i="3"/>
  <c r="G83" i="3"/>
  <c r="A84" i="3"/>
  <c r="C84" i="3"/>
  <c r="E84" i="3" s="1"/>
  <c r="B85" i="3"/>
  <c r="F83" i="3"/>
  <c r="H30" i="6"/>
  <c r="B9" i="26"/>
  <c r="E10" i="26"/>
  <c r="B10" i="26" s="1"/>
  <c r="I49" i="6"/>
  <c r="I51" i="6" s="1"/>
  <c r="H49" i="6"/>
  <c r="G32" i="7" s="1"/>
  <c r="B9" i="19"/>
  <c r="E10" i="19"/>
  <c r="E10" i="13"/>
  <c r="B9" i="13"/>
  <c r="B9" i="24"/>
  <c r="E10" i="24"/>
  <c r="B9" i="22"/>
  <c r="E10" i="22"/>
  <c r="E10" i="25"/>
  <c r="B9" i="25"/>
  <c r="B9" i="23"/>
  <c r="E10" i="23"/>
  <c r="E10" i="21"/>
  <c r="B9" i="21"/>
  <c r="C53" i="27"/>
  <c r="C73" i="27"/>
  <c r="C61" i="27"/>
  <c r="C59" i="27"/>
  <c r="C38" i="27"/>
  <c r="C39" i="27"/>
  <c r="C37" i="27"/>
  <c r="C29" i="27"/>
  <c r="C80" i="27"/>
  <c r="C76" i="27"/>
  <c r="C72" i="27"/>
  <c r="C43" i="27"/>
  <c r="C81" i="27"/>
  <c r="C70" i="27"/>
  <c r="C49" i="27"/>
  <c r="C46" i="27"/>
  <c r="C54" i="27"/>
  <c r="C68" i="27"/>
  <c r="C74" i="27"/>
  <c r="C67" i="27"/>
  <c r="C65" i="27"/>
  <c r="C57" i="27"/>
  <c r="C25" i="27"/>
  <c r="C27" i="27"/>
  <c r="C52" i="27"/>
  <c r="C51" i="27"/>
  <c r="C58" i="27"/>
  <c r="C50" i="27"/>
  <c r="C44" i="27"/>
  <c r="B83" i="27"/>
  <c r="C71" i="27"/>
  <c r="C66" i="27"/>
  <c r="C31" i="27"/>
  <c r="C40" i="27"/>
  <c r="C78" i="27"/>
  <c r="C48" i="27"/>
  <c r="C79" i="27"/>
  <c r="C35" i="27"/>
  <c r="C47" i="27"/>
  <c r="C63" i="27"/>
  <c r="C75" i="27"/>
  <c r="C28" i="27"/>
  <c r="C62" i="27"/>
  <c r="C77" i="27"/>
  <c r="C36" i="27"/>
  <c r="C26" i="27"/>
  <c r="C33" i="27"/>
  <c r="C82" i="27"/>
  <c r="C56" i="27"/>
  <c r="C45" i="27"/>
  <c r="C60" i="27"/>
  <c r="C30" i="27"/>
  <c r="C69" i="27"/>
  <c r="C32" i="27"/>
  <c r="C24" i="27"/>
  <c r="C34" i="27"/>
  <c r="C41" i="27"/>
  <c r="C55" i="27"/>
  <c r="C23" i="27"/>
  <c r="C64" i="27"/>
  <c r="C42" i="27"/>
  <c r="D32" i="7"/>
  <c r="D33" i="7"/>
  <c r="B9" i="20"/>
  <c r="E10" i="20"/>
  <c r="G30" i="6"/>
  <c r="I26" i="31" l="1"/>
  <c r="I47" i="31"/>
  <c r="I71" i="31"/>
  <c r="I73" i="3"/>
  <c r="I31" i="31"/>
  <c r="I38" i="31"/>
  <c r="I26" i="3"/>
  <c r="I56" i="31"/>
  <c r="I69" i="3"/>
  <c r="I41" i="31"/>
  <c r="I27" i="3"/>
  <c r="I36" i="31"/>
  <c r="I50" i="31"/>
  <c r="I79" i="3"/>
  <c r="I39" i="3"/>
  <c r="I76" i="31"/>
  <c r="I63" i="3"/>
  <c r="I80" i="3"/>
  <c r="I25" i="31"/>
  <c r="I49" i="31"/>
  <c r="I29" i="31"/>
  <c r="I62" i="3"/>
  <c r="I43" i="3"/>
  <c r="I81" i="31"/>
  <c r="I82" i="3"/>
  <c r="I40" i="3"/>
  <c r="I66" i="3"/>
  <c r="I46" i="3"/>
  <c r="I37" i="3"/>
  <c r="I67" i="3"/>
  <c r="I41" i="3"/>
  <c r="I70" i="3"/>
  <c r="I59" i="3"/>
  <c r="I45" i="31"/>
  <c r="I54" i="31"/>
  <c r="I54" i="3"/>
  <c r="I30" i="3"/>
  <c r="I68" i="3"/>
  <c r="I57" i="31"/>
  <c r="I66" i="31"/>
  <c r="I71" i="3"/>
  <c r="I51" i="3"/>
  <c r="G40" i="2"/>
  <c r="E83" i="31"/>
  <c r="D38" i="2"/>
  <c r="F40" i="2"/>
  <c r="I60" i="3"/>
  <c r="I65" i="3"/>
  <c r="H83" i="31"/>
  <c r="I55" i="3"/>
  <c r="I50" i="3"/>
  <c r="D41" i="2"/>
  <c r="F41" i="2"/>
  <c r="I69" i="31"/>
  <c r="E40" i="2"/>
  <c r="I34" i="31"/>
  <c r="I51" i="31"/>
  <c r="D40" i="2"/>
  <c r="I44" i="31"/>
  <c r="I46" i="31"/>
  <c r="A84" i="31"/>
  <c r="I77" i="31"/>
  <c r="G41" i="2"/>
  <c r="I30" i="31"/>
  <c r="I74" i="3"/>
  <c r="E41" i="2"/>
  <c r="I28" i="3"/>
  <c r="I25" i="3"/>
  <c r="I49" i="3"/>
  <c r="I64" i="3"/>
  <c r="I24" i="3"/>
  <c r="I58" i="31"/>
  <c r="B85" i="31"/>
  <c r="B86" i="31" s="1"/>
  <c r="I81" i="3"/>
  <c r="I38" i="3"/>
  <c r="I28" i="31"/>
  <c r="C37" i="2"/>
  <c r="I23" i="3"/>
  <c r="I61" i="3"/>
  <c r="I79" i="31"/>
  <c r="I63" i="31"/>
  <c r="G37" i="2"/>
  <c r="I53" i="3"/>
  <c r="I78" i="31"/>
  <c r="I37" i="31"/>
  <c r="I43" i="31"/>
  <c r="G38" i="2"/>
  <c r="I60" i="31"/>
  <c r="I72" i="31"/>
  <c r="I36" i="3"/>
  <c r="I73" i="31"/>
  <c r="I32" i="3"/>
  <c r="I31" i="3"/>
  <c r="I61" i="31"/>
  <c r="F38" i="2"/>
  <c r="I75" i="3"/>
  <c r="I42" i="31"/>
  <c r="I42" i="3"/>
  <c r="D37" i="2"/>
  <c r="I56" i="3"/>
  <c r="I27" i="31"/>
  <c r="E39" i="2"/>
  <c r="I33" i="3"/>
  <c r="I70" i="31"/>
  <c r="I45" i="3"/>
  <c r="I77" i="3"/>
  <c r="F37" i="2"/>
  <c r="I33" i="31"/>
  <c r="I78" i="3"/>
  <c r="I59" i="31"/>
  <c r="I75" i="31"/>
  <c r="E37" i="2"/>
  <c r="I74" i="31"/>
  <c r="I48" i="3"/>
  <c r="I65" i="31"/>
  <c r="I23" i="31"/>
  <c r="D83" i="31"/>
  <c r="I80" i="31"/>
  <c r="E38" i="2"/>
  <c r="I29" i="3"/>
  <c r="I32" i="31"/>
  <c r="I64" i="31"/>
  <c r="I39" i="31"/>
  <c r="I34" i="3"/>
  <c r="I52" i="31"/>
  <c r="I24" i="31"/>
  <c r="F39" i="2"/>
  <c r="I53" i="31"/>
  <c r="I55" i="31"/>
  <c r="C41" i="2"/>
  <c r="G39" i="2"/>
  <c r="C38" i="2"/>
  <c r="I35" i="3"/>
  <c r="I76" i="3"/>
  <c r="I82" i="31"/>
  <c r="I35" i="31"/>
  <c r="D39" i="2"/>
  <c r="F83" i="31"/>
  <c r="I40" i="31"/>
  <c r="I72" i="3"/>
  <c r="I48" i="31"/>
  <c r="C40" i="2"/>
  <c r="I58" i="3"/>
  <c r="I44" i="3"/>
  <c r="I52" i="3"/>
  <c r="I67" i="31"/>
  <c r="I57" i="3"/>
  <c r="I47" i="3"/>
  <c r="C39" i="2"/>
  <c r="I62" i="31"/>
  <c r="I68" i="31"/>
  <c r="I83" i="3"/>
  <c r="G84" i="3"/>
  <c r="D84" i="3"/>
  <c r="H84" i="3"/>
  <c r="E84" i="31"/>
  <c r="G84" i="31"/>
  <c r="D84" i="31"/>
  <c r="H84" i="31"/>
  <c r="A85" i="3"/>
  <c r="C85" i="3"/>
  <c r="D85" i="3" s="1"/>
  <c r="B86" i="3"/>
  <c r="F84" i="31"/>
  <c r="F84" i="3"/>
  <c r="B10" i="13"/>
  <c r="E11" i="13"/>
  <c r="B10" i="19"/>
  <c r="E11" i="19"/>
  <c r="B10" i="25"/>
  <c r="E11" i="25"/>
  <c r="B11" i="25" s="1"/>
  <c r="B10" i="23"/>
  <c r="E11" i="23"/>
  <c r="B10" i="24"/>
  <c r="C25" i="24" s="1"/>
  <c r="G25" i="24" s="1"/>
  <c r="E11" i="24"/>
  <c r="B10" i="20"/>
  <c r="E11" i="20"/>
  <c r="B10" i="22"/>
  <c r="E11" i="22"/>
  <c r="B10" i="21"/>
  <c r="E11" i="21"/>
  <c r="G51" i="6"/>
  <c r="F33" i="7" s="1"/>
  <c r="H41" i="27"/>
  <c r="F41" i="27"/>
  <c r="D41" i="27"/>
  <c r="G41" i="27"/>
  <c r="E41" i="27"/>
  <c r="H56" i="27"/>
  <c r="G56" i="27"/>
  <c r="E56" i="27"/>
  <c r="F56" i="27"/>
  <c r="D56" i="27"/>
  <c r="F75" i="27"/>
  <c r="E75" i="27"/>
  <c r="G75" i="27"/>
  <c r="D75" i="27"/>
  <c r="H75" i="27"/>
  <c r="H31" i="27"/>
  <c r="E31" i="27"/>
  <c r="F31" i="27"/>
  <c r="G31" i="27"/>
  <c r="D31" i="27"/>
  <c r="D52" i="27"/>
  <c r="F52" i="27"/>
  <c r="E52" i="27"/>
  <c r="G52" i="27"/>
  <c r="H52" i="27"/>
  <c r="F54" i="27"/>
  <c r="D54" i="27"/>
  <c r="G54" i="27"/>
  <c r="E54" i="27"/>
  <c r="H54" i="27"/>
  <c r="F80" i="27"/>
  <c r="E80" i="27"/>
  <c r="H80" i="27"/>
  <c r="G80" i="27"/>
  <c r="D80" i="27"/>
  <c r="H53" i="27"/>
  <c r="D53" i="27"/>
  <c r="F53" i="27"/>
  <c r="E53" i="27"/>
  <c r="G53" i="27"/>
  <c r="H51" i="6"/>
  <c r="E42" i="27"/>
  <c r="H42" i="27"/>
  <c r="G42" i="27"/>
  <c r="D42" i="27"/>
  <c r="F42" i="27"/>
  <c r="D69" i="27"/>
  <c r="G69" i="27"/>
  <c r="E69" i="27"/>
  <c r="H69" i="27"/>
  <c r="F69" i="27"/>
  <c r="F36" i="27"/>
  <c r="D36" i="27"/>
  <c r="G36" i="27"/>
  <c r="H36" i="27"/>
  <c r="E36" i="27"/>
  <c r="H79" i="27"/>
  <c r="D79" i="27"/>
  <c r="G79" i="27"/>
  <c r="F79" i="27"/>
  <c r="E79" i="27"/>
  <c r="D44" i="27"/>
  <c r="F44" i="27"/>
  <c r="G44" i="27"/>
  <c r="E44" i="27"/>
  <c r="H44" i="27"/>
  <c r="E65" i="27"/>
  <c r="F65" i="27"/>
  <c r="G65" i="27"/>
  <c r="D65" i="27"/>
  <c r="H65" i="27"/>
  <c r="H81" i="27"/>
  <c r="D81" i="27"/>
  <c r="F81" i="27"/>
  <c r="G81" i="27"/>
  <c r="E81" i="27"/>
  <c r="H38" i="27"/>
  <c r="G38" i="27"/>
  <c r="D38" i="27"/>
  <c r="F38" i="27"/>
  <c r="E38" i="27"/>
  <c r="B83" i="23"/>
  <c r="B83" i="24"/>
  <c r="C23" i="24"/>
  <c r="E23" i="27"/>
  <c r="F23" i="27"/>
  <c r="D23" i="27"/>
  <c r="H23" i="27"/>
  <c r="G23" i="27"/>
  <c r="D60" i="27"/>
  <c r="E60" i="27"/>
  <c r="G60" i="27"/>
  <c r="H60" i="27"/>
  <c r="F60" i="27"/>
  <c r="H62" i="27"/>
  <c r="D62" i="27"/>
  <c r="E62" i="27"/>
  <c r="G62" i="27"/>
  <c r="F62" i="27"/>
  <c r="E78" i="27"/>
  <c r="H78" i="27"/>
  <c r="D78" i="27"/>
  <c r="F78" i="27"/>
  <c r="G78" i="27"/>
  <c r="H58" i="27"/>
  <c r="F58" i="27"/>
  <c r="D58" i="27"/>
  <c r="E58" i="27"/>
  <c r="G58" i="27"/>
  <c r="F74" i="27"/>
  <c r="D74" i="27"/>
  <c r="G74" i="27"/>
  <c r="H74" i="27"/>
  <c r="E74" i="27"/>
  <c r="G72" i="27"/>
  <c r="D72" i="27"/>
  <c r="E72" i="27"/>
  <c r="H72" i="27"/>
  <c r="F72" i="27"/>
  <c r="F61" i="27"/>
  <c r="H61" i="27"/>
  <c r="D61" i="27"/>
  <c r="E61" i="27"/>
  <c r="G61" i="27"/>
  <c r="B83" i="20"/>
  <c r="D34" i="27"/>
  <c r="H34" i="27"/>
  <c r="G34" i="27"/>
  <c r="F34" i="27"/>
  <c r="E34" i="27"/>
  <c r="E63" i="27"/>
  <c r="F63" i="27"/>
  <c r="G63" i="27"/>
  <c r="H63" i="27"/>
  <c r="D63" i="27"/>
  <c r="E27" i="27"/>
  <c r="H27" i="27"/>
  <c r="D27" i="27"/>
  <c r="F27" i="27"/>
  <c r="G27" i="27"/>
  <c r="H29" i="27"/>
  <c r="G29" i="27"/>
  <c r="F29" i="27"/>
  <c r="D29" i="27"/>
  <c r="E29" i="27"/>
  <c r="B83" i="21"/>
  <c r="H24" i="27"/>
  <c r="D24" i="27"/>
  <c r="E24" i="27"/>
  <c r="G24" i="27"/>
  <c r="F24" i="27"/>
  <c r="G33" i="27"/>
  <c r="F33" i="27"/>
  <c r="E33" i="27"/>
  <c r="H33" i="27"/>
  <c r="D33" i="27"/>
  <c r="D47" i="27"/>
  <c r="F47" i="27"/>
  <c r="H47" i="27"/>
  <c r="G47" i="27"/>
  <c r="E47" i="27"/>
  <c r="D71" i="27"/>
  <c r="E71" i="27"/>
  <c r="F71" i="27"/>
  <c r="G71" i="27"/>
  <c r="H71" i="27"/>
  <c r="D25" i="27"/>
  <c r="H25" i="27"/>
  <c r="G25" i="27"/>
  <c r="E25" i="27"/>
  <c r="F25" i="27"/>
  <c r="E49" i="27"/>
  <c r="H49" i="27"/>
  <c r="D49" i="27"/>
  <c r="G49" i="27"/>
  <c r="F49" i="27"/>
  <c r="H37" i="27"/>
  <c r="E37" i="27"/>
  <c r="F37" i="27"/>
  <c r="D37" i="27"/>
  <c r="G37" i="27"/>
  <c r="B83" i="22"/>
  <c r="H82" i="27"/>
  <c r="E82" i="27"/>
  <c r="D82" i="27"/>
  <c r="G82" i="27"/>
  <c r="F82" i="27"/>
  <c r="G66" i="27"/>
  <c r="D66" i="27"/>
  <c r="F66" i="27"/>
  <c r="H66" i="27"/>
  <c r="E66" i="27"/>
  <c r="H46" i="27"/>
  <c r="F46" i="27"/>
  <c r="G46" i="27"/>
  <c r="D46" i="27"/>
  <c r="E46" i="27"/>
  <c r="H32" i="27"/>
  <c r="D32" i="27"/>
  <c r="F32" i="27"/>
  <c r="E32" i="27"/>
  <c r="G32" i="27"/>
  <c r="E26" i="27"/>
  <c r="D26" i="27"/>
  <c r="F26" i="27"/>
  <c r="H26" i="27"/>
  <c r="G26" i="27"/>
  <c r="E35" i="27"/>
  <c r="D35" i="27"/>
  <c r="F35" i="27"/>
  <c r="G35" i="27"/>
  <c r="H35" i="27"/>
  <c r="A83" i="27"/>
  <c r="B84" i="27"/>
  <c r="C83" i="27"/>
  <c r="E57" i="27"/>
  <c r="D57" i="27"/>
  <c r="G57" i="27"/>
  <c r="F57" i="27"/>
  <c r="H57" i="27"/>
  <c r="F70" i="27"/>
  <c r="D70" i="27"/>
  <c r="E70" i="27"/>
  <c r="H70" i="27"/>
  <c r="G70" i="27"/>
  <c r="G39" i="27"/>
  <c r="E39" i="27"/>
  <c r="H39" i="27"/>
  <c r="F39" i="27"/>
  <c r="D39" i="27"/>
  <c r="B83" i="19"/>
  <c r="G64" i="27"/>
  <c r="H64" i="27"/>
  <c r="F64" i="27"/>
  <c r="D64" i="27"/>
  <c r="E64" i="27"/>
  <c r="D30" i="27"/>
  <c r="H30" i="27"/>
  <c r="F30" i="27"/>
  <c r="G30" i="27"/>
  <c r="E30" i="27"/>
  <c r="E77" i="27"/>
  <c r="G77" i="27"/>
  <c r="F77" i="27"/>
  <c r="D77" i="27"/>
  <c r="H77" i="27"/>
  <c r="E48" i="27"/>
  <c r="G48" i="27"/>
  <c r="H48" i="27"/>
  <c r="D48" i="27"/>
  <c r="F48" i="27"/>
  <c r="D50" i="27"/>
  <c r="E50" i="27"/>
  <c r="H50" i="27"/>
  <c r="G50" i="27"/>
  <c r="F50" i="27"/>
  <c r="H67" i="27"/>
  <c r="F67" i="27"/>
  <c r="D67" i="27"/>
  <c r="G67" i="27"/>
  <c r="E67" i="27"/>
  <c r="D43" i="27"/>
  <c r="H43" i="27"/>
  <c r="E43" i="27"/>
  <c r="F43" i="27"/>
  <c r="G43" i="27"/>
  <c r="G59" i="27"/>
  <c r="F59" i="27"/>
  <c r="H59" i="27"/>
  <c r="E59" i="27"/>
  <c r="D59" i="27"/>
  <c r="B83" i="13"/>
  <c r="H32" i="6"/>
  <c r="G32" i="6"/>
  <c r="I14" i="2" s="1"/>
  <c r="F55" i="27"/>
  <c r="G55" i="27"/>
  <c r="D55" i="27"/>
  <c r="H55" i="27"/>
  <c r="E55" i="27"/>
  <c r="E45" i="27"/>
  <c r="F45" i="27"/>
  <c r="H45" i="27"/>
  <c r="D45" i="27"/>
  <c r="G45" i="27"/>
  <c r="E28" i="27"/>
  <c r="G28" i="27"/>
  <c r="H28" i="27"/>
  <c r="F28" i="27"/>
  <c r="D28" i="27"/>
  <c r="H40" i="27"/>
  <c r="E40" i="27"/>
  <c r="F40" i="27"/>
  <c r="D40" i="27"/>
  <c r="G40" i="27"/>
  <c r="G51" i="27"/>
  <c r="E51" i="27"/>
  <c r="H51" i="27"/>
  <c r="D51" i="27"/>
  <c r="F51" i="27"/>
  <c r="G68" i="27"/>
  <c r="H68" i="27"/>
  <c r="E68" i="27"/>
  <c r="D68" i="27"/>
  <c r="F68" i="27"/>
  <c r="E76" i="27"/>
  <c r="H76" i="27"/>
  <c r="G76" i="27"/>
  <c r="D76" i="27"/>
  <c r="F76" i="27"/>
  <c r="G73" i="27"/>
  <c r="D73" i="27"/>
  <c r="E73" i="27"/>
  <c r="F73" i="27"/>
  <c r="H73" i="27"/>
  <c r="C23" i="25"/>
  <c r="B83" i="25"/>
  <c r="C24" i="26"/>
  <c r="C72" i="26"/>
  <c r="C63" i="26"/>
  <c r="C42" i="26"/>
  <c r="C30" i="26"/>
  <c r="C50" i="26"/>
  <c r="C23" i="26"/>
  <c r="C49" i="26"/>
  <c r="C52" i="26"/>
  <c r="C45" i="26"/>
  <c r="C79" i="26"/>
  <c r="C44" i="26"/>
  <c r="C47" i="26"/>
  <c r="C43" i="26"/>
  <c r="C26" i="26"/>
  <c r="B83" i="26"/>
  <c r="C65" i="26"/>
  <c r="C36" i="26"/>
  <c r="C77" i="26"/>
  <c r="C73" i="26"/>
  <c r="C38" i="26"/>
  <c r="C82" i="26"/>
  <c r="C58" i="26"/>
  <c r="C37" i="26"/>
  <c r="C35" i="26"/>
  <c r="C25" i="26"/>
  <c r="C74" i="26"/>
  <c r="C31" i="26"/>
  <c r="C62" i="26"/>
  <c r="C71" i="26"/>
  <c r="C78" i="26"/>
  <c r="C75" i="26"/>
  <c r="C69" i="26"/>
  <c r="C51" i="26"/>
  <c r="C53" i="26"/>
  <c r="C33" i="26"/>
  <c r="C32" i="26"/>
  <c r="C40" i="26"/>
  <c r="C46" i="26"/>
  <c r="C60" i="26"/>
  <c r="C61" i="26"/>
  <c r="C57" i="26"/>
  <c r="C76" i="26"/>
  <c r="C59" i="26"/>
  <c r="C68" i="26"/>
  <c r="C39" i="26"/>
  <c r="C27" i="26"/>
  <c r="C55" i="26"/>
  <c r="C54" i="26"/>
  <c r="C28" i="26"/>
  <c r="C70" i="26"/>
  <c r="C48" i="26"/>
  <c r="C81" i="26"/>
  <c r="C34" i="26"/>
  <c r="C29" i="26"/>
  <c r="C67" i="26"/>
  <c r="C80" i="26"/>
  <c r="C56" i="26"/>
  <c r="C41" i="26"/>
  <c r="C64" i="26"/>
  <c r="C66" i="26"/>
  <c r="C42" i="25" l="1"/>
  <c r="D42" i="25" s="1"/>
  <c r="I83" i="31"/>
  <c r="A85" i="31"/>
  <c r="A86" i="31" s="1"/>
  <c r="E85" i="3"/>
  <c r="C85" i="31"/>
  <c r="G85" i="31" s="1"/>
  <c r="C30" i="24"/>
  <c r="E30" i="24" s="1"/>
  <c r="C26" i="24"/>
  <c r="D26" i="24" s="1"/>
  <c r="C31" i="24"/>
  <c r="D31" i="24" s="1"/>
  <c r="I84" i="3"/>
  <c r="H85" i="3"/>
  <c r="I84" i="31"/>
  <c r="C86" i="31"/>
  <c r="H86" i="31" s="1"/>
  <c r="B87" i="31"/>
  <c r="A86" i="3"/>
  <c r="C86" i="3"/>
  <c r="F86" i="3" s="1"/>
  <c r="B87" i="3"/>
  <c r="G85" i="3"/>
  <c r="F85" i="3"/>
  <c r="C34" i="24"/>
  <c r="G34" i="24" s="1"/>
  <c r="C27" i="24"/>
  <c r="D27" i="24" s="1"/>
  <c r="C33" i="24"/>
  <c r="D33" i="24" s="1"/>
  <c r="C29" i="24"/>
  <c r="G29" i="24" s="1"/>
  <c r="C35" i="24"/>
  <c r="F35" i="24" s="1"/>
  <c r="C32" i="24"/>
  <c r="G32" i="24" s="1"/>
  <c r="C24" i="24"/>
  <c r="F24" i="24" s="1"/>
  <c r="C28" i="24"/>
  <c r="G28" i="24" s="1"/>
  <c r="C71" i="25"/>
  <c r="E71" i="25" s="1"/>
  <c r="C39" i="25"/>
  <c r="G39" i="25" s="1"/>
  <c r="C63" i="25"/>
  <c r="G63" i="25" s="1"/>
  <c r="C67" i="25"/>
  <c r="D67" i="25" s="1"/>
  <c r="C46" i="25"/>
  <c r="E46" i="25" s="1"/>
  <c r="C81" i="25"/>
  <c r="F81" i="25" s="1"/>
  <c r="C79" i="25"/>
  <c r="H79" i="25" s="1"/>
  <c r="C52" i="25"/>
  <c r="E52" i="25" s="1"/>
  <c r="C75" i="25"/>
  <c r="F75" i="25" s="1"/>
  <c r="C25" i="25"/>
  <c r="E25" i="25" s="1"/>
  <c r="C51" i="25"/>
  <c r="G51" i="25" s="1"/>
  <c r="C30" i="25"/>
  <c r="F30" i="25" s="1"/>
  <c r="C48" i="25"/>
  <c r="D48" i="25" s="1"/>
  <c r="C24" i="25"/>
  <c r="G24" i="25" s="1"/>
  <c r="C57" i="25"/>
  <c r="E57" i="25" s="1"/>
  <c r="C56" i="25"/>
  <c r="D56" i="25" s="1"/>
  <c r="C72" i="25"/>
  <c r="F72" i="25" s="1"/>
  <c r="C44" i="25"/>
  <c r="F44" i="25" s="1"/>
  <c r="C65" i="25"/>
  <c r="E65" i="25" s="1"/>
  <c r="C77" i="25"/>
  <c r="F77" i="25" s="1"/>
  <c r="C78" i="25"/>
  <c r="G78" i="25" s="1"/>
  <c r="C40" i="25"/>
  <c r="H40" i="25" s="1"/>
  <c r="C27" i="25"/>
  <c r="D27" i="25" s="1"/>
  <c r="C26" i="25"/>
  <c r="G26" i="25" s="1"/>
  <c r="C80" i="25"/>
  <c r="G80" i="25" s="1"/>
  <c r="C43" i="25"/>
  <c r="D43" i="25" s="1"/>
  <c r="C45" i="25"/>
  <c r="F45" i="25" s="1"/>
  <c r="C53" i="25"/>
  <c r="G53" i="25" s="1"/>
  <c r="C29" i="25"/>
  <c r="H29" i="25" s="1"/>
  <c r="C68" i="25"/>
  <c r="D68" i="25" s="1"/>
  <c r="C38" i="25"/>
  <c r="F38" i="25" s="1"/>
  <c r="C64" i="25"/>
  <c r="E64" i="25" s="1"/>
  <c r="C41" i="25"/>
  <c r="F41" i="25" s="1"/>
  <c r="C59" i="25"/>
  <c r="G59" i="25" s="1"/>
  <c r="B11" i="21"/>
  <c r="E12" i="21"/>
  <c r="B11" i="23"/>
  <c r="C37" i="23" s="1"/>
  <c r="H37" i="23" s="1"/>
  <c r="E12" i="23"/>
  <c r="B11" i="22"/>
  <c r="E12" i="22"/>
  <c r="B11" i="19"/>
  <c r="E12" i="19"/>
  <c r="C74" i="25"/>
  <c r="G74" i="25" s="1"/>
  <c r="C73" i="25"/>
  <c r="H73" i="25" s="1"/>
  <c r="B11" i="24"/>
  <c r="C81" i="24" s="1"/>
  <c r="H81" i="24" s="1"/>
  <c r="E12" i="24"/>
  <c r="B12" i="24" s="1"/>
  <c r="B11" i="13"/>
  <c r="E12" i="13"/>
  <c r="B11" i="20"/>
  <c r="E12" i="20"/>
  <c r="C62" i="25"/>
  <c r="E62" i="25" s="1"/>
  <c r="C35" i="25"/>
  <c r="D35" i="25" s="1"/>
  <c r="C66" i="25"/>
  <c r="H66" i="25" s="1"/>
  <c r="C55" i="25"/>
  <c r="G55" i="25" s="1"/>
  <c r="C54" i="25"/>
  <c r="G54" i="25" s="1"/>
  <c r="C36" i="25"/>
  <c r="E36" i="25" s="1"/>
  <c r="C47" i="25"/>
  <c r="E47" i="25" s="1"/>
  <c r="C34" i="25"/>
  <c r="D34" i="25" s="1"/>
  <c r="C37" i="25"/>
  <c r="C70" i="25"/>
  <c r="F70" i="25" s="1"/>
  <c r="C58" i="25"/>
  <c r="E58" i="25" s="1"/>
  <c r="C76" i="25"/>
  <c r="F76" i="25" s="1"/>
  <c r="C82" i="25"/>
  <c r="D82" i="25" s="1"/>
  <c r="C60" i="25"/>
  <c r="H60" i="25" s="1"/>
  <c r="C33" i="25"/>
  <c r="H33" i="25" s="1"/>
  <c r="C69" i="25"/>
  <c r="E69" i="25" s="1"/>
  <c r="C28" i="25"/>
  <c r="C49" i="25"/>
  <c r="D49" i="25" s="1"/>
  <c r="C32" i="25"/>
  <c r="E32" i="25" s="1"/>
  <c r="C61" i="25"/>
  <c r="D61" i="25" s="1"/>
  <c r="C31" i="25"/>
  <c r="H31" i="25" s="1"/>
  <c r="C50" i="25"/>
  <c r="F50" i="25" s="1"/>
  <c r="G33" i="7"/>
  <c r="G35" i="7" s="1"/>
  <c r="H39" i="25"/>
  <c r="C25" i="23"/>
  <c r="G25" i="23" s="1"/>
  <c r="C31" i="23"/>
  <c r="G31" i="23" s="1"/>
  <c r="C29" i="23"/>
  <c r="D29" i="23" s="1"/>
  <c r="C26" i="23"/>
  <c r="E26" i="23" s="1"/>
  <c r="C27" i="23"/>
  <c r="G27" i="23" s="1"/>
  <c r="C32" i="23"/>
  <c r="H32" i="23" s="1"/>
  <c r="C24" i="23"/>
  <c r="E24" i="23" s="1"/>
  <c r="C28" i="23"/>
  <c r="H28" i="23" s="1"/>
  <c r="C23" i="23"/>
  <c r="E23" i="23" s="1"/>
  <c r="C30" i="23"/>
  <c r="H30" i="23" s="1"/>
  <c r="I82" i="27"/>
  <c r="I27" i="27"/>
  <c r="I38" i="27"/>
  <c r="I73" i="27"/>
  <c r="I76" i="27"/>
  <c r="I77" i="27"/>
  <c r="I30" i="27"/>
  <c r="I25" i="27"/>
  <c r="I63" i="27"/>
  <c r="I61" i="27"/>
  <c r="I60" i="27"/>
  <c r="G37" i="26"/>
  <c r="E37" i="26"/>
  <c r="H37" i="26"/>
  <c r="F37" i="26"/>
  <c r="D37" i="26"/>
  <c r="A83" i="25"/>
  <c r="B84" i="25"/>
  <c r="C83" i="25"/>
  <c r="G83" i="25" s="1"/>
  <c r="E46" i="26"/>
  <c r="H46" i="26"/>
  <c r="F46" i="26"/>
  <c r="D46" i="26"/>
  <c r="G46" i="26"/>
  <c r="F23" i="26"/>
  <c r="E23" i="26"/>
  <c r="G23" i="26"/>
  <c r="D23" i="26"/>
  <c r="H23" i="26"/>
  <c r="I45" i="27"/>
  <c r="I50" i="27"/>
  <c r="I49" i="27"/>
  <c r="E34" i="26"/>
  <c r="D34" i="26"/>
  <c r="G34" i="26"/>
  <c r="H34" i="26"/>
  <c r="F34" i="26"/>
  <c r="E40" i="26"/>
  <c r="F40" i="26"/>
  <c r="H40" i="26"/>
  <c r="G40" i="26"/>
  <c r="D40" i="26"/>
  <c r="H82" i="26"/>
  <c r="F82" i="26"/>
  <c r="G82" i="26"/>
  <c r="E82" i="26"/>
  <c r="D82" i="26"/>
  <c r="I51" i="27"/>
  <c r="I39" i="27"/>
  <c r="I46" i="27"/>
  <c r="I62" i="27"/>
  <c r="I79" i="27"/>
  <c r="F66" i="26"/>
  <c r="G66" i="26"/>
  <c r="D66" i="26"/>
  <c r="H66" i="26"/>
  <c r="E66" i="26"/>
  <c r="D81" i="26"/>
  <c r="F81" i="26"/>
  <c r="E81" i="26"/>
  <c r="H81" i="26"/>
  <c r="G81" i="26"/>
  <c r="D68" i="26"/>
  <c r="G68" i="26"/>
  <c r="E68" i="26"/>
  <c r="H68" i="26"/>
  <c r="F68" i="26"/>
  <c r="F32" i="26"/>
  <c r="D32" i="26"/>
  <c r="H32" i="26"/>
  <c r="E32" i="26"/>
  <c r="G32" i="26"/>
  <c r="E62" i="26"/>
  <c r="G62" i="26"/>
  <c r="D62" i="26"/>
  <c r="H62" i="26"/>
  <c r="F62" i="26"/>
  <c r="G38" i="26"/>
  <c r="F38" i="26"/>
  <c r="E38" i="26"/>
  <c r="D38" i="26"/>
  <c r="H38" i="26"/>
  <c r="D47" i="26"/>
  <c r="H47" i="26"/>
  <c r="G47" i="26"/>
  <c r="F47" i="26"/>
  <c r="E47" i="26"/>
  <c r="G30" i="26"/>
  <c r="F30" i="26"/>
  <c r="D30" i="26"/>
  <c r="H30" i="26"/>
  <c r="E30" i="26"/>
  <c r="I28" i="27"/>
  <c r="I48" i="27"/>
  <c r="I37" i="27"/>
  <c r="I33" i="27"/>
  <c r="I24" i="27"/>
  <c r="A83" i="20"/>
  <c r="B84" i="20"/>
  <c r="I74" i="27"/>
  <c r="I23" i="27"/>
  <c r="I81" i="27"/>
  <c r="I75" i="27"/>
  <c r="H55" i="26"/>
  <c r="D55" i="26"/>
  <c r="E55" i="26"/>
  <c r="G55" i="26"/>
  <c r="F55" i="26"/>
  <c r="C83" i="26"/>
  <c r="H83" i="26" s="1"/>
  <c r="A83" i="26"/>
  <c r="B84" i="26"/>
  <c r="D78" i="26"/>
  <c r="H78" i="26"/>
  <c r="F78" i="26"/>
  <c r="E78" i="26"/>
  <c r="G78" i="26"/>
  <c r="D83" i="27"/>
  <c r="G83" i="27"/>
  <c r="H83" i="27"/>
  <c r="F83" i="27"/>
  <c r="E83" i="27"/>
  <c r="I34" i="27"/>
  <c r="F39" i="26"/>
  <c r="D39" i="26"/>
  <c r="E39" i="26"/>
  <c r="H39" i="26"/>
  <c r="G39" i="26"/>
  <c r="F71" i="26"/>
  <c r="H71" i="26"/>
  <c r="E71" i="26"/>
  <c r="G71" i="26"/>
  <c r="D71" i="26"/>
  <c r="G43" i="26"/>
  <c r="E43" i="26"/>
  <c r="H43" i="26"/>
  <c r="F43" i="26"/>
  <c r="D43" i="26"/>
  <c r="H50" i="26"/>
  <c r="E50" i="26"/>
  <c r="G50" i="26"/>
  <c r="D50" i="26"/>
  <c r="F50" i="26"/>
  <c r="I67" i="27"/>
  <c r="I64" i="27"/>
  <c r="I70" i="27"/>
  <c r="C84" i="27"/>
  <c r="H84" i="27" s="1"/>
  <c r="A84" i="27"/>
  <c r="B85" i="27"/>
  <c r="I47" i="27"/>
  <c r="H64" i="26"/>
  <c r="G64" i="26"/>
  <c r="D64" i="26"/>
  <c r="F64" i="26"/>
  <c r="E64" i="26"/>
  <c r="F48" i="26"/>
  <c r="H48" i="26"/>
  <c r="G48" i="26"/>
  <c r="E48" i="26"/>
  <c r="D48" i="26"/>
  <c r="H59" i="26"/>
  <c r="E59" i="26"/>
  <c r="F59" i="26"/>
  <c r="D59" i="26"/>
  <c r="G59" i="26"/>
  <c r="E33" i="26"/>
  <c r="F33" i="26"/>
  <c r="G33" i="26"/>
  <c r="D33" i="26"/>
  <c r="H33" i="26"/>
  <c r="F31" i="26"/>
  <c r="H31" i="26"/>
  <c r="D31" i="26"/>
  <c r="G31" i="26"/>
  <c r="E31" i="26"/>
  <c r="E73" i="26"/>
  <c r="D73" i="26"/>
  <c r="G73" i="26"/>
  <c r="F73" i="26"/>
  <c r="H73" i="26"/>
  <c r="E44" i="26"/>
  <c r="H44" i="26"/>
  <c r="F44" i="26"/>
  <c r="G44" i="26"/>
  <c r="D44" i="26"/>
  <c r="H42" i="26"/>
  <c r="F42" i="26"/>
  <c r="G42" i="26"/>
  <c r="D42" i="26"/>
  <c r="E42" i="26"/>
  <c r="I26" i="27"/>
  <c r="I78" i="27"/>
  <c r="I53" i="27"/>
  <c r="I52" i="27"/>
  <c r="D67" i="26"/>
  <c r="H67" i="26"/>
  <c r="G67" i="26"/>
  <c r="E67" i="26"/>
  <c r="F67" i="26"/>
  <c r="E75" i="26"/>
  <c r="G75" i="26"/>
  <c r="D75" i="26"/>
  <c r="F75" i="26"/>
  <c r="H75" i="26"/>
  <c r="F49" i="26"/>
  <c r="D49" i="26"/>
  <c r="H49" i="26"/>
  <c r="E49" i="26"/>
  <c r="G49" i="26"/>
  <c r="A83" i="19"/>
  <c r="B84" i="19"/>
  <c r="E29" i="26"/>
  <c r="F29" i="26"/>
  <c r="H29" i="26"/>
  <c r="G29" i="26"/>
  <c r="D29" i="26"/>
  <c r="E58" i="26"/>
  <c r="G58" i="26"/>
  <c r="D58" i="26"/>
  <c r="H58" i="26"/>
  <c r="F58" i="26"/>
  <c r="G23" i="25"/>
  <c r="D23" i="25"/>
  <c r="F23" i="25"/>
  <c r="H23" i="25"/>
  <c r="E23" i="25"/>
  <c r="I66" i="27"/>
  <c r="F70" i="26"/>
  <c r="E70" i="26"/>
  <c r="D70" i="26"/>
  <c r="G70" i="26"/>
  <c r="H70" i="26"/>
  <c r="G53" i="26"/>
  <c r="H53" i="26"/>
  <c r="F53" i="26"/>
  <c r="D53" i="26"/>
  <c r="E53" i="26"/>
  <c r="H79" i="26"/>
  <c r="D79" i="26"/>
  <c r="F79" i="26"/>
  <c r="G79" i="26"/>
  <c r="E79" i="26"/>
  <c r="A83" i="13"/>
  <c r="B84" i="13"/>
  <c r="I71" i="27"/>
  <c r="I69" i="27"/>
  <c r="I31" i="27"/>
  <c r="E56" i="26"/>
  <c r="F56" i="26"/>
  <c r="H56" i="26"/>
  <c r="D56" i="26"/>
  <c r="G56" i="26"/>
  <c r="F28" i="26"/>
  <c r="H28" i="26"/>
  <c r="G28" i="26"/>
  <c r="D28" i="26"/>
  <c r="E28" i="26"/>
  <c r="E57" i="26"/>
  <c r="G57" i="26"/>
  <c r="F57" i="26"/>
  <c r="D57" i="26"/>
  <c r="H57" i="26"/>
  <c r="H51" i="26"/>
  <c r="G51" i="26"/>
  <c r="E51" i="26"/>
  <c r="D51" i="26"/>
  <c r="F51" i="26"/>
  <c r="D25" i="26"/>
  <c r="E25" i="26"/>
  <c r="G25" i="26"/>
  <c r="F25" i="26"/>
  <c r="H25" i="26"/>
  <c r="D36" i="26"/>
  <c r="F36" i="26"/>
  <c r="H36" i="26"/>
  <c r="E36" i="26"/>
  <c r="G36" i="26"/>
  <c r="G45" i="26"/>
  <c r="H45" i="26"/>
  <c r="E45" i="26"/>
  <c r="D45" i="26"/>
  <c r="F45" i="26"/>
  <c r="F72" i="26"/>
  <c r="G72" i="26"/>
  <c r="H72" i="26"/>
  <c r="D72" i="26"/>
  <c r="E72" i="26"/>
  <c r="I59" i="27"/>
  <c r="I72" i="27"/>
  <c r="H23" i="24"/>
  <c r="F23" i="24"/>
  <c r="G23" i="24"/>
  <c r="D23" i="24"/>
  <c r="E23" i="24"/>
  <c r="I65" i="27"/>
  <c r="I44" i="27"/>
  <c r="I80" i="27"/>
  <c r="I54" i="27"/>
  <c r="I41" i="27"/>
  <c r="E60" i="26"/>
  <c r="D60" i="26"/>
  <c r="G60" i="26"/>
  <c r="H60" i="26"/>
  <c r="F60" i="26"/>
  <c r="G27" i="26"/>
  <c r="H27" i="26"/>
  <c r="F27" i="26"/>
  <c r="D27" i="26"/>
  <c r="E27" i="26"/>
  <c r="H26" i="26"/>
  <c r="F26" i="26"/>
  <c r="E26" i="26"/>
  <c r="D26" i="26"/>
  <c r="G26" i="26"/>
  <c r="I32" i="27"/>
  <c r="B84" i="22"/>
  <c r="A83" i="22"/>
  <c r="B84" i="23"/>
  <c r="A83" i="23"/>
  <c r="D41" i="26"/>
  <c r="F41" i="26"/>
  <c r="H41" i="26"/>
  <c r="G41" i="26"/>
  <c r="E41" i="26"/>
  <c r="H76" i="26"/>
  <c r="E76" i="26"/>
  <c r="G76" i="26"/>
  <c r="D76" i="26"/>
  <c r="F76" i="26"/>
  <c r="E74" i="26"/>
  <c r="H74" i="26"/>
  <c r="G74" i="26"/>
  <c r="D74" i="26"/>
  <c r="F74" i="26"/>
  <c r="H77" i="26"/>
  <c r="G77" i="26"/>
  <c r="E77" i="26"/>
  <c r="F77" i="26"/>
  <c r="D77" i="26"/>
  <c r="D63" i="26"/>
  <c r="G63" i="26"/>
  <c r="F63" i="26"/>
  <c r="E63" i="26"/>
  <c r="H63" i="26"/>
  <c r="I68" i="27"/>
  <c r="B84" i="21"/>
  <c r="A83" i="21"/>
  <c r="E80" i="26"/>
  <c r="G80" i="26"/>
  <c r="H80" i="26"/>
  <c r="D80" i="26"/>
  <c r="F80" i="26"/>
  <c r="E54" i="26"/>
  <c r="G54" i="26"/>
  <c r="H54" i="26"/>
  <c r="D54" i="26"/>
  <c r="F54" i="26"/>
  <c r="H61" i="26"/>
  <c r="E61" i="26"/>
  <c r="D61" i="26"/>
  <c r="F61" i="26"/>
  <c r="G61" i="26"/>
  <c r="G69" i="26"/>
  <c r="H69" i="26"/>
  <c r="D69" i="26"/>
  <c r="F69" i="26"/>
  <c r="E69" i="26"/>
  <c r="E35" i="26"/>
  <c r="H35" i="26"/>
  <c r="D35" i="26"/>
  <c r="G35" i="26"/>
  <c r="F35" i="26"/>
  <c r="H65" i="26"/>
  <c r="F65" i="26"/>
  <c r="G65" i="26"/>
  <c r="E65" i="26"/>
  <c r="D65" i="26"/>
  <c r="D52" i="26"/>
  <c r="H52" i="26"/>
  <c r="G52" i="26"/>
  <c r="F52" i="26"/>
  <c r="E52" i="26"/>
  <c r="G24" i="26"/>
  <c r="H24" i="26"/>
  <c r="E24" i="26"/>
  <c r="D24" i="26"/>
  <c r="F24" i="26"/>
  <c r="I40" i="27"/>
  <c r="I55" i="27"/>
  <c r="I43" i="27"/>
  <c r="I57" i="27"/>
  <c r="I35" i="27"/>
  <c r="I29" i="27"/>
  <c r="I58" i="27"/>
  <c r="A83" i="24"/>
  <c r="B84" i="24"/>
  <c r="I36" i="27"/>
  <c r="I42" i="27"/>
  <c r="I56" i="27"/>
  <c r="F25" i="24"/>
  <c r="H25" i="24"/>
  <c r="E25" i="24"/>
  <c r="D25" i="24"/>
  <c r="C33" i="23"/>
  <c r="E33" i="23" s="1"/>
  <c r="C35" i="23"/>
  <c r="H35" i="23" s="1"/>
  <c r="C34" i="23"/>
  <c r="H34" i="23" s="1"/>
  <c r="H30" i="24" l="1"/>
  <c r="H42" i="25"/>
  <c r="G42" i="25"/>
  <c r="C36" i="23"/>
  <c r="G36" i="23" s="1"/>
  <c r="C38" i="23"/>
  <c r="F38" i="23" s="1"/>
  <c r="C49" i="23"/>
  <c r="E49" i="23" s="1"/>
  <c r="C51" i="23"/>
  <c r="F51" i="23" s="1"/>
  <c r="C43" i="23"/>
  <c r="E43" i="23" s="1"/>
  <c r="C58" i="23"/>
  <c r="E58" i="23" s="1"/>
  <c r="C36" i="24"/>
  <c r="G36" i="24" s="1"/>
  <c r="C76" i="23"/>
  <c r="D76" i="23" s="1"/>
  <c r="C80" i="23"/>
  <c r="G80" i="23" s="1"/>
  <c r="C60" i="23"/>
  <c r="F60" i="23" s="1"/>
  <c r="E42" i="25"/>
  <c r="C61" i="23"/>
  <c r="F61" i="23" s="1"/>
  <c r="F42" i="25"/>
  <c r="C70" i="23"/>
  <c r="F70" i="23" s="1"/>
  <c r="C82" i="23"/>
  <c r="G82" i="23" s="1"/>
  <c r="C73" i="24"/>
  <c r="G73" i="24" s="1"/>
  <c r="C56" i="24"/>
  <c r="D56" i="24" s="1"/>
  <c r="C72" i="24"/>
  <c r="G72" i="24" s="1"/>
  <c r="C59" i="24"/>
  <c r="E59" i="24" s="1"/>
  <c r="C77" i="24"/>
  <c r="G77" i="24" s="1"/>
  <c r="C66" i="24"/>
  <c r="H66" i="24" s="1"/>
  <c r="C57" i="24"/>
  <c r="G57" i="24" s="1"/>
  <c r="C82" i="24"/>
  <c r="G82" i="24" s="1"/>
  <c r="C69" i="24"/>
  <c r="E69" i="24" s="1"/>
  <c r="C49" i="24"/>
  <c r="G49" i="24" s="1"/>
  <c r="C79" i="23"/>
  <c r="F79" i="23" s="1"/>
  <c r="C63" i="23"/>
  <c r="H63" i="23" s="1"/>
  <c r="C74" i="23"/>
  <c r="H74" i="23" s="1"/>
  <c r="C47" i="23"/>
  <c r="F47" i="23" s="1"/>
  <c r="C59" i="23"/>
  <c r="F59" i="23" s="1"/>
  <c r="C41" i="23"/>
  <c r="F41" i="23" s="1"/>
  <c r="C63" i="24"/>
  <c r="E63" i="24" s="1"/>
  <c r="C64" i="24"/>
  <c r="D64" i="24" s="1"/>
  <c r="C42" i="24"/>
  <c r="D42" i="24" s="1"/>
  <c r="C46" i="24"/>
  <c r="F46" i="24" s="1"/>
  <c r="C79" i="24"/>
  <c r="D79" i="24" s="1"/>
  <c r="C74" i="24"/>
  <c r="F74" i="24" s="1"/>
  <c r="C71" i="24"/>
  <c r="H71" i="24" s="1"/>
  <c r="C52" i="24"/>
  <c r="E52" i="24" s="1"/>
  <c r="C62" i="23"/>
  <c r="G62" i="23" s="1"/>
  <c r="C71" i="23"/>
  <c r="F71" i="23" s="1"/>
  <c r="C56" i="23"/>
  <c r="F56" i="23" s="1"/>
  <c r="C54" i="23"/>
  <c r="E54" i="23" s="1"/>
  <c r="C57" i="23"/>
  <c r="G57" i="23" s="1"/>
  <c r="C39" i="23"/>
  <c r="G39" i="23" s="1"/>
  <c r="C40" i="24"/>
  <c r="D40" i="24" s="1"/>
  <c r="C53" i="24"/>
  <c r="D53" i="24" s="1"/>
  <c r="C83" i="24"/>
  <c r="G83" i="24" s="1"/>
  <c r="C60" i="24"/>
  <c r="F60" i="24" s="1"/>
  <c r="C55" i="24"/>
  <c r="D55" i="24" s="1"/>
  <c r="C75" i="24"/>
  <c r="D75" i="24" s="1"/>
  <c r="C52" i="23"/>
  <c r="D52" i="23" s="1"/>
  <c r="C77" i="23"/>
  <c r="F77" i="23" s="1"/>
  <c r="C83" i="23"/>
  <c r="E83" i="23" s="1"/>
  <c r="C46" i="23"/>
  <c r="H46" i="23" s="1"/>
  <c r="C67" i="23"/>
  <c r="E67" i="23" s="1"/>
  <c r="C58" i="24"/>
  <c r="E58" i="24" s="1"/>
  <c r="C70" i="24"/>
  <c r="H70" i="24" s="1"/>
  <c r="C65" i="24"/>
  <c r="H65" i="24" s="1"/>
  <c r="C43" i="24"/>
  <c r="F43" i="24" s="1"/>
  <c r="C39" i="24"/>
  <c r="D39" i="24" s="1"/>
  <c r="C76" i="24"/>
  <c r="E76" i="24" s="1"/>
  <c r="C78" i="23"/>
  <c r="D78" i="23" s="1"/>
  <c r="C72" i="23"/>
  <c r="F72" i="23" s="1"/>
  <c r="C66" i="23"/>
  <c r="G66" i="23" s="1"/>
  <c r="C73" i="23"/>
  <c r="F73" i="23" s="1"/>
  <c r="C53" i="23"/>
  <c r="G53" i="23" s="1"/>
  <c r="C45" i="23"/>
  <c r="F45" i="23" s="1"/>
  <c r="C67" i="24"/>
  <c r="E67" i="24" s="1"/>
  <c r="C80" i="24"/>
  <c r="D80" i="24" s="1"/>
  <c r="C50" i="24"/>
  <c r="D50" i="24" s="1"/>
  <c r="C48" i="24"/>
  <c r="G48" i="24" s="1"/>
  <c r="C41" i="24"/>
  <c r="F41" i="24" s="1"/>
  <c r="C54" i="24"/>
  <c r="F54" i="24" s="1"/>
  <c r="C68" i="23"/>
  <c r="F68" i="23" s="1"/>
  <c r="C81" i="23"/>
  <c r="G81" i="23" s="1"/>
  <c r="C50" i="23"/>
  <c r="H50" i="23" s="1"/>
  <c r="C42" i="23"/>
  <c r="D42" i="23" s="1"/>
  <c r="C55" i="23"/>
  <c r="H55" i="23" s="1"/>
  <c r="C75" i="23"/>
  <c r="D75" i="23" s="1"/>
  <c r="C61" i="24"/>
  <c r="D61" i="24" s="1"/>
  <c r="C68" i="24"/>
  <c r="E68" i="24" s="1"/>
  <c r="C62" i="24"/>
  <c r="D62" i="24" s="1"/>
  <c r="C38" i="24"/>
  <c r="F38" i="24" s="1"/>
  <c r="C69" i="23"/>
  <c r="E69" i="23" s="1"/>
  <c r="C65" i="23"/>
  <c r="E65" i="23" s="1"/>
  <c r="C48" i="23"/>
  <c r="E48" i="23" s="1"/>
  <c r="C44" i="23"/>
  <c r="G44" i="23" s="1"/>
  <c r="C64" i="23"/>
  <c r="F64" i="23" s="1"/>
  <c r="C40" i="23"/>
  <c r="G40" i="23" s="1"/>
  <c r="C51" i="24"/>
  <c r="F51" i="24" s="1"/>
  <c r="C78" i="24"/>
  <c r="D78" i="24" s="1"/>
  <c r="C44" i="24"/>
  <c r="D44" i="24" s="1"/>
  <c r="C45" i="24"/>
  <c r="G45" i="24" s="1"/>
  <c r="C37" i="24"/>
  <c r="D37" i="24" s="1"/>
  <c r="C47" i="24"/>
  <c r="E47" i="24" s="1"/>
  <c r="D85" i="31"/>
  <c r="E85" i="31"/>
  <c r="G26" i="24"/>
  <c r="F85" i="31"/>
  <c r="E26" i="24"/>
  <c r="F26" i="24"/>
  <c r="H26" i="24"/>
  <c r="D30" i="24"/>
  <c r="F30" i="24"/>
  <c r="G30" i="24"/>
  <c r="H85" i="31"/>
  <c r="F31" i="24"/>
  <c r="F81" i="24"/>
  <c r="D86" i="3"/>
  <c r="D35" i="24"/>
  <c r="H71" i="25"/>
  <c r="G31" i="24"/>
  <c r="D81" i="24"/>
  <c r="E81" i="24"/>
  <c r="H34" i="24"/>
  <c r="D24" i="24"/>
  <c r="H31" i="24"/>
  <c r="E32" i="24"/>
  <c r="E31" i="24"/>
  <c r="I85" i="3"/>
  <c r="D32" i="24"/>
  <c r="H59" i="24"/>
  <c r="G81" i="24"/>
  <c r="E86" i="3"/>
  <c r="G27" i="24"/>
  <c r="F27" i="24"/>
  <c r="E29" i="24"/>
  <c r="D77" i="25"/>
  <c r="H76" i="25"/>
  <c r="E63" i="25"/>
  <c r="H86" i="3"/>
  <c r="H33" i="24"/>
  <c r="D51" i="25"/>
  <c r="E86" i="31"/>
  <c r="H63" i="25"/>
  <c r="G86" i="31"/>
  <c r="D63" i="25"/>
  <c r="D86" i="31"/>
  <c r="F86" i="31"/>
  <c r="A87" i="3"/>
  <c r="C87" i="3"/>
  <c r="B88" i="3"/>
  <c r="C87" i="31"/>
  <c r="A87" i="31"/>
  <c r="B88" i="31"/>
  <c r="F28" i="24"/>
  <c r="F63" i="25"/>
  <c r="G86" i="3"/>
  <c r="D34" i="24"/>
  <c r="F29" i="24"/>
  <c r="F33" i="24"/>
  <c r="E24" i="24"/>
  <c r="G24" i="24"/>
  <c r="E27" i="24"/>
  <c r="D29" i="24"/>
  <c r="H78" i="25"/>
  <c r="D75" i="25"/>
  <c r="H29" i="24"/>
  <c r="E35" i="24"/>
  <c r="H24" i="24"/>
  <c r="H27" i="24"/>
  <c r="E43" i="25"/>
  <c r="H43" i="25"/>
  <c r="D39" i="25"/>
  <c r="H57" i="25"/>
  <c r="F32" i="24"/>
  <c r="H32" i="24"/>
  <c r="G44" i="25"/>
  <c r="H35" i="24"/>
  <c r="E34" i="24"/>
  <c r="G33" i="24"/>
  <c r="E33" i="24"/>
  <c r="D28" i="24"/>
  <c r="F43" i="25"/>
  <c r="E39" i="25"/>
  <c r="G71" i="25"/>
  <c r="E72" i="25"/>
  <c r="G35" i="24"/>
  <c r="F34" i="24"/>
  <c r="E28" i="24"/>
  <c r="G75" i="25"/>
  <c r="D71" i="25"/>
  <c r="F39" i="25"/>
  <c r="H28" i="24"/>
  <c r="H25" i="25"/>
  <c r="G27" i="25"/>
  <c r="F71" i="25"/>
  <c r="E53" i="25"/>
  <c r="H53" i="25"/>
  <c r="E77" i="25"/>
  <c r="F46" i="25"/>
  <c r="G29" i="25"/>
  <c r="E78" i="25"/>
  <c r="G36" i="25"/>
  <c r="G79" i="25"/>
  <c r="H46" i="25"/>
  <c r="H67" i="25"/>
  <c r="D26" i="25"/>
  <c r="D52" i="25"/>
  <c r="G57" i="25"/>
  <c r="H77" i="25"/>
  <c r="G77" i="25"/>
  <c r="H56" i="25"/>
  <c r="F27" i="25"/>
  <c r="E56" i="25"/>
  <c r="H70" i="25"/>
  <c r="E30" i="25"/>
  <c r="H30" i="25"/>
  <c r="E27" i="25"/>
  <c r="D60" i="25"/>
  <c r="F67" i="25"/>
  <c r="E79" i="25"/>
  <c r="G52" i="25"/>
  <c r="H27" i="25"/>
  <c r="H36" i="25"/>
  <c r="E26" i="25"/>
  <c r="H52" i="25"/>
  <c r="F53" i="25"/>
  <c r="D53" i="25"/>
  <c r="H82" i="25"/>
  <c r="E67" i="25"/>
  <c r="F57" i="25"/>
  <c r="D57" i="25"/>
  <c r="G64" i="25"/>
  <c r="D50" i="25"/>
  <c r="F52" i="25"/>
  <c r="G67" i="25"/>
  <c r="D30" i="25"/>
  <c r="E81" i="25"/>
  <c r="G30" i="25"/>
  <c r="E80" i="25"/>
  <c r="G81" i="25"/>
  <c r="D80" i="25"/>
  <c r="G56" i="25"/>
  <c r="H80" i="25"/>
  <c r="D78" i="25"/>
  <c r="H26" i="25"/>
  <c r="F78" i="25"/>
  <c r="F64" i="25"/>
  <c r="H64" i="25"/>
  <c r="E50" i="25"/>
  <c r="D46" i="25"/>
  <c r="H81" i="25"/>
  <c r="F80" i="25"/>
  <c r="D29" i="25"/>
  <c r="D72" i="25"/>
  <c r="E75" i="25"/>
  <c r="F29" i="25"/>
  <c r="D36" i="25"/>
  <c r="F26" i="25"/>
  <c r="G72" i="25"/>
  <c r="D64" i="25"/>
  <c r="G40" i="25"/>
  <c r="H75" i="25"/>
  <c r="F56" i="25"/>
  <c r="D81" i="25"/>
  <c r="H72" i="25"/>
  <c r="G46" i="25"/>
  <c r="H45" i="25"/>
  <c r="G45" i="25"/>
  <c r="H51" i="25"/>
  <c r="E44" i="25"/>
  <c r="H44" i="25"/>
  <c r="F68" i="25"/>
  <c r="E48" i="25"/>
  <c r="F40" i="25"/>
  <c r="E51" i="25"/>
  <c r="D25" i="25"/>
  <c r="G43" i="25"/>
  <c r="D40" i="25"/>
  <c r="H65" i="25"/>
  <c r="D45" i="25"/>
  <c r="F48" i="25"/>
  <c r="G48" i="25"/>
  <c r="H48" i="25"/>
  <c r="E68" i="25"/>
  <c r="G65" i="25"/>
  <c r="H24" i="25"/>
  <c r="F51" i="25"/>
  <c r="E41" i="25"/>
  <c r="D44" i="25"/>
  <c r="E24" i="25"/>
  <c r="D24" i="25"/>
  <c r="F24" i="25"/>
  <c r="G68" i="25"/>
  <c r="E40" i="25"/>
  <c r="F25" i="25"/>
  <c r="D65" i="25"/>
  <c r="E45" i="25"/>
  <c r="E29" i="25"/>
  <c r="G25" i="25"/>
  <c r="F65" i="25"/>
  <c r="H68" i="25"/>
  <c r="D79" i="25"/>
  <c r="F79" i="25"/>
  <c r="E31" i="25"/>
  <c r="H38" i="25"/>
  <c r="D38" i="25"/>
  <c r="G41" i="25"/>
  <c r="F30" i="23"/>
  <c r="G38" i="25"/>
  <c r="D55" i="25"/>
  <c r="F54" i="25"/>
  <c r="G60" i="25"/>
  <c r="D59" i="25"/>
  <c r="E73" i="25"/>
  <c r="H50" i="25"/>
  <c r="F60" i="25"/>
  <c r="E60" i="25"/>
  <c r="E70" i="25"/>
  <c r="G50" i="25"/>
  <c r="D73" i="25"/>
  <c r="D70" i="25"/>
  <c r="F36" i="25"/>
  <c r="F59" i="25"/>
  <c r="E38" i="25"/>
  <c r="G70" i="25"/>
  <c r="H49" i="25"/>
  <c r="F73" i="25"/>
  <c r="D47" i="25"/>
  <c r="G47" i="25"/>
  <c r="G35" i="25"/>
  <c r="H41" i="25"/>
  <c r="G49" i="25"/>
  <c r="D41" i="25"/>
  <c r="E59" i="25"/>
  <c r="E34" i="25"/>
  <c r="G73" i="25"/>
  <c r="H35" i="25"/>
  <c r="E33" i="25"/>
  <c r="D62" i="25"/>
  <c r="B12" i="23"/>
  <c r="E13" i="23"/>
  <c r="B13" i="23" s="1"/>
  <c r="H74" i="25"/>
  <c r="H59" i="25"/>
  <c r="G76" i="25"/>
  <c r="G61" i="25"/>
  <c r="E74" i="25"/>
  <c r="D74" i="25"/>
  <c r="H62" i="25"/>
  <c r="G62" i="25"/>
  <c r="B12" i="21"/>
  <c r="E13" i="21"/>
  <c r="E76" i="25"/>
  <c r="F74" i="25"/>
  <c r="B12" i="20"/>
  <c r="E13" i="20"/>
  <c r="F66" i="25"/>
  <c r="H34" i="25"/>
  <c r="F47" i="25"/>
  <c r="G34" i="25"/>
  <c r="F61" i="25"/>
  <c r="F62" i="25"/>
  <c r="B12" i="19"/>
  <c r="E13" i="19"/>
  <c r="D76" i="25"/>
  <c r="H55" i="25"/>
  <c r="B12" i="13"/>
  <c r="E13" i="13"/>
  <c r="B12" i="22"/>
  <c r="E13" i="22"/>
  <c r="H58" i="25"/>
  <c r="D58" i="25"/>
  <c r="D33" i="25"/>
  <c r="H47" i="25"/>
  <c r="H32" i="25"/>
  <c r="F49" i="25"/>
  <c r="F32" i="25"/>
  <c r="D66" i="25"/>
  <c r="G58" i="25"/>
  <c r="D25" i="23"/>
  <c r="E66" i="25"/>
  <c r="G33" i="25"/>
  <c r="F58" i="25"/>
  <c r="F35" i="25"/>
  <c r="E35" i="25"/>
  <c r="E32" i="23"/>
  <c r="E49" i="25"/>
  <c r="E54" i="25"/>
  <c r="G66" i="25"/>
  <c r="F33" i="25"/>
  <c r="H37" i="25"/>
  <c r="D37" i="25"/>
  <c r="F37" i="25"/>
  <c r="G37" i="25"/>
  <c r="E37" i="25"/>
  <c r="E55" i="25"/>
  <c r="F55" i="25"/>
  <c r="H54" i="25"/>
  <c r="H28" i="25"/>
  <c r="F28" i="25"/>
  <c r="D28" i="25"/>
  <c r="G28" i="25"/>
  <c r="E28" i="25"/>
  <c r="H69" i="25"/>
  <c r="F69" i="25"/>
  <c r="G69" i="25"/>
  <c r="D69" i="25"/>
  <c r="H61" i="25"/>
  <c r="D54" i="25"/>
  <c r="G31" i="25"/>
  <c r="G82" i="25"/>
  <c r="E82" i="25"/>
  <c r="E61" i="25"/>
  <c r="F34" i="25"/>
  <c r="D32" i="25"/>
  <c r="G32" i="25"/>
  <c r="D31" i="25"/>
  <c r="F82" i="25"/>
  <c r="F31" i="25"/>
  <c r="E25" i="23"/>
  <c r="F25" i="23"/>
  <c r="F32" i="23"/>
  <c r="H25" i="23"/>
  <c r="F31" i="23"/>
  <c r="F26" i="23"/>
  <c r="E31" i="23"/>
  <c r="F24" i="23"/>
  <c r="D26" i="23"/>
  <c r="C48" i="21"/>
  <c r="F48" i="21" s="1"/>
  <c r="G26" i="23"/>
  <c r="H31" i="23"/>
  <c r="D37" i="23"/>
  <c r="D27" i="23"/>
  <c r="D30" i="23"/>
  <c r="C36" i="20"/>
  <c r="G36" i="20" s="1"/>
  <c r="G37" i="23"/>
  <c r="E29" i="23"/>
  <c r="E27" i="23"/>
  <c r="F27" i="23"/>
  <c r="C24" i="22"/>
  <c r="H24" i="22" s="1"/>
  <c r="C28" i="21"/>
  <c r="D28" i="21" s="1"/>
  <c r="H27" i="23"/>
  <c r="E28" i="23"/>
  <c r="G30" i="23"/>
  <c r="E30" i="23"/>
  <c r="C33" i="21"/>
  <c r="E33" i="21" s="1"/>
  <c r="E37" i="23"/>
  <c r="H29" i="23"/>
  <c r="C36" i="13"/>
  <c r="H36" i="13" s="1"/>
  <c r="G29" i="23"/>
  <c r="D28" i="23"/>
  <c r="F28" i="23"/>
  <c r="F37" i="23"/>
  <c r="C39" i="13"/>
  <c r="G39" i="13" s="1"/>
  <c r="C32" i="21"/>
  <c r="G32" i="21" s="1"/>
  <c r="C25" i="21"/>
  <c r="F25" i="21" s="1"/>
  <c r="D31" i="23"/>
  <c r="F29" i="23"/>
  <c r="C30" i="13"/>
  <c r="G30" i="13" s="1"/>
  <c r="C41" i="20"/>
  <c r="G41" i="20" s="1"/>
  <c r="C28" i="19"/>
  <c r="E28" i="19" s="1"/>
  <c r="C38" i="13"/>
  <c r="G38" i="13" s="1"/>
  <c r="C38" i="19"/>
  <c r="F38" i="19" s="1"/>
  <c r="C40" i="19"/>
  <c r="F40" i="19" s="1"/>
  <c r="C26" i="13"/>
  <c r="G26" i="13" s="1"/>
  <c r="C35" i="13"/>
  <c r="E35" i="13" s="1"/>
  <c r="G32" i="23"/>
  <c r="C40" i="13"/>
  <c r="G40" i="13" s="1"/>
  <c r="C28" i="20"/>
  <c r="C50" i="13"/>
  <c r="G50" i="13" s="1"/>
  <c r="C49" i="13"/>
  <c r="E49" i="13" s="1"/>
  <c r="C32" i="19"/>
  <c r="E32" i="19" s="1"/>
  <c r="C44" i="20"/>
  <c r="E44" i="20" s="1"/>
  <c r="C47" i="20"/>
  <c r="D47" i="20" s="1"/>
  <c r="C38" i="20"/>
  <c r="G38" i="20" s="1"/>
  <c r="C48" i="20"/>
  <c r="G48" i="20" s="1"/>
  <c r="C31" i="13"/>
  <c r="E31" i="13" s="1"/>
  <c r="C40" i="20"/>
  <c r="F40" i="20" s="1"/>
  <c r="D32" i="23"/>
  <c r="H26" i="23"/>
  <c r="D36" i="23"/>
  <c r="C42" i="22"/>
  <c r="D42" i="22" s="1"/>
  <c r="C25" i="22"/>
  <c r="C30" i="22"/>
  <c r="C23" i="22"/>
  <c r="C28" i="22"/>
  <c r="C32" i="22"/>
  <c r="C31" i="22"/>
  <c r="C27" i="22"/>
  <c r="C38" i="22"/>
  <c r="D38" i="22" s="1"/>
  <c r="C35" i="22"/>
  <c r="C41" i="22"/>
  <c r="H41" i="22" s="1"/>
  <c r="C40" i="22"/>
  <c r="C34" i="22"/>
  <c r="E34" i="22" s="1"/>
  <c r="C39" i="22"/>
  <c r="E39" i="22" s="1"/>
  <c r="C46" i="22"/>
  <c r="H46" i="22" s="1"/>
  <c r="C37" i="22"/>
  <c r="C26" i="22"/>
  <c r="C33" i="22"/>
  <c r="H33" i="22" s="1"/>
  <c r="C36" i="22"/>
  <c r="F36" i="22" s="1"/>
  <c r="C29" i="22"/>
  <c r="C27" i="20"/>
  <c r="C41" i="21"/>
  <c r="F41" i="21" s="1"/>
  <c r="C29" i="13"/>
  <c r="C43" i="21"/>
  <c r="F43" i="21" s="1"/>
  <c r="C23" i="21"/>
  <c r="C35" i="21"/>
  <c r="D24" i="23"/>
  <c r="H24" i="23"/>
  <c r="F23" i="23"/>
  <c r="C30" i="19"/>
  <c r="C30" i="21"/>
  <c r="C27" i="19"/>
  <c r="C24" i="21"/>
  <c r="C40" i="21"/>
  <c r="C27" i="21"/>
  <c r="C34" i="20"/>
  <c r="F34" i="20" s="1"/>
  <c r="C39" i="20"/>
  <c r="C42" i="13"/>
  <c r="D42" i="13" s="1"/>
  <c r="C28" i="13"/>
  <c r="C23" i="13"/>
  <c r="C34" i="13"/>
  <c r="C34" i="21"/>
  <c r="H34" i="21" s="1"/>
  <c r="C33" i="13"/>
  <c r="F33" i="13" s="1"/>
  <c r="G28" i="23"/>
  <c r="C41" i="19"/>
  <c r="E41" i="19" s="1"/>
  <c r="D23" i="23"/>
  <c r="C32" i="13"/>
  <c r="C31" i="21"/>
  <c r="C24" i="19"/>
  <c r="C39" i="21"/>
  <c r="C33" i="19"/>
  <c r="H23" i="23"/>
  <c r="C31" i="20"/>
  <c r="C39" i="19"/>
  <c r="D39" i="19" s="1"/>
  <c r="C43" i="20"/>
  <c r="H43" i="20" s="1"/>
  <c r="C35" i="20"/>
  <c r="C24" i="20"/>
  <c r="C30" i="20"/>
  <c r="C37" i="20"/>
  <c r="C29" i="20"/>
  <c r="C25" i="20"/>
  <c r="C26" i="20"/>
  <c r="G24" i="23"/>
  <c r="G23" i="23"/>
  <c r="C26" i="21"/>
  <c r="C37" i="21"/>
  <c r="C27" i="13"/>
  <c r="C24" i="13"/>
  <c r="C43" i="19"/>
  <c r="F43" i="19" s="1"/>
  <c r="C36" i="19"/>
  <c r="C29" i="19"/>
  <c r="C34" i="19"/>
  <c r="C37" i="19"/>
  <c r="C26" i="19"/>
  <c r="C31" i="19"/>
  <c r="C35" i="19"/>
  <c r="C45" i="19"/>
  <c r="F45" i="19" s="1"/>
  <c r="C45" i="13"/>
  <c r="F45" i="13" s="1"/>
  <c r="C41" i="13"/>
  <c r="G41" i="13" s="1"/>
  <c r="C33" i="20"/>
  <c r="E33" i="20" s="1"/>
  <c r="C25" i="13"/>
  <c r="C36" i="21"/>
  <c r="C38" i="21"/>
  <c r="C25" i="19"/>
  <c r="C29" i="21"/>
  <c r="C37" i="13"/>
  <c r="C32" i="20"/>
  <c r="D83" i="26"/>
  <c r="G83" i="26"/>
  <c r="E84" i="27"/>
  <c r="I82" i="26"/>
  <c r="I53" i="26"/>
  <c r="I23" i="25"/>
  <c r="I66" i="26"/>
  <c r="I54" i="26"/>
  <c r="A84" i="13"/>
  <c r="B85" i="13"/>
  <c r="I76" i="26"/>
  <c r="I62" i="26"/>
  <c r="E83" i="25"/>
  <c r="I24" i="26"/>
  <c r="I35" i="26"/>
  <c r="I27" i="26"/>
  <c r="I23" i="24"/>
  <c r="I57" i="26"/>
  <c r="I67" i="26"/>
  <c r="I42" i="26"/>
  <c r="I31" i="26"/>
  <c r="I65" i="26"/>
  <c r="I25" i="26"/>
  <c r="I75" i="26"/>
  <c r="I59" i="26"/>
  <c r="F83" i="25"/>
  <c r="A85" i="27"/>
  <c r="B86" i="27"/>
  <c r="C85" i="27"/>
  <c r="I71" i="26"/>
  <c r="I39" i="26"/>
  <c r="I55" i="26"/>
  <c r="I38" i="26"/>
  <c r="H83" i="25"/>
  <c r="I37" i="26"/>
  <c r="I72" i="26"/>
  <c r="I47" i="26"/>
  <c r="I52" i="26"/>
  <c r="B85" i="22"/>
  <c r="B86" i="22" s="1"/>
  <c r="A84" i="22"/>
  <c r="I60" i="26"/>
  <c r="A84" i="19"/>
  <c r="B85" i="19"/>
  <c r="I50" i="26"/>
  <c r="I30" i="26"/>
  <c r="I81" i="26"/>
  <c r="I46" i="26"/>
  <c r="I61" i="26"/>
  <c r="I74" i="26"/>
  <c r="I56" i="26"/>
  <c r="I58" i="26"/>
  <c r="I78" i="26"/>
  <c r="B85" i="23"/>
  <c r="A84" i="23"/>
  <c r="I41" i="26"/>
  <c r="B85" i="20"/>
  <c r="B86" i="20" s="1"/>
  <c r="A84" i="20"/>
  <c r="C84" i="25"/>
  <c r="D84" i="25" s="1"/>
  <c r="B85" i="25"/>
  <c r="A84" i="25"/>
  <c r="I51" i="26"/>
  <c r="I79" i="26"/>
  <c r="I23" i="26"/>
  <c r="I77" i="26"/>
  <c r="I45" i="26"/>
  <c r="I36" i="26"/>
  <c r="I70" i="26"/>
  <c r="I44" i="26"/>
  <c r="I73" i="26"/>
  <c r="I33" i="26"/>
  <c r="I64" i="26"/>
  <c r="I43" i="26"/>
  <c r="I40" i="26"/>
  <c r="I34" i="26"/>
  <c r="D83" i="25"/>
  <c r="A84" i="24"/>
  <c r="B85" i="24"/>
  <c r="C84" i="24"/>
  <c r="I80" i="26"/>
  <c r="I63" i="26"/>
  <c r="I26" i="26"/>
  <c r="G84" i="27"/>
  <c r="D84" i="27"/>
  <c r="F84" i="27"/>
  <c r="B85" i="26"/>
  <c r="A84" i="26"/>
  <c r="C84" i="26"/>
  <c r="E84" i="26" s="1"/>
  <c r="I68" i="26"/>
  <c r="I69" i="26"/>
  <c r="B85" i="21"/>
  <c r="A84" i="21"/>
  <c r="I28" i="26"/>
  <c r="I29" i="26"/>
  <c r="I49" i="26"/>
  <c r="I48" i="26"/>
  <c r="I83" i="27"/>
  <c r="E83" i="26"/>
  <c r="F83" i="26"/>
  <c r="I32" i="26"/>
  <c r="D33" i="23"/>
  <c r="G33" i="23"/>
  <c r="F34" i="23"/>
  <c r="D34" i="23"/>
  <c r="H38" i="23"/>
  <c r="G34" i="23"/>
  <c r="H33" i="23"/>
  <c r="F33" i="23"/>
  <c r="E35" i="23"/>
  <c r="C58" i="13"/>
  <c r="F58" i="13" s="1"/>
  <c r="F35" i="23"/>
  <c r="D38" i="23"/>
  <c r="C47" i="19"/>
  <c r="C48" i="13"/>
  <c r="H48" i="13" s="1"/>
  <c r="I25" i="24"/>
  <c r="G35" i="23"/>
  <c r="E38" i="23"/>
  <c r="G38" i="23"/>
  <c r="C43" i="13"/>
  <c r="G43" i="13" s="1"/>
  <c r="C46" i="20"/>
  <c r="G46" i="20" s="1"/>
  <c r="C49" i="20"/>
  <c r="E49" i="20" s="1"/>
  <c r="D35" i="23"/>
  <c r="C48" i="22"/>
  <c r="H48" i="22" s="1"/>
  <c r="C49" i="22"/>
  <c r="E49" i="22" s="1"/>
  <c r="C49" i="19"/>
  <c r="G49" i="19" s="1"/>
  <c r="C43" i="22"/>
  <c r="F43" i="22" s="1"/>
  <c r="C44" i="19"/>
  <c r="E44" i="19" s="1"/>
  <c r="C45" i="21"/>
  <c r="G45" i="21" s="1"/>
  <c r="C44" i="21"/>
  <c r="C57" i="13"/>
  <c r="F57" i="13" s="1"/>
  <c r="C49" i="21"/>
  <c r="H49" i="21" s="1"/>
  <c r="E34" i="23"/>
  <c r="C46" i="13"/>
  <c r="E46" i="13" s="1"/>
  <c r="C47" i="22"/>
  <c r="E47" i="22" s="1"/>
  <c r="C47" i="21"/>
  <c r="E47" i="21" s="1"/>
  <c r="C46" i="21"/>
  <c r="G46" i="21" s="1"/>
  <c r="C47" i="13"/>
  <c r="C42" i="20"/>
  <c r="C42" i="21"/>
  <c r="C54" i="19"/>
  <c r="F54" i="19" s="1"/>
  <c r="C75" i="21"/>
  <c r="E75" i="21" s="1"/>
  <c r="C57" i="20"/>
  <c r="E57" i="20" s="1"/>
  <c r="C45" i="20"/>
  <c r="C48" i="19"/>
  <c r="H48" i="19" s="1"/>
  <c r="C42" i="19"/>
  <c r="E42" i="19" s="1"/>
  <c r="C45" i="22"/>
  <c r="G45" i="22" s="1"/>
  <c r="C46" i="19"/>
  <c r="G46" i="19" s="1"/>
  <c r="C44" i="22"/>
  <c r="G44" i="22" s="1"/>
  <c r="C44" i="13"/>
  <c r="F44" i="13" s="1"/>
  <c r="C81" i="22"/>
  <c r="G81" i="22" s="1"/>
  <c r="C62" i="21"/>
  <c r="H62" i="21" s="1"/>
  <c r="C68" i="22"/>
  <c r="D68" i="22" s="1"/>
  <c r="C59" i="20"/>
  <c r="F59" i="20" s="1"/>
  <c r="C77" i="20"/>
  <c r="D77" i="20" s="1"/>
  <c r="C73" i="13"/>
  <c r="H73" i="13" s="1"/>
  <c r="C54" i="22"/>
  <c r="F54" i="22" s="1"/>
  <c r="C51" i="22"/>
  <c r="E51" i="22" s="1"/>
  <c r="C52" i="22"/>
  <c r="E52" i="22" s="1"/>
  <c r="C77" i="21"/>
  <c r="D77" i="21" s="1"/>
  <c r="C72" i="20"/>
  <c r="F72" i="20" s="1"/>
  <c r="C70" i="22"/>
  <c r="C67" i="22"/>
  <c r="C69" i="22"/>
  <c r="G69" i="22" s="1"/>
  <c r="C66" i="21"/>
  <c r="E66" i="21" s="1"/>
  <c r="C83" i="22"/>
  <c r="D83" i="22" s="1"/>
  <c r="C62" i="22"/>
  <c r="D62" i="22" s="1"/>
  <c r="C63" i="22"/>
  <c r="E63" i="22" s="1"/>
  <c r="C58" i="22"/>
  <c r="H58" i="22" s="1"/>
  <c r="C59" i="13"/>
  <c r="C55" i="22"/>
  <c r="G55" i="22" s="1"/>
  <c r="C57" i="21"/>
  <c r="H57" i="21" s="1"/>
  <c r="C50" i="22"/>
  <c r="D50" i="22" s="1"/>
  <c r="C68" i="21"/>
  <c r="E68" i="21" s="1"/>
  <c r="C58" i="19"/>
  <c r="C54" i="21"/>
  <c r="E54" i="21" s="1"/>
  <c r="C56" i="22"/>
  <c r="G56" i="22" s="1"/>
  <c r="C64" i="22"/>
  <c r="F64" i="22" s="1"/>
  <c r="C59" i="22"/>
  <c r="E59" i="22" s="1"/>
  <c r="C69" i="21"/>
  <c r="C60" i="21"/>
  <c r="E60" i="21" s="1"/>
  <c r="C81" i="20"/>
  <c r="E81" i="20" s="1"/>
  <c r="C81" i="21"/>
  <c r="F81" i="21" s="1"/>
  <c r="C53" i="20"/>
  <c r="C50" i="20"/>
  <c r="C52" i="20"/>
  <c r="C51" i="20"/>
  <c r="C55" i="20"/>
  <c r="C54" i="20"/>
  <c r="C56" i="20"/>
  <c r="C59" i="19"/>
  <c r="D59" i="19" s="1"/>
  <c r="C83" i="21"/>
  <c r="E83" i="21" s="1"/>
  <c r="C73" i="21"/>
  <c r="H73" i="21" s="1"/>
  <c r="C74" i="21"/>
  <c r="D74" i="21" s="1"/>
  <c r="C64" i="21"/>
  <c r="G64" i="21" s="1"/>
  <c r="C68" i="20"/>
  <c r="G68" i="20" s="1"/>
  <c r="C82" i="20"/>
  <c r="G82" i="20" s="1"/>
  <c r="C61" i="20"/>
  <c r="G61" i="20" s="1"/>
  <c r="C63" i="20"/>
  <c r="F63" i="20" s="1"/>
  <c r="C59" i="21"/>
  <c r="H59" i="21" s="1"/>
  <c r="C50" i="19"/>
  <c r="C53" i="19"/>
  <c r="C56" i="19"/>
  <c r="C51" i="13"/>
  <c r="C52" i="13"/>
  <c r="C54" i="13"/>
  <c r="C55" i="13"/>
  <c r="C56" i="13"/>
  <c r="C53" i="13"/>
  <c r="C51" i="21"/>
  <c r="C53" i="21"/>
  <c r="C50" i="21"/>
  <c r="C55" i="21"/>
  <c r="C63" i="21"/>
  <c r="D63" i="21" s="1"/>
  <c r="C78" i="21"/>
  <c r="D78" i="21" s="1"/>
  <c r="C67" i="21"/>
  <c r="E67" i="21" s="1"/>
  <c r="C66" i="20"/>
  <c r="F66" i="20" s="1"/>
  <c r="C70" i="20"/>
  <c r="E70" i="20" s="1"/>
  <c r="C58" i="21"/>
  <c r="D58" i="21" s="1"/>
  <c r="C61" i="21"/>
  <c r="G61" i="21" s="1"/>
  <c r="C80" i="21"/>
  <c r="G80" i="21" s="1"/>
  <c r="C56" i="21"/>
  <c r="C52" i="19"/>
  <c r="C57" i="19"/>
  <c r="D57" i="19" s="1"/>
  <c r="C70" i="21"/>
  <c r="G70" i="21" s="1"/>
  <c r="C72" i="21"/>
  <c r="E72" i="21" s="1"/>
  <c r="C65" i="21"/>
  <c r="G65" i="21" s="1"/>
  <c r="C76" i="21"/>
  <c r="E76" i="21" s="1"/>
  <c r="C62" i="20"/>
  <c r="H62" i="20" s="1"/>
  <c r="C58" i="20"/>
  <c r="H58" i="20" s="1"/>
  <c r="C71" i="21"/>
  <c r="E71" i="21" s="1"/>
  <c r="C80" i="19"/>
  <c r="D80" i="19" s="1"/>
  <c r="C79" i="21"/>
  <c r="F79" i="21" s="1"/>
  <c r="C80" i="13"/>
  <c r="E80" i="13" s="1"/>
  <c r="C82" i="21"/>
  <c r="F82" i="21" s="1"/>
  <c r="C52" i="21"/>
  <c r="C55" i="19"/>
  <c r="C51" i="19"/>
  <c r="C53" i="22"/>
  <c r="C75" i="22"/>
  <c r="C76" i="22"/>
  <c r="C72" i="22"/>
  <c r="C57" i="22"/>
  <c r="C73" i="22"/>
  <c r="C65" i="22"/>
  <c r="C80" i="22"/>
  <c r="C82" i="22"/>
  <c r="C60" i="22"/>
  <c r="C79" i="22"/>
  <c r="C71" i="22"/>
  <c r="C66" i="22"/>
  <c r="C74" i="22"/>
  <c r="C61" i="22"/>
  <c r="C77" i="22"/>
  <c r="C78" i="22"/>
  <c r="C76" i="20"/>
  <c r="C64" i="19"/>
  <c r="E64" i="19" s="1"/>
  <c r="C75" i="13"/>
  <c r="D75" i="13" s="1"/>
  <c r="C66" i="19"/>
  <c r="F66" i="19" s="1"/>
  <c r="C81" i="19"/>
  <c r="F81" i="19" s="1"/>
  <c r="C78" i="13"/>
  <c r="F78" i="13" s="1"/>
  <c r="C75" i="19"/>
  <c r="D75" i="19" s="1"/>
  <c r="C70" i="13"/>
  <c r="H70" i="13" s="1"/>
  <c r="C62" i="13"/>
  <c r="G62" i="13" s="1"/>
  <c r="C78" i="20"/>
  <c r="E78" i="20" s="1"/>
  <c r="C63" i="13"/>
  <c r="G63" i="13" s="1"/>
  <c r="C72" i="13"/>
  <c r="F72" i="13" s="1"/>
  <c r="C77" i="19"/>
  <c r="G77" i="19" s="1"/>
  <c r="C76" i="19"/>
  <c r="F76" i="19" s="1"/>
  <c r="C69" i="20"/>
  <c r="H69" i="20" s="1"/>
  <c r="C67" i="20"/>
  <c r="E67" i="20" s="1"/>
  <c r="C73" i="20"/>
  <c r="D73" i="20" s="1"/>
  <c r="C63" i="19"/>
  <c r="D63" i="19" s="1"/>
  <c r="C75" i="20"/>
  <c r="H75" i="20" s="1"/>
  <c r="C71" i="19"/>
  <c r="H71" i="19" s="1"/>
  <c r="C65" i="20"/>
  <c r="D65" i="20" s="1"/>
  <c r="C71" i="20"/>
  <c r="C72" i="19"/>
  <c r="F72" i="19" s="1"/>
  <c r="C65" i="19"/>
  <c r="H65" i="19" s="1"/>
  <c r="C68" i="19"/>
  <c r="F68" i="19" s="1"/>
  <c r="C74" i="19"/>
  <c r="F74" i="19" s="1"/>
  <c r="C70" i="19"/>
  <c r="G70" i="19" s="1"/>
  <c r="C82" i="13"/>
  <c r="E82" i="13" s="1"/>
  <c r="C69" i="13"/>
  <c r="F69" i="13" s="1"/>
  <c r="C60" i="13"/>
  <c r="C74" i="13"/>
  <c r="C81" i="13"/>
  <c r="C83" i="13"/>
  <c r="C79" i="13"/>
  <c r="C68" i="13"/>
  <c r="C61" i="13"/>
  <c r="C76" i="13"/>
  <c r="C71" i="13"/>
  <c r="C67" i="13"/>
  <c r="C77" i="13"/>
  <c r="C64" i="13"/>
  <c r="C67" i="19"/>
  <c r="C69" i="19"/>
  <c r="C60" i="19"/>
  <c r="C66" i="13"/>
  <c r="D66" i="13" s="1"/>
  <c r="C61" i="19"/>
  <c r="E61" i="19" s="1"/>
  <c r="C78" i="19"/>
  <c r="E78" i="19" s="1"/>
  <c r="C62" i="19"/>
  <c r="H62" i="19" s="1"/>
  <c r="C79" i="19"/>
  <c r="D79" i="19" s="1"/>
  <c r="C82" i="19"/>
  <c r="H82" i="19" s="1"/>
  <c r="C73" i="19"/>
  <c r="G73" i="19" s="1"/>
  <c r="C65" i="13"/>
  <c r="C83" i="19"/>
  <c r="C64" i="20"/>
  <c r="C83" i="20"/>
  <c r="C79" i="20"/>
  <c r="C60" i="20"/>
  <c r="C74" i="20"/>
  <c r="C80" i="20"/>
  <c r="E36" i="23" l="1"/>
  <c r="F36" i="23"/>
  <c r="H36" i="23"/>
  <c r="H53" i="23"/>
  <c r="H61" i="23"/>
  <c r="D81" i="23"/>
  <c r="D43" i="23"/>
  <c r="G51" i="23"/>
  <c r="E53" i="23"/>
  <c r="H51" i="23"/>
  <c r="F63" i="23"/>
  <c r="D61" i="23"/>
  <c r="E52" i="23"/>
  <c r="E51" i="23"/>
  <c r="G49" i="23"/>
  <c r="E61" i="23"/>
  <c r="H68" i="23"/>
  <c r="D51" i="23"/>
  <c r="H49" i="23"/>
  <c r="G61" i="23"/>
  <c r="F81" i="23"/>
  <c r="D49" i="23"/>
  <c r="G74" i="23"/>
  <c r="E70" i="23"/>
  <c r="D70" i="23"/>
  <c r="E42" i="23"/>
  <c r="F65" i="24"/>
  <c r="E51" i="24"/>
  <c r="H46" i="24"/>
  <c r="F49" i="23"/>
  <c r="D53" i="23"/>
  <c r="H51" i="24"/>
  <c r="D59" i="24"/>
  <c r="F59" i="24"/>
  <c r="I42" i="25"/>
  <c r="E63" i="23"/>
  <c r="F53" i="23"/>
  <c r="D46" i="24"/>
  <c r="G65" i="24"/>
  <c r="G59" i="24"/>
  <c r="D68" i="23"/>
  <c r="D63" i="23"/>
  <c r="D54" i="23"/>
  <c r="G83" i="23"/>
  <c r="D58" i="23"/>
  <c r="F83" i="23"/>
  <c r="F58" i="23"/>
  <c r="G43" i="23"/>
  <c r="G58" i="23"/>
  <c r="H58" i="23"/>
  <c r="H76" i="23"/>
  <c r="F36" i="24"/>
  <c r="F76" i="23"/>
  <c r="G76" i="23"/>
  <c r="E76" i="23"/>
  <c r="D77" i="24"/>
  <c r="E77" i="24"/>
  <c r="F77" i="24"/>
  <c r="F79" i="24"/>
  <c r="D43" i="24"/>
  <c r="H77" i="24"/>
  <c r="D50" i="23"/>
  <c r="H43" i="23"/>
  <c r="F43" i="23"/>
  <c r="D36" i="24"/>
  <c r="H36" i="24"/>
  <c r="E36" i="24"/>
  <c r="H56" i="24"/>
  <c r="F64" i="24"/>
  <c r="H64" i="23"/>
  <c r="G64" i="24"/>
  <c r="D49" i="24"/>
  <c r="H80" i="23"/>
  <c r="E66" i="23"/>
  <c r="G58" i="24"/>
  <c r="E71" i="23"/>
  <c r="E64" i="23"/>
  <c r="G60" i="24"/>
  <c r="D41" i="24"/>
  <c r="G56" i="24"/>
  <c r="H71" i="23"/>
  <c r="D64" i="23"/>
  <c r="H66" i="23"/>
  <c r="F56" i="24"/>
  <c r="H64" i="24"/>
  <c r="G71" i="23"/>
  <c r="F80" i="23"/>
  <c r="G64" i="23"/>
  <c r="D66" i="23"/>
  <c r="E56" i="24"/>
  <c r="E49" i="24"/>
  <c r="F49" i="24"/>
  <c r="D58" i="24"/>
  <c r="D71" i="23"/>
  <c r="D80" i="23"/>
  <c r="D60" i="24"/>
  <c r="E60" i="24"/>
  <c r="H41" i="24"/>
  <c r="G61" i="24"/>
  <c r="E80" i="23"/>
  <c r="H58" i="24"/>
  <c r="H60" i="24"/>
  <c r="G41" i="24"/>
  <c r="E61" i="24"/>
  <c r="F66" i="23"/>
  <c r="F58" i="24"/>
  <c r="E41" i="24"/>
  <c r="E64" i="24"/>
  <c r="E62" i="24"/>
  <c r="E65" i="24"/>
  <c r="D68" i="24"/>
  <c r="G79" i="23"/>
  <c r="F40" i="23"/>
  <c r="G70" i="24"/>
  <c r="D79" i="23"/>
  <c r="G73" i="23"/>
  <c r="F68" i="24"/>
  <c r="D54" i="24"/>
  <c r="G54" i="24"/>
  <c r="H55" i="24"/>
  <c r="E79" i="23"/>
  <c r="F55" i="24"/>
  <c r="F70" i="24"/>
  <c r="H68" i="24"/>
  <c r="G55" i="24"/>
  <c r="G60" i="23"/>
  <c r="H79" i="23"/>
  <c r="H40" i="23"/>
  <c r="E42" i="24"/>
  <c r="F72" i="24"/>
  <c r="E70" i="24"/>
  <c r="H60" i="23"/>
  <c r="H56" i="23"/>
  <c r="D56" i="23"/>
  <c r="D70" i="24"/>
  <c r="D60" i="23"/>
  <c r="G56" i="23"/>
  <c r="D40" i="23"/>
  <c r="G68" i="24"/>
  <c r="E54" i="24"/>
  <c r="H72" i="24"/>
  <c r="E60" i="23"/>
  <c r="H73" i="23"/>
  <c r="E56" i="23"/>
  <c r="E40" i="23"/>
  <c r="H54" i="24"/>
  <c r="G42" i="24"/>
  <c r="E55" i="24"/>
  <c r="E73" i="23"/>
  <c r="D73" i="23"/>
  <c r="H42" i="24"/>
  <c r="F42" i="24"/>
  <c r="D72" i="24"/>
  <c r="E72" i="24"/>
  <c r="H49" i="24"/>
  <c r="F61" i="24"/>
  <c r="H61" i="24"/>
  <c r="E78" i="23"/>
  <c r="G78" i="23"/>
  <c r="F55" i="23"/>
  <c r="G70" i="23"/>
  <c r="G65" i="23"/>
  <c r="G55" i="23"/>
  <c r="H70" i="23"/>
  <c r="D82" i="23"/>
  <c r="G42" i="23"/>
  <c r="E82" i="23"/>
  <c r="H82" i="23"/>
  <c r="G52" i="24"/>
  <c r="F82" i="23"/>
  <c r="H83" i="23"/>
  <c r="G53" i="24"/>
  <c r="E73" i="24"/>
  <c r="H73" i="24"/>
  <c r="F73" i="24"/>
  <c r="D73" i="24"/>
  <c r="E45" i="24"/>
  <c r="G71" i="24"/>
  <c r="F78" i="23"/>
  <c r="G48" i="23"/>
  <c r="H41" i="23"/>
  <c r="G41" i="23"/>
  <c r="F65" i="23"/>
  <c r="G59" i="23"/>
  <c r="H48" i="23"/>
  <c r="F46" i="23"/>
  <c r="H57" i="24"/>
  <c r="E80" i="24"/>
  <c r="D65" i="23"/>
  <c r="D59" i="23"/>
  <c r="F48" i="23"/>
  <c r="G46" i="23"/>
  <c r="H42" i="23"/>
  <c r="F53" i="24"/>
  <c r="F40" i="24"/>
  <c r="F76" i="24"/>
  <c r="F66" i="24"/>
  <c r="E55" i="23"/>
  <c r="H65" i="23"/>
  <c r="H78" i="23"/>
  <c r="H59" i="23"/>
  <c r="D48" i="23"/>
  <c r="F42" i="23"/>
  <c r="E46" i="23"/>
  <c r="E40" i="24"/>
  <c r="D66" i="24"/>
  <c r="G80" i="24"/>
  <c r="G66" i="24"/>
  <c r="D83" i="23"/>
  <c r="D46" i="23"/>
  <c r="E41" i="23"/>
  <c r="D55" i="23"/>
  <c r="E59" i="23"/>
  <c r="D41" i="23"/>
  <c r="F45" i="24"/>
  <c r="E66" i="24"/>
  <c r="G76" i="24"/>
  <c r="F69" i="24"/>
  <c r="E72" i="23"/>
  <c r="G37" i="24"/>
  <c r="H50" i="24"/>
  <c r="H82" i="24"/>
  <c r="E62" i="23"/>
  <c r="F67" i="23"/>
  <c r="F37" i="24"/>
  <c r="H37" i="24"/>
  <c r="F52" i="24"/>
  <c r="H52" i="24"/>
  <c r="F83" i="24"/>
  <c r="E37" i="24"/>
  <c r="F50" i="24"/>
  <c r="E82" i="24"/>
  <c r="F82" i="24"/>
  <c r="E50" i="24"/>
  <c r="D82" i="24"/>
  <c r="G50" i="24"/>
  <c r="H53" i="24"/>
  <c r="E53" i="24"/>
  <c r="D52" i="24"/>
  <c r="D62" i="23"/>
  <c r="G72" i="23"/>
  <c r="H75" i="23"/>
  <c r="F75" i="23"/>
  <c r="E44" i="23"/>
  <c r="D48" i="24"/>
  <c r="G47" i="24"/>
  <c r="F62" i="23"/>
  <c r="H72" i="23"/>
  <c r="H67" i="23"/>
  <c r="E75" i="23"/>
  <c r="G75" i="23"/>
  <c r="D63" i="24"/>
  <c r="D69" i="24"/>
  <c r="H48" i="24"/>
  <c r="G63" i="24"/>
  <c r="D72" i="23"/>
  <c r="D44" i="23"/>
  <c r="H44" i="23"/>
  <c r="H83" i="24"/>
  <c r="E83" i="24"/>
  <c r="F63" i="24"/>
  <c r="E48" i="24"/>
  <c r="D67" i="23"/>
  <c r="H47" i="24"/>
  <c r="H63" i="24"/>
  <c r="H62" i="23"/>
  <c r="G67" i="23"/>
  <c r="G69" i="24"/>
  <c r="D47" i="24"/>
  <c r="G38" i="24"/>
  <c r="F47" i="24"/>
  <c r="F44" i="23"/>
  <c r="H69" i="24"/>
  <c r="D83" i="24"/>
  <c r="F48" i="24"/>
  <c r="H77" i="23"/>
  <c r="G67" i="24"/>
  <c r="D69" i="23"/>
  <c r="E47" i="23"/>
  <c r="G39" i="24"/>
  <c r="D47" i="23"/>
  <c r="G77" i="23"/>
  <c r="H45" i="23"/>
  <c r="H74" i="24"/>
  <c r="E77" i="23"/>
  <c r="E50" i="23"/>
  <c r="G68" i="23"/>
  <c r="G54" i="23"/>
  <c r="G47" i="23"/>
  <c r="D45" i="24"/>
  <c r="E46" i="24"/>
  <c r="D57" i="24"/>
  <c r="E57" i="24"/>
  <c r="F75" i="24"/>
  <c r="H40" i="24"/>
  <c r="H39" i="24"/>
  <c r="H62" i="24"/>
  <c r="G74" i="24"/>
  <c r="G78" i="24"/>
  <c r="H76" i="24"/>
  <c r="E39" i="24"/>
  <c r="D77" i="23"/>
  <c r="G50" i="23"/>
  <c r="G43" i="24"/>
  <c r="F52" i="23"/>
  <c r="E68" i="23"/>
  <c r="E57" i="23"/>
  <c r="D57" i="23"/>
  <c r="D74" i="23"/>
  <c r="F74" i="23"/>
  <c r="E74" i="23"/>
  <c r="E45" i="23"/>
  <c r="F39" i="23"/>
  <c r="F57" i="24"/>
  <c r="G75" i="24"/>
  <c r="G44" i="24"/>
  <c r="F62" i="24"/>
  <c r="G40" i="24"/>
  <c r="F78" i="24"/>
  <c r="E78" i="24"/>
  <c r="H75" i="24"/>
  <c r="F71" i="24"/>
  <c r="D71" i="24"/>
  <c r="D65" i="24"/>
  <c r="D39" i="23"/>
  <c r="G69" i="23"/>
  <c r="H81" i="23"/>
  <c r="H79" i="24"/>
  <c r="D74" i="24"/>
  <c r="H52" i="23"/>
  <c r="G63" i="23"/>
  <c r="H57" i="23"/>
  <c r="H39" i="23"/>
  <c r="E39" i="23"/>
  <c r="H45" i="24"/>
  <c r="D51" i="24"/>
  <c r="G51" i="24"/>
  <c r="F44" i="24"/>
  <c r="D38" i="24"/>
  <c r="E38" i="24"/>
  <c r="F67" i="24"/>
  <c r="D76" i="24"/>
  <c r="F69" i="23"/>
  <c r="H47" i="23"/>
  <c r="H69" i="23"/>
  <c r="G52" i="23"/>
  <c r="E81" i="23"/>
  <c r="H54" i="23"/>
  <c r="F57" i="23"/>
  <c r="G79" i="24"/>
  <c r="E79" i="24"/>
  <c r="H44" i="24"/>
  <c r="G46" i="24"/>
  <c r="H78" i="24"/>
  <c r="E71" i="24"/>
  <c r="D67" i="24"/>
  <c r="F50" i="23"/>
  <c r="F54" i="23"/>
  <c r="G45" i="23"/>
  <c r="D45" i="23"/>
  <c r="E44" i="24"/>
  <c r="E75" i="24"/>
  <c r="H43" i="24"/>
  <c r="E43" i="24"/>
  <c r="E74" i="24"/>
  <c r="G62" i="24"/>
  <c r="H67" i="24"/>
  <c r="F39" i="24"/>
  <c r="H38" i="24"/>
  <c r="H80" i="24"/>
  <c r="F80" i="24"/>
  <c r="I26" i="24"/>
  <c r="I85" i="31"/>
  <c r="I30" i="24"/>
  <c r="I81" i="24"/>
  <c r="I32" i="24"/>
  <c r="I31" i="24"/>
  <c r="I86" i="3"/>
  <c r="I33" i="24"/>
  <c r="I63" i="25"/>
  <c r="I39" i="25"/>
  <c r="I27" i="24"/>
  <c r="G87" i="31"/>
  <c r="H87" i="31"/>
  <c r="I34" i="24"/>
  <c r="I24" i="24"/>
  <c r="I29" i="24"/>
  <c r="E87" i="31"/>
  <c r="A88" i="3"/>
  <c r="B89" i="3"/>
  <c r="C88" i="3"/>
  <c r="I86" i="31"/>
  <c r="D87" i="31"/>
  <c r="C88" i="31"/>
  <c r="H88" i="31" s="1"/>
  <c r="A88" i="31"/>
  <c r="B89" i="31"/>
  <c r="D87" i="3"/>
  <c r="G87" i="3"/>
  <c r="H87" i="3"/>
  <c r="E87" i="3"/>
  <c r="F87" i="3"/>
  <c r="F87" i="31"/>
  <c r="I43" i="25"/>
  <c r="I28" i="24"/>
  <c r="I35" i="24"/>
  <c r="I71" i="25"/>
  <c r="I45" i="25"/>
  <c r="I27" i="25"/>
  <c r="I81" i="25"/>
  <c r="I57" i="25"/>
  <c r="I64" i="25"/>
  <c r="I30" i="25"/>
  <c r="B13" i="19"/>
  <c r="C23" i="19" s="1"/>
  <c r="F23" i="19" s="1"/>
  <c r="E14" i="19"/>
  <c r="B13" i="20"/>
  <c r="E14" i="20"/>
  <c r="I36" i="25"/>
  <c r="I48" i="25"/>
  <c r="I26" i="25"/>
  <c r="I46" i="25"/>
  <c r="I52" i="25"/>
  <c r="I53" i="25"/>
  <c r="I77" i="25"/>
  <c r="B13" i="13"/>
  <c r="E14" i="13"/>
  <c r="I75" i="25"/>
  <c r="B13" i="22"/>
  <c r="E14" i="22"/>
  <c r="B14" i="22" s="1"/>
  <c r="I29" i="25"/>
  <c r="I67" i="25"/>
  <c r="B13" i="21"/>
  <c r="E14" i="21"/>
  <c r="I80" i="25"/>
  <c r="I56" i="25"/>
  <c r="I50" i="25"/>
  <c r="I70" i="25"/>
  <c r="I79" i="25"/>
  <c r="I24" i="25"/>
  <c r="I40" i="25"/>
  <c r="I44" i="25"/>
  <c r="I72" i="25"/>
  <c r="I78" i="25"/>
  <c r="I65" i="25"/>
  <c r="I68" i="25"/>
  <c r="I59" i="25"/>
  <c r="I25" i="25"/>
  <c r="I51" i="25"/>
  <c r="I41" i="25"/>
  <c r="I60" i="25"/>
  <c r="I76" i="25"/>
  <c r="I38" i="25"/>
  <c r="I55" i="25"/>
  <c r="I62" i="25"/>
  <c r="I54" i="25"/>
  <c r="I73" i="25"/>
  <c r="I74" i="25"/>
  <c r="I58" i="25"/>
  <c r="I66" i="25"/>
  <c r="I35" i="25"/>
  <c r="I34" i="25"/>
  <c r="I33" i="25"/>
  <c r="C84" i="23"/>
  <c r="D84" i="23" s="1"/>
  <c r="I31" i="25"/>
  <c r="I32" i="25"/>
  <c r="I49" i="25"/>
  <c r="I47" i="25"/>
  <c r="I82" i="25"/>
  <c r="I69" i="25"/>
  <c r="I61" i="25"/>
  <c r="I37" i="25"/>
  <c r="I28" i="25"/>
  <c r="I25" i="23"/>
  <c r="H44" i="20"/>
  <c r="D48" i="21"/>
  <c r="G40" i="19"/>
  <c r="G28" i="19"/>
  <c r="D40" i="13"/>
  <c r="H40" i="19"/>
  <c r="H38" i="13"/>
  <c r="E40" i="13"/>
  <c r="E36" i="13"/>
  <c r="I26" i="23"/>
  <c r="H48" i="21"/>
  <c r="D50" i="13"/>
  <c r="G48" i="21"/>
  <c r="E48" i="21"/>
  <c r="H36" i="22"/>
  <c r="G39" i="22"/>
  <c r="H42" i="22"/>
  <c r="D30" i="13"/>
  <c r="E50" i="13"/>
  <c r="D49" i="13"/>
  <c r="D32" i="21"/>
  <c r="H36" i="20"/>
  <c r="H32" i="21"/>
  <c r="D26" i="13"/>
  <c r="G49" i="13"/>
  <c r="F33" i="21"/>
  <c r="D39" i="22"/>
  <c r="E24" i="22"/>
  <c r="H50" i="13"/>
  <c r="F38" i="13"/>
  <c r="E38" i="13"/>
  <c r="I31" i="23"/>
  <c r="E46" i="22"/>
  <c r="H48" i="20"/>
  <c r="E30" i="13"/>
  <c r="I27" i="23"/>
  <c r="H30" i="13"/>
  <c r="D33" i="21"/>
  <c r="H33" i="21"/>
  <c r="F49" i="13"/>
  <c r="G33" i="22"/>
  <c r="I32" i="23"/>
  <c r="H26" i="13"/>
  <c r="I30" i="23"/>
  <c r="F47" i="20"/>
  <c r="G41" i="22"/>
  <c r="E41" i="22"/>
  <c r="D38" i="20"/>
  <c r="E47" i="20"/>
  <c r="D41" i="22"/>
  <c r="F41" i="22"/>
  <c r="F28" i="21"/>
  <c r="F39" i="19"/>
  <c r="D28" i="19"/>
  <c r="E28" i="21"/>
  <c r="D36" i="20"/>
  <c r="H43" i="21"/>
  <c r="D36" i="13"/>
  <c r="G36" i="13"/>
  <c r="H25" i="21"/>
  <c r="E32" i="21"/>
  <c r="G28" i="21"/>
  <c r="G33" i="21"/>
  <c r="F41" i="13"/>
  <c r="E25" i="21"/>
  <c r="H28" i="21"/>
  <c r="F36" i="13"/>
  <c r="G24" i="22"/>
  <c r="F24" i="22"/>
  <c r="I29" i="23"/>
  <c r="I37" i="23"/>
  <c r="F44" i="20"/>
  <c r="E36" i="20"/>
  <c r="D44" i="20"/>
  <c r="D25" i="21"/>
  <c r="G25" i="21"/>
  <c r="H28" i="19"/>
  <c r="D24" i="22"/>
  <c r="G44" i="20"/>
  <c r="F36" i="20"/>
  <c r="G45" i="13"/>
  <c r="E36" i="22"/>
  <c r="G38" i="22"/>
  <c r="I28" i="23"/>
  <c r="F28" i="19"/>
  <c r="E43" i="21"/>
  <c r="D36" i="22"/>
  <c r="D34" i="20"/>
  <c r="H31" i="13"/>
  <c r="D48" i="20"/>
  <c r="D46" i="22"/>
  <c r="G39" i="19"/>
  <c r="E40" i="20"/>
  <c r="G36" i="22"/>
  <c r="E40" i="19"/>
  <c r="F32" i="21"/>
  <c r="D45" i="13"/>
  <c r="H39" i="13"/>
  <c r="E48" i="20"/>
  <c r="G34" i="20"/>
  <c r="H45" i="13"/>
  <c r="E39" i="19"/>
  <c r="H39" i="22"/>
  <c r="F39" i="22"/>
  <c r="D40" i="19"/>
  <c r="F32" i="19"/>
  <c r="E45" i="13"/>
  <c r="D40" i="20"/>
  <c r="F50" i="13"/>
  <c r="F48" i="20"/>
  <c r="G46" i="22"/>
  <c r="D43" i="21"/>
  <c r="H34" i="20"/>
  <c r="G43" i="21"/>
  <c r="F46" i="22"/>
  <c r="H39" i="19"/>
  <c r="H40" i="20"/>
  <c r="E39" i="13"/>
  <c r="E34" i="20"/>
  <c r="E34" i="21"/>
  <c r="D39" i="13"/>
  <c r="F39" i="13"/>
  <c r="G40" i="20"/>
  <c r="A85" i="20"/>
  <c r="A86" i="20" s="1"/>
  <c r="F30" i="13"/>
  <c r="F28" i="20"/>
  <c r="H28" i="20"/>
  <c r="E38" i="20"/>
  <c r="G38" i="19"/>
  <c r="E33" i="22"/>
  <c r="G41" i="21"/>
  <c r="H32" i="19"/>
  <c r="H49" i="13"/>
  <c r="D43" i="19"/>
  <c r="H40" i="13"/>
  <c r="H33" i="13"/>
  <c r="E38" i="19"/>
  <c r="D38" i="13"/>
  <c r="H38" i="20"/>
  <c r="D38" i="19"/>
  <c r="G32" i="19"/>
  <c r="F41" i="20"/>
  <c r="H41" i="20"/>
  <c r="E41" i="20"/>
  <c r="G35" i="13"/>
  <c r="D28" i="20"/>
  <c r="H45" i="19"/>
  <c r="G47" i="20"/>
  <c r="F40" i="13"/>
  <c r="G34" i="21"/>
  <c r="H35" i="13"/>
  <c r="D43" i="20"/>
  <c r="D41" i="13"/>
  <c r="E26" i="13"/>
  <c r="D41" i="20"/>
  <c r="H47" i="20"/>
  <c r="F34" i="21"/>
  <c r="D35" i="13"/>
  <c r="E43" i="20"/>
  <c r="G28" i="20"/>
  <c r="F26" i="13"/>
  <c r="D32" i="19"/>
  <c r="D31" i="13"/>
  <c r="G31" i="13"/>
  <c r="F31" i="13"/>
  <c r="F38" i="20"/>
  <c r="F42" i="22"/>
  <c r="E41" i="13"/>
  <c r="H38" i="19"/>
  <c r="F35" i="13"/>
  <c r="E28" i="20"/>
  <c r="I36" i="23"/>
  <c r="I24" i="23"/>
  <c r="I23" i="23"/>
  <c r="F34" i="19"/>
  <c r="D34" i="19"/>
  <c r="G34" i="19"/>
  <c r="E34" i="19"/>
  <c r="H34" i="19"/>
  <c r="D45" i="19"/>
  <c r="E33" i="13"/>
  <c r="G33" i="20"/>
  <c r="F33" i="22"/>
  <c r="D41" i="21"/>
  <c r="G29" i="21"/>
  <c r="F29" i="21"/>
  <c r="H29" i="21"/>
  <c r="E29" i="21"/>
  <c r="D29" i="21"/>
  <c r="E29" i="19"/>
  <c r="F29" i="19"/>
  <c r="G29" i="19"/>
  <c r="D29" i="19"/>
  <c r="H29" i="19"/>
  <c r="E30" i="20"/>
  <c r="D30" i="20"/>
  <c r="G30" i="20"/>
  <c r="H30" i="20"/>
  <c r="F30" i="20"/>
  <c r="H33" i="19"/>
  <c r="E33" i="19"/>
  <c r="G33" i="19"/>
  <c r="F33" i="19"/>
  <c r="D33" i="19"/>
  <c r="F40" i="21"/>
  <c r="H40" i="21"/>
  <c r="D40" i="21"/>
  <c r="E40" i="21"/>
  <c r="G40" i="21"/>
  <c r="G27" i="20"/>
  <c r="E27" i="20"/>
  <c r="F27" i="20"/>
  <c r="D27" i="20"/>
  <c r="H27" i="20"/>
  <c r="D40" i="22"/>
  <c r="G40" i="22"/>
  <c r="H40" i="22"/>
  <c r="E40" i="22"/>
  <c r="F40" i="22"/>
  <c r="G23" i="22"/>
  <c r="D23" i="22"/>
  <c r="F23" i="22"/>
  <c r="H23" i="22"/>
  <c r="E23" i="22"/>
  <c r="G45" i="19"/>
  <c r="E42" i="22"/>
  <c r="F38" i="22"/>
  <c r="E38" i="22"/>
  <c r="D34" i="21"/>
  <c r="H41" i="19"/>
  <c r="H25" i="19"/>
  <c r="G25" i="19"/>
  <c r="D25" i="19"/>
  <c r="E25" i="19"/>
  <c r="F25" i="19"/>
  <c r="E36" i="19"/>
  <c r="H36" i="19"/>
  <c r="F36" i="19"/>
  <c r="G36" i="19"/>
  <c r="D36" i="19"/>
  <c r="F24" i="20"/>
  <c r="D24" i="20"/>
  <c r="G24" i="20"/>
  <c r="E24" i="20"/>
  <c r="H24" i="20"/>
  <c r="H39" i="21"/>
  <c r="F39" i="21"/>
  <c r="D39" i="21"/>
  <c r="E39" i="21"/>
  <c r="G39" i="21"/>
  <c r="F39" i="20"/>
  <c r="G39" i="20"/>
  <c r="D39" i="20"/>
  <c r="H39" i="20"/>
  <c r="E39" i="20"/>
  <c r="G24" i="21"/>
  <c r="E24" i="21"/>
  <c r="F24" i="21"/>
  <c r="D24" i="21"/>
  <c r="H24" i="21"/>
  <c r="G30" i="22"/>
  <c r="D30" i="22"/>
  <c r="F30" i="22"/>
  <c r="E30" i="22"/>
  <c r="H30" i="22"/>
  <c r="H37" i="20"/>
  <c r="F37" i="20"/>
  <c r="D37" i="20"/>
  <c r="E37" i="20"/>
  <c r="G37" i="20"/>
  <c r="E27" i="21"/>
  <c r="H27" i="21"/>
  <c r="F27" i="21"/>
  <c r="G27" i="21"/>
  <c r="D27" i="21"/>
  <c r="F28" i="22"/>
  <c r="D28" i="22"/>
  <c r="G28" i="22"/>
  <c r="H28" i="22"/>
  <c r="E28" i="22"/>
  <c r="F38" i="21"/>
  <c r="G38" i="21"/>
  <c r="D38" i="21"/>
  <c r="E38" i="21"/>
  <c r="H38" i="21"/>
  <c r="H29" i="22"/>
  <c r="D29" i="22"/>
  <c r="E29" i="22"/>
  <c r="G29" i="22"/>
  <c r="F29" i="22"/>
  <c r="H35" i="22"/>
  <c r="D35" i="22"/>
  <c r="E35" i="22"/>
  <c r="G35" i="22"/>
  <c r="F35" i="22"/>
  <c r="E45" i="19"/>
  <c r="E43" i="19"/>
  <c r="D33" i="20"/>
  <c r="D24" i="13"/>
  <c r="G24" i="13"/>
  <c r="F24" i="13"/>
  <c r="H24" i="13"/>
  <c r="E24" i="13"/>
  <c r="H35" i="21"/>
  <c r="F35" i="21"/>
  <c r="G35" i="21"/>
  <c r="E35" i="21"/>
  <c r="D35" i="21"/>
  <c r="H43" i="19"/>
  <c r="D33" i="13"/>
  <c r="F43" i="20"/>
  <c r="G42" i="22"/>
  <c r="F33" i="20"/>
  <c r="G34" i="22"/>
  <c r="H42" i="13"/>
  <c r="H41" i="21"/>
  <c r="G25" i="13"/>
  <c r="H25" i="13"/>
  <c r="F25" i="13"/>
  <c r="E25" i="13"/>
  <c r="D25" i="13"/>
  <c r="F31" i="19"/>
  <c r="D31" i="19"/>
  <c r="G31" i="19"/>
  <c r="H31" i="19"/>
  <c r="E31" i="19"/>
  <c r="D27" i="13"/>
  <c r="H27" i="13"/>
  <c r="F27" i="13"/>
  <c r="G27" i="13"/>
  <c r="E27" i="13"/>
  <c r="H26" i="20"/>
  <c r="D26" i="20"/>
  <c r="G26" i="20"/>
  <c r="F26" i="20"/>
  <c r="E26" i="20"/>
  <c r="F32" i="13"/>
  <c r="H32" i="13"/>
  <c r="G32" i="13"/>
  <c r="D32" i="13"/>
  <c r="E32" i="13"/>
  <c r="H34" i="13"/>
  <c r="E34" i="13"/>
  <c r="F34" i="13"/>
  <c r="G34" i="13"/>
  <c r="D34" i="13"/>
  <c r="H30" i="19"/>
  <c r="F30" i="19"/>
  <c r="G30" i="19"/>
  <c r="E30" i="19"/>
  <c r="D30" i="19"/>
  <c r="G23" i="21"/>
  <c r="D23" i="21"/>
  <c r="E23" i="21"/>
  <c r="F23" i="21"/>
  <c r="H23" i="21"/>
  <c r="E37" i="22"/>
  <c r="G37" i="22"/>
  <c r="D37" i="22"/>
  <c r="H37" i="22"/>
  <c r="F37" i="22"/>
  <c r="F27" i="22"/>
  <c r="G27" i="22"/>
  <c r="H27" i="22"/>
  <c r="E27" i="22"/>
  <c r="D27" i="22"/>
  <c r="H33" i="20"/>
  <c r="F35" i="20"/>
  <c r="G35" i="20"/>
  <c r="E35" i="20"/>
  <c r="D35" i="20"/>
  <c r="H35" i="20"/>
  <c r="D27" i="19"/>
  <c r="F27" i="19"/>
  <c r="E27" i="19"/>
  <c r="G27" i="19"/>
  <c r="H27" i="19"/>
  <c r="F25" i="22"/>
  <c r="G25" i="22"/>
  <c r="D25" i="22"/>
  <c r="H25" i="22"/>
  <c r="E25" i="22"/>
  <c r="G35" i="19"/>
  <c r="D35" i="19"/>
  <c r="H35" i="19"/>
  <c r="E35" i="19"/>
  <c r="F35" i="19"/>
  <c r="F26" i="22"/>
  <c r="G26" i="22"/>
  <c r="E26" i="22"/>
  <c r="D26" i="22"/>
  <c r="H26" i="22"/>
  <c r="G43" i="19"/>
  <c r="G33" i="13"/>
  <c r="G43" i="20"/>
  <c r="D34" i="22"/>
  <c r="H38" i="22"/>
  <c r="E41" i="21"/>
  <c r="G41" i="19"/>
  <c r="D41" i="19"/>
  <c r="F26" i="19"/>
  <c r="H26" i="19"/>
  <c r="E26" i="19"/>
  <c r="G26" i="19"/>
  <c r="D26" i="19"/>
  <c r="F37" i="21"/>
  <c r="G37" i="21"/>
  <c r="H37" i="21"/>
  <c r="E37" i="21"/>
  <c r="D37" i="21"/>
  <c r="D25" i="20"/>
  <c r="E25" i="20"/>
  <c r="H25" i="20"/>
  <c r="G25" i="20"/>
  <c r="F25" i="20"/>
  <c r="E23" i="13"/>
  <c r="G23" i="13"/>
  <c r="D23" i="13"/>
  <c r="H23" i="13"/>
  <c r="F23" i="13"/>
  <c r="F31" i="22"/>
  <c r="E31" i="22"/>
  <c r="H31" i="22"/>
  <c r="D31" i="22"/>
  <c r="G31" i="22"/>
  <c r="E37" i="13"/>
  <c r="G37" i="13"/>
  <c r="H37" i="13"/>
  <c r="F37" i="13"/>
  <c r="D37" i="13"/>
  <c r="F34" i="22"/>
  <c r="G42" i="13"/>
  <c r="E24" i="19"/>
  <c r="H24" i="19"/>
  <c r="F24" i="19"/>
  <c r="D24" i="19"/>
  <c r="G24" i="19"/>
  <c r="E42" i="13"/>
  <c r="D33" i="22"/>
  <c r="F42" i="13"/>
  <c r="F41" i="19"/>
  <c r="F36" i="21"/>
  <c r="H36" i="21"/>
  <c r="D36" i="21"/>
  <c r="E36" i="21"/>
  <c r="G36" i="21"/>
  <c r="D31" i="21"/>
  <c r="G31" i="21"/>
  <c r="F31" i="21"/>
  <c r="H31" i="21"/>
  <c r="E31" i="21"/>
  <c r="D30" i="21"/>
  <c r="E30" i="21"/>
  <c r="F30" i="21"/>
  <c r="H30" i="21"/>
  <c r="G30" i="21"/>
  <c r="H34" i="22"/>
  <c r="H41" i="13"/>
  <c r="F32" i="20"/>
  <c r="E32" i="20"/>
  <c r="D32" i="20"/>
  <c r="H32" i="20"/>
  <c r="G32" i="20"/>
  <c r="D37" i="19"/>
  <c r="F37" i="19"/>
  <c r="H37" i="19"/>
  <c r="E37" i="19"/>
  <c r="G37" i="19"/>
  <c r="G26" i="21"/>
  <c r="D26" i="21"/>
  <c r="E26" i="21"/>
  <c r="F26" i="21"/>
  <c r="H26" i="21"/>
  <c r="E29" i="20"/>
  <c r="D29" i="20"/>
  <c r="G29" i="20"/>
  <c r="H29" i="20"/>
  <c r="F29" i="20"/>
  <c r="D31" i="20"/>
  <c r="H31" i="20"/>
  <c r="G31" i="20"/>
  <c r="E31" i="20"/>
  <c r="F31" i="20"/>
  <c r="G28" i="13"/>
  <c r="H28" i="13"/>
  <c r="F28" i="13"/>
  <c r="D28" i="13"/>
  <c r="E28" i="13"/>
  <c r="F29" i="13"/>
  <c r="H29" i="13"/>
  <c r="E29" i="13"/>
  <c r="D29" i="13"/>
  <c r="G29" i="13"/>
  <c r="G32" i="22"/>
  <c r="F32" i="22"/>
  <c r="D32" i="22"/>
  <c r="E32" i="22"/>
  <c r="H32" i="22"/>
  <c r="H84" i="25"/>
  <c r="A85" i="21"/>
  <c r="B86" i="21"/>
  <c r="B86" i="24"/>
  <c r="A85" i="24"/>
  <c r="C85" i="24"/>
  <c r="F85" i="24" s="1"/>
  <c r="B86" i="19"/>
  <c r="A85" i="19"/>
  <c r="I84" i="27"/>
  <c r="B87" i="20"/>
  <c r="C86" i="27"/>
  <c r="F86" i="27" s="1"/>
  <c r="A86" i="27"/>
  <c r="B87" i="27"/>
  <c r="I83" i="25"/>
  <c r="A85" i="23"/>
  <c r="A85" i="22"/>
  <c r="A86" i="22" s="1"/>
  <c r="A85" i="26"/>
  <c r="B86" i="26"/>
  <c r="C85" i="26"/>
  <c r="D85" i="26" s="1"/>
  <c r="G84" i="25"/>
  <c r="F84" i="25"/>
  <c r="F85" i="27"/>
  <c r="D85" i="27"/>
  <c r="E85" i="27"/>
  <c r="H85" i="27"/>
  <c r="G85" i="27"/>
  <c r="I83" i="26"/>
  <c r="E84" i="25"/>
  <c r="B86" i="23"/>
  <c r="C85" i="23"/>
  <c r="B87" i="22"/>
  <c r="B86" i="13"/>
  <c r="A85" i="13"/>
  <c r="E84" i="24"/>
  <c r="F84" i="24"/>
  <c r="H84" i="24"/>
  <c r="F84" i="26"/>
  <c r="G84" i="26"/>
  <c r="D84" i="26"/>
  <c r="H84" i="26"/>
  <c r="B86" i="25"/>
  <c r="A85" i="25"/>
  <c r="C85" i="25"/>
  <c r="G85" i="25" s="1"/>
  <c r="G84" i="24"/>
  <c r="D84" i="24"/>
  <c r="D49" i="19"/>
  <c r="E49" i="19"/>
  <c r="E78" i="21"/>
  <c r="H47" i="21"/>
  <c r="H75" i="21"/>
  <c r="D43" i="13"/>
  <c r="D45" i="22"/>
  <c r="F44" i="19"/>
  <c r="G44" i="19"/>
  <c r="D44" i="19"/>
  <c r="G58" i="21"/>
  <c r="H49" i="19"/>
  <c r="H54" i="19"/>
  <c r="F42" i="19"/>
  <c r="F78" i="21"/>
  <c r="E48" i="22"/>
  <c r="E73" i="13"/>
  <c r="F68" i="21"/>
  <c r="F58" i="20"/>
  <c r="G46" i="13"/>
  <c r="H45" i="21"/>
  <c r="F49" i="19"/>
  <c r="H44" i="19"/>
  <c r="H49" i="20"/>
  <c r="H46" i="19"/>
  <c r="H42" i="19"/>
  <c r="F46" i="19"/>
  <c r="F49" i="20"/>
  <c r="G54" i="19"/>
  <c r="F47" i="21"/>
  <c r="I34" i="23"/>
  <c r="G59" i="20"/>
  <c r="G63" i="21"/>
  <c r="D57" i="20"/>
  <c r="H70" i="20"/>
  <c r="F43" i="13"/>
  <c r="I33" i="23"/>
  <c r="I38" i="23"/>
  <c r="D58" i="13"/>
  <c r="E58" i="13"/>
  <c r="F61" i="20"/>
  <c r="F48" i="19"/>
  <c r="G49" i="21"/>
  <c r="E46" i="21"/>
  <c r="G47" i="21"/>
  <c r="D70" i="20"/>
  <c r="H58" i="13"/>
  <c r="G58" i="13"/>
  <c r="F73" i="13"/>
  <c r="F70" i="20"/>
  <c r="G49" i="22"/>
  <c r="D47" i="21"/>
  <c r="F45" i="22"/>
  <c r="E43" i="13"/>
  <c r="D68" i="21"/>
  <c r="D72" i="20"/>
  <c r="H43" i="22"/>
  <c r="G75" i="21"/>
  <c r="D82" i="20"/>
  <c r="G49" i="20"/>
  <c r="E54" i="19"/>
  <c r="D49" i="22"/>
  <c r="H81" i="22"/>
  <c r="G42" i="19"/>
  <c r="D46" i="19"/>
  <c r="I35" i="23"/>
  <c r="D75" i="21"/>
  <c r="F49" i="22"/>
  <c r="H43" i="13"/>
  <c r="D43" i="22"/>
  <c r="F75" i="21"/>
  <c r="D76" i="21"/>
  <c r="D49" i="20"/>
  <c r="D54" i="19"/>
  <c r="H49" i="22"/>
  <c r="D42" i="19"/>
  <c r="E46" i="19"/>
  <c r="H56" i="22"/>
  <c r="G48" i="22"/>
  <c r="D48" i="22"/>
  <c r="E49" i="21"/>
  <c r="D49" i="21"/>
  <c r="E46" i="20"/>
  <c r="H47" i="19"/>
  <c r="G47" i="19"/>
  <c r="E47" i="19"/>
  <c r="D47" i="19"/>
  <c r="F65" i="21"/>
  <c r="H78" i="21"/>
  <c r="F59" i="21"/>
  <c r="F48" i="22"/>
  <c r="F49" i="21"/>
  <c r="H46" i="21"/>
  <c r="H46" i="13"/>
  <c r="G43" i="22"/>
  <c r="E43" i="22"/>
  <c r="F47" i="19"/>
  <c r="H46" i="20"/>
  <c r="F46" i="20"/>
  <c r="D46" i="20"/>
  <c r="F46" i="21"/>
  <c r="D46" i="21"/>
  <c r="F48" i="13"/>
  <c r="E48" i="13"/>
  <c r="G48" i="13"/>
  <c r="D48" i="13"/>
  <c r="D44" i="13"/>
  <c r="H44" i="13"/>
  <c r="E44" i="13"/>
  <c r="F47" i="13"/>
  <c r="H47" i="13"/>
  <c r="G47" i="13"/>
  <c r="D47" i="13"/>
  <c r="F60" i="21"/>
  <c r="G73" i="13"/>
  <c r="H57" i="13"/>
  <c r="E48" i="19"/>
  <c r="F63" i="22"/>
  <c r="G42" i="20"/>
  <c r="H42" i="20"/>
  <c r="F42" i="20"/>
  <c r="D42" i="20"/>
  <c r="E42" i="20"/>
  <c r="D73" i="13"/>
  <c r="G74" i="21"/>
  <c r="G80" i="19"/>
  <c r="H57" i="20"/>
  <c r="D61" i="20"/>
  <c r="G57" i="21"/>
  <c r="D57" i="13"/>
  <c r="G57" i="13"/>
  <c r="G48" i="19"/>
  <c r="D48" i="19"/>
  <c r="F81" i="22"/>
  <c r="D47" i="22"/>
  <c r="F47" i="22"/>
  <c r="E47" i="13"/>
  <c r="E45" i="20"/>
  <c r="H45" i="20"/>
  <c r="G45" i="20"/>
  <c r="F45" i="20"/>
  <c r="D45" i="20"/>
  <c r="D42" i="21"/>
  <c r="G42" i="21"/>
  <c r="F42" i="21"/>
  <c r="E42" i="21"/>
  <c r="H42" i="21"/>
  <c r="D45" i="21"/>
  <c r="E45" i="21"/>
  <c r="F45" i="21"/>
  <c r="D81" i="22"/>
  <c r="H47" i="22"/>
  <c r="H44" i="22"/>
  <c r="F44" i="22"/>
  <c r="H74" i="21"/>
  <c r="F57" i="20"/>
  <c r="G57" i="20"/>
  <c r="F77" i="21"/>
  <c r="E57" i="13"/>
  <c r="E81" i="22"/>
  <c r="G47" i="22"/>
  <c r="E45" i="22"/>
  <c r="G44" i="13"/>
  <c r="E44" i="22"/>
  <c r="D44" i="22"/>
  <c r="H45" i="22"/>
  <c r="F46" i="13"/>
  <c r="D46" i="13"/>
  <c r="D44" i="21"/>
  <c r="F44" i="21"/>
  <c r="H44" i="21"/>
  <c r="G44" i="21"/>
  <c r="E44" i="21"/>
  <c r="E74" i="21"/>
  <c r="F74" i="21"/>
  <c r="D62" i="20"/>
  <c r="H80" i="19"/>
  <c r="E61" i="20"/>
  <c r="F62" i="13"/>
  <c r="H70" i="21"/>
  <c r="G52" i="22"/>
  <c r="G62" i="21"/>
  <c r="F54" i="21"/>
  <c r="H59" i="19"/>
  <c r="H66" i="21"/>
  <c r="E70" i="21"/>
  <c r="E80" i="19"/>
  <c r="D70" i="21"/>
  <c r="H61" i="20"/>
  <c r="E62" i="21"/>
  <c r="E83" i="22"/>
  <c r="G68" i="22"/>
  <c r="F68" i="22"/>
  <c r="E64" i="21"/>
  <c r="G59" i="19"/>
  <c r="F66" i="21"/>
  <c r="F82" i="20"/>
  <c r="H63" i="21"/>
  <c r="H68" i="21"/>
  <c r="G68" i="21"/>
  <c r="H77" i="21"/>
  <c r="D81" i="21"/>
  <c r="F51" i="22"/>
  <c r="E59" i="20"/>
  <c r="D59" i="20"/>
  <c r="D66" i="21"/>
  <c r="D60" i="21"/>
  <c r="G77" i="21"/>
  <c r="F62" i="21"/>
  <c r="D62" i="21"/>
  <c r="G58" i="20"/>
  <c r="D73" i="21"/>
  <c r="G70" i="20"/>
  <c r="H55" i="22"/>
  <c r="H59" i="20"/>
  <c r="H68" i="22"/>
  <c r="E68" i="22"/>
  <c r="E82" i="20"/>
  <c r="D67" i="21"/>
  <c r="H76" i="21"/>
  <c r="G73" i="21"/>
  <c r="E72" i="20"/>
  <c r="G59" i="21"/>
  <c r="E54" i="22"/>
  <c r="H54" i="22"/>
  <c r="E65" i="21"/>
  <c r="H82" i="20"/>
  <c r="F67" i="21"/>
  <c r="H60" i="21"/>
  <c r="G78" i="21"/>
  <c r="G81" i="20"/>
  <c r="H58" i="21"/>
  <c r="E73" i="21"/>
  <c r="G72" i="20"/>
  <c r="F58" i="21"/>
  <c r="D54" i="21"/>
  <c r="G63" i="22"/>
  <c r="H69" i="22"/>
  <c r="D52" i="22"/>
  <c r="F69" i="22"/>
  <c r="G54" i="22"/>
  <c r="F57" i="19"/>
  <c r="H77" i="20"/>
  <c r="D81" i="20"/>
  <c r="E77" i="20"/>
  <c r="H72" i="20"/>
  <c r="G54" i="21"/>
  <c r="D63" i="20"/>
  <c r="H65" i="21"/>
  <c r="F80" i="13"/>
  <c r="G60" i="21"/>
  <c r="F77" i="20"/>
  <c r="E58" i="21"/>
  <c r="F73" i="21"/>
  <c r="D59" i="21"/>
  <c r="E77" i="21"/>
  <c r="E59" i="21"/>
  <c r="E82" i="21"/>
  <c r="G77" i="20"/>
  <c r="H54" i="21"/>
  <c r="H52" i="22"/>
  <c r="F50" i="22"/>
  <c r="F52" i="22"/>
  <c r="D54" i="22"/>
  <c r="H58" i="19"/>
  <c r="E58" i="19"/>
  <c r="G62" i="22"/>
  <c r="F62" i="22"/>
  <c r="H70" i="22"/>
  <c r="E70" i="22"/>
  <c r="F70" i="22"/>
  <c r="D70" i="22"/>
  <c r="G70" i="22"/>
  <c r="H79" i="21"/>
  <c r="G72" i="21"/>
  <c r="E57" i="21"/>
  <c r="E58" i="20"/>
  <c r="D51" i="22"/>
  <c r="G59" i="22"/>
  <c r="F59" i="22"/>
  <c r="D59" i="22"/>
  <c r="G59" i="13"/>
  <c r="H59" i="13"/>
  <c r="E59" i="13"/>
  <c r="F59" i="13"/>
  <c r="G83" i="22"/>
  <c r="H83" i="22"/>
  <c r="G66" i="21"/>
  <c r="H72" i="21"/>
  <c r="F80" i="19"/>
  <c r="D72" i="21"/>
  <c r="E62" i="20"/>
  <c r="E61" i="21"/>
  <c r="E79" i="21"/>
  <c r="D79" i="21"/>
  <c r="H81" i="20"/>
  <c r="F70" i="21"/>
  <c r="G81" i="21"/>
  <c r="F58" i="19"/>
  <c r="F83" i="22"/>
  <c r="G58" i="19"/>
  <c r="D59" i="13"/>
  <c r="H64" i="22"/>
  <c r="E64" i="22"/>
  <c r="G64" i="22"/>
  <c r="D64" i="22"/>
  <c r="D56" i="22"/>
  <c r="F56" i="22"/>
  <c r="E56" i="22"/>
  <c r="E55" i="22"/>
  <c r="F55" i="22"/>
  <c r="D55" i="22"/>
  <c r="I61" i="23"/>
  <c r="D58" i="22"/>
  <c r="E58" i="22"/>
  <c r="G58" i="22"/>
  <c r="F58" i="22"/>
  <c r="E50" i="22"/>
  <c r="G50" i="22"/>
  <c r="G79" i="21"/>
  <c r="D58" i="20"/>
  <c r="G51" i="22"/>
  <c r="H51" i="22"/>
  <c r="E62" i="22"/>
  <c r="H64" i="21"/>
  <c r="F62" i="20"/>
  <c r="F72" i="21"/>
  <c r="G62" i="20"/>
  <c r="H61" i="21"/>
  <c r="E80" i="21"/>
  <c r="F81" i="20"/>
  <c r="F57" i="21"/>
  <c r="D57" i="21"/>
  <c r="H62" i="22"/>
  <c r="H59" i="22"/>
  <c r="H50" i="22"/>
  <c r="D58" i="19"/>
  <c r="D63" i="22"/>
  <c r="H63" i="22"/>
  <c r="D69" i="22"/>
  <c r="E69" i="22"/>
  <c r="G67" i="22"/>
  <c r="D67" i="22"/>
  <c r="E67" i="22"/>
  <c r="F67" i="22"/>
  <c r="H67" i="22"/>
  <c r="E71" i="22"/>
  <c r="D71" i="22"/>
  <c r="G71" i="22"/>
  <c r="F71" i="22"/>
  <c r="H71" i="22"/>
  <c r="E53" i="22"/>
  <c r="H53" i="22"/>
  <c r="G53" i="22"/>
  <c r="F53" i="22"/>
  <c r="D53" i="22"/>
  <c r="E52" i="21"/>
  <c r="D52" i="21"/>
  <c r="F52" i="21"/>
  <c r="G52" i="21"/>
  <c r="H52" i="21"/>
  <c r="G53" i="13"/>
  <c r="E53" i="13"/>
  <c r="H53" i="13"/>
  <c r="F53" i="13"/>
  <c r="D53" i="13"/>
  <c r="H69" i="21"/>
  <c r="F69" i="21"/>
  <c r="G57" i="19"/>
  <c r="G66" i="20"/>
  <c r="D71" i="21"/>
  <c r="F71" i="21"/>
  <c r="F68" i="20"/>
  <c r="F79" i="22"/>
  <c r="E79" i="22"/>
  <c r="H79" i="22"/>
  <c r="G79" i="22"/>
  <c r="D79" i="22"/>
  <c r="G72" i="22"/>
  <c r="E72" i="22"/>
  <c r="F72" i="22"/>
  <c r="D72" i="22"/>
  <c r="H72" i="22"/>
  <c r="E52" i="19"/>
  <c r="D52" i="19"/>
  <c r="H52" i="19"/>
  <c r="F52" i="19"/>
  <c r="G52" i="19"/>
  <c r="D56" i="13"/>
  <c r="F56" i="13"/>
  <c r="E56" i="13"/>
  <c r="G56" i="13"/>
  <c r="H56" i="13"/>
  <c r="E56" i="20"/>
  <c r="G56" i="20"/>
  <c r="D56" i="20"/>
  <c r="H56" i="20"/>
  <c r="F56" i="20"/>
  <c r="D64" i="21"/>
  <c r="H57" i="19"/>
  <c r="E57" i="19"/>
  <c r="F59" i="19"/>
  <c r="H63" i="20"/>
  <c r="D65" i="21"/>
  <c r="H80" i="13"/>
  <c r="H67" i="21"/>
  <c r="G67" i="21"/>
  <c r="G76" i="21"/>
  <c r="G83" i="21"/>
  <c r="H83" i="21"/>
  <c r="H80" i="21"/>
  <c r="G71" i="21"/>
  <c r="H68" i="20"/>
  <c r="H71" i="21"/>
  <c r="G82" i="21"/>
  <c r="E81" i="21"/>
  <c r="H81" i="21"/>
  <c r="D61" i="21"/>
  <c r="G69" i="21"/>
  <c r="G77" i="22"/>
  <c r="D77" i="22"/>
  <c r="H77" i="22"/>
  <c r="F77" i="22"/>
  <c r="E77" i="22"/>
  <c r="E66" i="22"/>
  <c r="F66" i="22"/>
  <c r="D66" i="22"/>
  <c r="G66" i="22"/>
  <c r="H66" i="22"/>
  <c r="H60" i="22"/>
  <c r="D60" i="22"/>
  <c r="F60" i="22"/>
  <c r="E60" i="22"/>
  <c r="G60" i="22"/>
  <c r="E65" i="22"/>
  <c r="H65" i="22"/>
  <c r="F65" i="22"/>
  <c r="D65" i="22"/>
  <c r="G65" i="22"/>
  <c r="F76" i="22"/>
  <c r="H76" i="22"/>
  <c r="D76" i="22"/>
  <c r="G76" i="22"/>
  <c r="E76" i="22"/>
  <c r="G55" i="19"/>
  <c r="H55" i="19"/>
  <c r="E55" i="19"/>
  <c r="D55" i="19"/>
  <c r="F55" i="19"/>
  <c r="E56" i="21"/>
  <c r="F56" i="21"/>
  <c r="G56" i="21"/>
  <c r="H56" i="21"/>
  <c r="D56" i="21"/>
  <c r="E51" i="21"/>
  <c r="F51" i="21"/>
  <c r="H51" i="21"/>
  <c r="D51" i="21"/>
  <c r="G51" i="21"/>
  <c r="F55" i="13"/>
  <c r="H55" i="13"/>
  <c r="G55" i="13"/>
  <c r="E55" i="13"/>
  <c r="D55" i="13"/>
  <c r="E54" i="20"/>
  <c r="F54" i="20"/>
  <c r="G54" i="20"/>
  <c r="D54" i="20"/>
  <c r="H54" i="20"/>
  <c r="G50" i="20"/>
  <c r="D50" i="20"/>
  <c r="F50" i="20"/>
  <c r="H50" i="20"/>
  <c r="E50" i="20"/>
  <c r="H61" i="22"/>
  <c r="D61" i="22"/>
  <c r="E61" i="22"/>
  <c r="F61" i="22"/>
  <c r="G61" i="22"/>
  <c r="D82" i="22"/>
  <c r="H82" i="22"/>
  <c r="G82" i="22"/>
  <c r="E82" i="22"/>
  <c r="F82" i="22"/>
  <c r="E57" i="22"/>
  <c r="G57" i="22"/>
  <c r="H57" i="22"/>
  <c r="F57" i="22"/>
  <c r="D57" i="22"/>
  <c r="F51" i="19"/>
  <c r="E51" i="19"/>
  <c r="H51" i="19"/>
  <c r="G51" i="19"/>
  <c r="D51" i="19"/>
  <c r="D50" i="21"/>
  <c r="E50" i="21"/>
  <c r="F50" i="21"/>
  <c r="G50" i="21"/>
  <c r="H50" i="21"/>
  <c r="F52" i="13"/>
  <c r="H52" i="13"/>
  <c r="E52" i="13"/>
  <c r="D52" i="13"/>
  <c r="G52" i="13"/>
  <c r="E53" i="19"/>
  <c r="D53" i="19"/>
  <c r="G53" i="19"/>
  <c r="F53" i="19"/>
  <c r="H53" i="19"/>
  <c r="E51" i="20"/>
  <c r="D51" i="20"/>
  <c r="H51" i="20"/>
  <c r="F51" i="20"/>
  <c r="G51" i="20"/>
  <c r="G63" i="20"/>
  <c r="F76" i="21"/>
  <c r="F83" i="21"/>
  <c r="F80" i="21"/>
  <c r="H82" i="21"/>
  <c r="D68" i="20"/>
  <c r="F78" i="22"/>
  <c r="D78" i="22"/>
  <c r="H78" i="22"/>
  <c r="E78" i="22"/>
  <c r="G78" i="22"/>
  <c r="F74" i="22"/>
  <c r="E74" i="22"/>
  <c r="D74" i="22"/>
  <c r="G74" i="22"/>
  <c r="H74" i="22"/>
  <c r="H80" i="22"/>
  <c r="F80" i="22"/>
  <c r="E80" i="22"/>
  <c r="G80" i="22"/>
  <c r="D80" i="22"/>
  <c r="H53" i="21"/>
  <c r="D53" i="21"/>
  <c r="F53" i="21"/>
  <c r="E53" i="21"/>
  <c r="G53" i="21"/>
  <c r="D51" i="13"/>
  <c r="F51" i="13"/>
  <c r="H51" i="13"/>
  <c r="G51" i="13"/>
  <c r="E51" i="13"/>
  <c r="H52" i="20"/>
  <c r="D52" i="20"/>
  <c r="F52" i="20"/>
  <c r="G52" i="20"/>
  <c r="E52" i="20"/>
  <c r="F64" i="21"/>
  <c r="E59" i="19"/>
  <c r="H66" i="20"/>
  <c r="E63" i="20"/>
  <c r="D80" i="13"/>
  <c r="D66" i="20"/>
  <c r="F61" i="21"/>
  <c r="D83" i="21"/>
  <c r="D80" i="21"/>
  <c r="E68" i="20"/>
  <c r="D69" i="21"/>
  <c r="E66" i="20"/>
  <c r="G80" i="13"/>
  <c r="E69" i="21"/>
  <c r="D82" i="21"/>
  <c r="F73" i="22"/>
  <c r="H73" i="22"/>
  <c r="D73" i="22"/>
  <c r="E73" i="22"/>
  <c r="G73" i="22"/>
  <c r="H75" i="22"/>
  <c r="G75" i="22"/>
  <c r="F75" i="22"/>
  <c r="D75" i="22"/>
  <c r="E75" i="22"/>
  <c r="E63" i="21"/>
  <c r="F63" i="21"/>
  <c r="G55" i="21"/>
  <c r="E55" i="21"/>
  <c r="H55" i="21"/>
  <c r="D55" i="21"/>
  <c r="F55" i="21"/>
  <c r="G54" i="13"/>
  <c r="E54" i="13"/>
  <c r="D54" i="13"/>
  <c r="H54" i="13"/>
  <c r="F54" i="13"/>
  <c r="D56" i="19"/>
  <c r="E56" i="19"/>
  <c r="H56" i="19"/>
  <c r="G56" i="19"/>
  <c r="F56" i="19"/>
  <c r="E50" i="19"/>
  <c r="H50" i="19"/>
  <c r="G50" i="19"/>
  <c r="D50" i="19"/>
  <c r="F50" i="19"/>
  <c r="F55" i="20"/>
  <c r="E55" i="20"/>
  <c r="H55" i="20"/>
  <c r="D55" i="20"/>
  <c r="G55" i="20"/>
  <c r="D53" i="20"/>
  <c r="H53" i="20"/>
  <c r="G53" i="20"/>
  <c r="E53" i="20"/>
  <c r="F53" i="20"/>
  <c r="E71" i="19"/>
  <c r="E63" i="19"/>
  <c r="G75" i="20"/>
  <c r="H82" i="13"/>
  <c r="H68" i="19"/>
  <c r="G79" i="19"/>
  <c r="H66" i="13"/>
  <c r="F64" i="19"/>
  <c r="G71" i="19"/>
  <c r="G75" i="19"/>
  <c r="D71" i="19"/>
  <c r="E69" i="20"/>
  <c r="E81" i="19"/>
  <c r="F75" i="20"/>
  <c r="D66" i="19"/>
  <c r="F63" i="13"/>
  <c r="D69" i="20"/>
  <c r="D81" i="19"/>
  <c r="E78" i="13"/>
  <c r="E68" i="19"/>
  <c r="G66" i="13"/>
  <c r="F78" i="20"/>
  <c r="D78" i="20"/>
  <c r="F71" i="19"/>
  <c r="D75" i="20"/>
  <c r="H74" i="19"/>
  <c r="G81" i="19"/>
  <c r="G63" i="19"/>
  <c r="F79" i="19"/>
  <c r="F63" i="19"/>
  <c r="E75" i="20"/>
  <c r="H63" i="19"/>
  <c r="G64" i="19"/>
  <c r="D64" i="19"/>
  <c r="E75" i="13"/>
  <c r="D82" i="19"/>
  <c r="H64" i="19"/>
  <c r="F75" i="13"/>
  <c r="H77" i="19"/>
  <c r="H65" i="20"/>
  <c r="G75" i="13"/>
  <c r="F61" i="19"/>
  <c r="F77" i="19"/>
  <c r="H75" i="13"/>
  <c r="H61" i="19"/>
  <c r="E74" i="19"/>
  <c r="G68" i="19"/>
  <c r="E66" i="19"/>
  <c r="F82" i="19"/>
  <c r="G61" i="19"/>
  <c r="D61" i="19"/>
  <c r="D69" i="13"/>
  <c r="H75" i="19"/>
  <c r="D72" i="13"/>
  <c r="H66" i="19"/>
  <c r="G66" i="19"/>
  <c r="G82" i="19"/>
  <c r="E69" i="13"/>
  <c r="E75" i="19"/>
  <c r="D68" i="19"/>
  <c r="E82" i="19"/>
  <c r="E66" i="13"/>
  <c r="E72" i="13"/>
  <c r="F76" i="20"/>
  <c r="E76" i="20"/>
  <c r="H76" i="20"/>
  <c r="D76" i="20"/>
  <c r="G72" i="13"/>
  <c r="H81" i="19"/>
  <c r="E77" i="19"/>
  <c r="D77" i="19"/>
  <c r="H72" i="13"/>
  <c r="F65" i="20"/>
  <c r="F75" i="19"/>
  <c r="G78" i="20"/>
  <c r="G67" i="20"/>
  <c r="G76" i="20"/>
  <c r="E65" i="20"/>
  <c r="D67" i="20"/>
  <c r="D78" i="13"/>
  <c r="H78" i="13"/>
  <c r="E63" i="13"/>
  <c r="E73" i="20"/>
  <c r="D70" i="13"/>
  <c r="D76" i="19"/>
  <c r="G78" i="13"/>
  <c r="D78" i="19"/>
  <c r="E72" i="19"/>
  <c r="G65" i="20"/>
  <c r="D63" i="13"/>
  <c r="H63" i="13"/>
  <c r="H78" i="20"/>
  <c r="H62" i="13"/>
  <c r="D62" i="13"/>
  <c r="E62" i="13"/>
  <c r="E70" i="13"/>
  <c r="F70" i="13"/>
  <c r="D65" i="19"/>
  <c r="G76" i="19"/>
  <c r="F73" i="19"/>
  <c r="D62" i="19"/>
  <c r="F70" i="19"/>
  <c r="D72" i="19"/>
  <c r="G70" i="13"/>
  <c r="G69" i="20"/>
  <c r="E76" i="19"/>
  <c r="H79" i="19"/>
  <c r="E79" i="19"/>
  <c r="F66" i="13"/>
  <c r="G69" i="13"/>
  <c r="G74" i="19"/>
  <c r="D74" i="19"/>
  <c r="F71" i="20"/>
  <c r="G71" i="20"/>
  <c r="D71" i="20"/>
  <c r="E71" i="20"/>
  <c r="F73" i="20"/>
  <c r="G73" i="20"/>
  <c r="F69" i="20"/>
  <c r="H76" i="19"/>
  <c r="D73" i="19"/>
  <c r="F78" i="19"/>
  <c r="H69" i="13"/>
  <c r="H70" i="19"/>
  <c r="H71" i="20"/>
  <c r="H73" i="20"/>
  <c r="H67" i="20"/>
  <c r="F67" i="20"/>
  <c r="E62" i="19"/>
  <c r="F65" i="19"/>
  <c r="D60" i="20"/>
  <c r="E60" i="20"/>
  <c r="F60" i="20"/>
  <c r="G60" i="20"/>
  <c r="H60" i="20"/>
  <c r="F71" i="13"/>
  <c r="D71" i="13"/>
  <c r="E71" i="13"/>
  <c r="H71" i="13"/>
  <c r="G71" i="13"/>
  <c r="E73" i="19"/>
  <c r="G62" i="19"/>
  <c r="H78" i="19"/>
  <c r="E70" i="19"/>
  <c r="G65" i="19"/>
  <c r="G72" i="19"/>
  <c r="H72" i="19"/>
  <c r="E83" i="20"/>
  <c r="H83" i="20"/>
  <c r="D83" i="20"/>
  <c r="G83" i="20"/>
  <c r="F83" i="20"/>
  <c r="D65" i="13"/>
  <c r="F65" i="13"/>
  <c r="E65" i="13"/>
  <c r="H65" i="13"/>
  <c r="G65" i="13"/>
  <c r="G60" i="19"/>
  <c r="E60" i="19"/>
  <c r="D60" i="19"/>
  <c r="H60" i="19"/>
  <c r="F60" i="19"/>
  <c r="F67" i="19"/>
  <c r="G67" i="19"/>
  <c r="E67" i="19"/>
  <c r="D67" i="19"/>
  <c r="H67" i="19"/>
  <c r="G77" i="13"/>
  <c r="D77" i="13"/>
  <c r="F77" i="13"/>
  <c r="E77" i="13"/>
  <c r="H77" i="13"/>
  <c r="D61" i="13"/>
  <c r="E61" i="13"/>
  <c r="F61" i="13"/>
  <c r="G61" i="13"/>
  <c r="H61" i="13"/>
  <c r="F83" i="13"/>
  <c r="G83" i="13"/>
  <c r="H83" i="13"/>
  <c r="D83" i="13"/>
  <c r="E83" i="13"/>
  <c r="D60" i="13"/>
  <c r="H60" i="13"/>
  <c r="G60" i="13"/>
  <c r="F60" i="13"/>
  <c r="E60" i="13"/>
  <c r="D82" i="13"/>
  <c r="F82" i="13"/>
  <c r="G82" i="13"/>
  <c r="F64" i="20"/>
  <c r="E64" i="20"/>
  <c r="H64" i="20"/>
  <c r="G64" i="20"/>
  <c r="D64" i="20"/>
  <c r="F69" i="19"/>
  <c r="G69" i="19"/>
  <c r="D69" i="19"/>
  <c r="E69" i="19"/>
  <c r="H69" i="19"/>
  <c r="D67" i="13"/>
  <c r="F67" i="13"/>
  <c r="G67" i="13"/>
  <c r="E67" i="13"/>
  <c r="H67" i="13"/>
  <c r="F62" i="19"/>
  <c r="D70" i="19"/>
  <c r="H74" i="20"/>
  <c r="D74" i="20"/>
  <c r="G74" i="20"/>
  <c r="F74" i="20"/>
  <c r="E74" i="20"/>
  <c r="F68" i="13"/>
  <c r="D68" i="13"/>
  <c r="G68" i="13"/>
  <c r="E68" i="13"/>
  <c r="H68" i="13"/>
  <c r="E81" i="13"/>
  <c r="H81" i="13"/>
  <c r="G81" i="13"/>
  <c r="D81" i="13"/>
  <c r="F81" i="13"/>
  <c r="H73" i="19"/>
  <c r="G78" i="19"/>
  <c r="E65" i="19"/>
  <c r="G80" i="20"/>
  <c r="F80" i="20"/>
  <c r="E80" i="20"/>
  <c r="H80" i="20"/>
  <c r="D80" i="20"/>
  <c r="G79" i="20"/>
  <c r="H79" i="20"/>
  <c r="E79" i="20"/>
  <c r="D79" i="20"/>
  <c r="F79" i="20"/>
  <c r="G83" i="19"/>
  <c r="D83" i="19"/>
  <c r="H83" i="19"/>
  <c r="F83" i="19"/>
  <c r="E83" i="19"/>
  <c r="E64" i="13"/>
  <c r="F64" i="13"/>
  <c r="H64" i="13"/>
  <c r="D64" i="13"/>
  <c r="G64" i="13"/>
  <c r="E76" i="13"/>
  <c r="D76" i="13"/>
  <c r="F76" i="13"/>
  <c r="H76" i="13"/>
  <c r="G76" i="13"/>
  <c r="G79" i="13"/>
  <c r="D79" i="13"/>
  <c r="E79" i="13"/>
  <c r="F79" i="13"/>
  <c r="H79" i="13"/>
  <c r="F74" i="13"/>
  <c r="G74" i="13"/>
  <c r="H74" i="13"/>
  <c r="E74" i="13"/>
  <c r="D74" i="13"/>
  <c r="I51" i="23" l="1"/>
  <c r="I49" i="23"/>
  <c r="I53" i="23"/>
  <c r="I59" i="24"/>
  <c r="I76" i="23"/>
  <c r="I63" i="23"/>
  <c r="I58" i="23"/>
  <c r="I71" i="23"/>
  <c r="I77" i="24"/>
  <c r="I36" i="24"/>
  <c r="I80" i="23"/>
  <c r="I65" i="24"/>
  <c r="I60" i="24"/>
  <c r="I43" i="23"/>
  <c r="I56" i="23"/>
  <c r="I64" i="24"/>
  <c r="I42" i="24"/>
  <c r="I41" i="24"/>
  <c r="I72" i="24"/>
  <c r="I58" i="24"/>
  <c r="I56" i="24"/>
  <c r="I70" i="24"/>
  <c r="I79" i="23"/>
  <c r="I61" i="24"/>
  <c r="I49" i="24"/>
  <c r="I66" i="23"/>
  <c r="I64" i="23"/>
  <c r="I60" i="23"/>
  <c r="I68" i="24"/>
  <c r="I73" i="23"/>
  <c r="I54" i="24"/>
  <c r="I40" i="23"/>
  <c r="I55" i="24"/>
  <c r="I70" i="23"/>
  <c r="I82" i="23"/>
  <c r="I55" i="23"/>
  <c r="I83" i="23"/>
  <c r="I73" i="24"/>
  <c r="I59" i="23"/>
  <c r="I65" i="23"/>
  <c r="I41" i="23"/>
  <c r="I48" i="24"/>
  <c r="I39" i="24"/>
  <c r="I66" i="24"/>
  <c r="I67" i="24"/>
  <c r="I52" i="24"/>
  <c r="I46" i="23"/>
  <c r="I37" i="24"/>
  <c r="I57" i="24"/>
  <c r="I83" i="24"/>
  <c r="I62" i="23"/>
  <c r="I75" i="23"/>
  <c r="I50" i="24"/>
  <c r="I48" i="23"/>
  <c r="I78" i="23"/>
  <c r="I74" i="23"/>
  <c r="I53" i="24"/>
  <c r="I44" i="23"/>
  <c r="I72" i="23"/>
  <c r="I42" i="23"/>
  <c r="I82" i="24"/>
  <c r="I79" i="24"/>
  <c r="I45" i="24"/>
  <c r="I54" i="23"/>
  <c r="I76" i="24"/>
  <c r="I44" i="24"/>
  <c r="I69" i="24"/>
  <c r="I43" i="24"/>
  <c r="I50" i="23"/>
  <c r="I68" i="23"/>
  <c r="I47" i="24"/>
  <c r="I67" i="23"/>
  <c r="I63" i="24"/>
  <c r="I62" i="24"/>
  <c r="I80" i="24"/>
  <c r="I71" i="24"/>
  <c r="I57" i="23"/>
  <c r="I38" i="24"/>
  <c r="I46" i="24"/>
  <c r="I69" i="23"/>
  <c r="I74" i="24"/>
  <c r="I75" i="24"/>
  <c r="I52" i="23"/>
  <c r="I47" i="23"/>
  <c r="I45" i="23"/>
  <c r="I51" i="24"/>
  <c r="I78" i="24"/>
  <c r="I81" i="23"/>
  <c r="I39" i="23"/>
  <c r="I40" i="24"/>
  <c r="I77" i="23"/>
  <c r="I87" i="3"/>
  <c r="I87" i="31"/>
  <c r="A89" i="31"/>
  <c r="C89" i="31"/>
  <c r="F89" i="31" s="1"/>
  <c r="B90" i="31"/>
  <c r="E88" i="31"/>
  <c r="D88" i="31"/>
  <c r="G88" i="31"/>
  <c r="F88" i="31"/>
  <c r="G88" i="3"/>
  <c r="H88" i="3"/>
  <c r="D88" i="3"/>
  <c r="E88" i="3"/>
  <c r="F88" i="3"/>
  <c r="A89" i="3"/>
  <c r="B90" i="3"/>
  <c r="C89" i="3"/>
  <c r="G89" i="3" s="1"/>
  <c r="C84" i="22"/>
  <c r="H84" i="22" s="1"/>
  <c r="H23" i="19"/>
  <c r="E23" i="19"/>
  <c r="B14" i="19"/>
  <c r="E15" i="19"/>
  <c r="B14" i="13"/>
  <c r="E15" i="13"/>
  <c r="B14" i="21"/>
  <c r="E15" i="21"/>
  <c r="B15" i="21" s="1"/>
  <c r="C84" i="21" s="1"/>
  <c r="G84" i="21" s="1"/>
  <c r="B14" i="20"/>
  <c r="E15" i="20"/>
  <c r="C86" i="22"/>
  <c r="F86" i="22" s="1"/>
  <c r="C85" i="22"/>
  <c r="D85" i="22" s="1"/>
  <c r="D23" i="19"/>
  <c r="G23" i="19"/>
  <c r="F84" i="23"/>
  <c r="H84" i="23"/>
  <c r="E84" i="23"/>
  <c r="G84" i="23"/>
  <c r="H85" i="26"/>
  <c r="I48" i="21"/>
  <c r="I50" i="13"/>
  <c r="I30" i="13"/>
  <c r="I28" i="19"/>
  <c r="I39" i="22"/>
  <c r="I33" i="21"/>
  <c r="I49" i="13"/>
  <c r="I43" i="21"/>
  <c r="I36" i="13"/>
  <c r="I32" i="21"/>
  <c r="I44" i="20"/>
  <c r="I40" i="20"/>
  <c r="I24" i="22"/>
  <c r="I36" i="22"/>
  <c r="I28" i="21"/>
  <c r="I41" i="22"/>
  <c r="I26" i="13"/>
  <c r="I38" i="13"/>
  <c r="I39" i="19"/>
  <c r="I46" i="22"/>
  <c r="I25" i="21"/>
  <c r="I38" i="19"/>
  <c r="I39" i="13"/>
  <c r="I36" i="20"/>
  <c r="I41" i="13"/>
  <c r="I38" i="20"/>
  <c r="I48" i="20"/>
  <c r="I34" i="20"/>
  <c r="I40" i="19"/>
  <c r="I45" i="13"/>
  <c r="I31" i="13"/>
  <c r="I41" i="20"/>
  <c r="I35" i="13"/>
  <c r="I32" i="19"/>
  <c r="I28" i="20"/>
  <c r="I40" i="13"/>
  <c r="I47" i="20"/>
  <c r="I34" i="21"/>
  <c r="I42" i="13"/>
  <c r="I41" i="21"/>
  <c r="I43" i="20"/>
  <c r="I33" i="22"/>
  <c r="I45" i="19"/>
  <c r="I34" i="13"/>
  <c r="I33" i="20"/>
  <c r="I42" i="22"/>
  <c r="I41" i="19"/>
  <c r="I29" i="13"/>
  <c r="I30" i="21"/>
  <c r="I36" i="21"/>
  <c r="I24" i="19"/>
  <c r="I34" i="22"/>
  <c r="I27" i="19"/>
  <c r="I26" i="20"/>
  <c r="I43" i="19"/>
  <c r="I28" i="22"/>
  <c r="I39" i="20"/>
  <c r="I23" i="22"/>
  <c r="I27" i="20"/>
  <c r="I29" i="21"/>
  <c r="I33" i="13"/>
  <c r="I38" i="22"/>
  <c r="I29" i="20"/>
  <c r="I25" i="20"/>
  <c r="I25" i="22"/>
  <c r="I32" i="13"/>
  <c r="I35" i="21"/>
  <c r="I35" i="22"/>
  <c r="I37" i="20"/>
  <c r="I33" i="19"/>
  <c r="I30" i="20"/>
  <c r="I23" i="13"/>
  <c r="I37" i="21"/>
  <c r="I35" i="20"/>
  <c r="I31" i="19"/>
  <c r="I24" i="13"/>
  <c r="I38" i="21"/>
  <c r="I27" i="21"/>
  <c r="I24" i="21"/>
  <c r="I24" i="20"/>
  <c r="I23" i="21"/>
  <c r="I29" i="19"/>
  <c r="I28" i="13"/>
  <c r="I31" i="20"/>
  <c r="I31" i="21"/>
  <c r="I26" i="22"/>
  <c r="I35" i="19"/>
  <c r="I39" i="21"/>
  <c r="I36" i="19"/>
  <c r="I34" i="19"/>
  <c r="I32" i="22"/>
  <c r="I37" i="19"/>
  <c r="I25" i="13"/>
  <c r="I26" i="21"/>
  <c r="I37" i="13"/>
  <c r="I37" i="22"/>
  <c r="I30" i="19"/>
  <c r="I27" i="13"/>
  <c r="I29" i="22"/>
  <c r="I40" i="22"/>
  <c r="I40" i="21"/>
  <c r="I31" i="22"/>
  <c r="I25" i="19"/>
  <c r="I32" i="20"/>
  <c r="I26" i="19"/>
  <c r="I27" i="22"/>
  <c r="I30" i="22"/>
  <c r="M23" i="31"/>
  <c r="M23" i="3" s="1"/>
  <c r="H85" i="24"/>
  <c r="E85" i="26"/>
  <c r="I84" i="25"/>
  <c r="I84" i="24"/>
  <c r="G86" i="27"/>
  <c r="B87" i="19"/>
  <c r="A86" i="19"/>
  <c r="I85" i="27"/>
  <c r="E86" i="27"/>
  <c r="D86" i="27"/>
  <c r="H85" i="25"/>
  <c r="D85" i="25"/>
  <c r="F85" i="25"/>
  <c r="D85" i="24"/>
  <c r="B87" i="24"/>
  <c r="C86" i="24"/>
  <c r="D86" i="24" s="1"/>
  <c r="A86" i="24"/>
  <c r="A86" i="21"/>
  <c r="B87" i="21"/>
  <c r="H85" i="23"/>
  <c r="G85" i="23"/>
  <c r="F85" i="23"/>
  <c r="E85" i="23"/>
  <c r="D85" i="23"/>
  <c r="B87" i="23"/>
  <c r="C86" i="23"/>
  <c r="H86" i="23" s="1"/>
  <c r="A86" i="23"/>
  <c r="A87" i="20"/>
  <c r="B88" i="20"/>
  <c r="B87" i="25"/>
  <c r="C86" i="25"/>
  <c r="A86" i="25"/>
  <c r="F85" i="26"/>
  <c r="G85" i="26"/>
  <c r="A87" i="27"/>
  <c r="C87" i="27"/>
  <c r="D87" i="27" s="1"/>
  <c r="B88" i="27"/>
  <c r="E85" i="24"/>
  <c r="G85" i="24"/>
  <c r="B87" i="13"/>
  <c r="A86" i="13"/>
  <c r="A86" i="26"/>
  <c r="B87" i="26"/>
  <c r="C86" i="26"/>
  <c r="H86" i="27"/>
  <c r="I84" i="26"/>
  <c r="A87" i="22"/>
  <c r="B88" i="22"/>
  <c r="C87" i="22"/>
  <c r="E85" i="25"/>
  <c r="I44" i="19"/>
  <c r="I49" i="19"/>
  <c r="I47" i="21"/>
  <c r="I42" i="19"/>
  <c r="I49" i="22"/>
  <c r="I46" i="21"/>
  <c r="I73" i="13"/>
  <c r="I46" i="19"/>
  <c r="I70" i="20"/>
  <c r="I43" i="22"/>
  <c r="I43" i="13"/>
  <c r="I44" i="13"/>
  <c r="I44" i="22"/>
  <c r="I48" i="19"/>
  <c r="I48" i="22"/>
  <c r="I58" i="13"/>
  <c r="I46" i="13"/>
  <c r="I57" i="13"/>
  <c r="I48" i="13"/>
  <c r="I57" i="20"/>
  <c r="I49" i="21"/>
  <c r="I54" i="19"/>
  <c r="I75" i="21"/>
  <c r="I49" i="20"/>
  <c r="I78" i="21"/>
  <c r="I47" i="22"/>
  <c r="I45" i="22"/>
  <c r="I45" i="21"/>
  <c r="I81" i="22"/>
  <c r="I47" i="19"/>
  <c r="I46" i="20"/>
  <c r="I44" i="21"/>
  <c r="I42" i="21"/>
  <c r="I42" i="20"/>
  <c r="I45" i="20"/>
  <c r="I47" i="13"/>
  <c r="I61" i="20"/>
  <c r="I57" i="19"/>
  <c r="I74" i="21"/>
  <c r="I55" i="22"/>
  <c r="I70" i="21"/>
  <c r="I72" i="21"/>
  <c r="I58" i="21"/>
  <c r="I65" i="21"/>
  <c r="I52" i="22"/>
  <c r="I81" i="20"/>
  <c r="I54" i="21"/>
  <c r="I60" i="21"/>
  <c r="I73" i="21"/>
  <c r="I77" i="21"/>
  <c r="I80" i="19"/>
  <c r="I59" i="19"/>
  <c r="I67" i="21"/>
  <c r="I82" i="20"/>
  <c r="I82" i="21"/>
  <c r="I69" i="21"/>
  <c r="I72" i="20"/>
  <c r="I62" i="21"/>
  <c r="I59" i="20"/>
  <c r="I68" i="21"/>
  <c r="I66" i="21"/>
  <c r="I68" i="22"/>
  <c r="I64" i="21"/>
  <c r="I76" i="22"/>
  <c r="I63" i="22"/>
  <c r="I59" i="13"/>
  <c r="I79" i="21"/>
  <c r="I54" i="22"/>
  <c r="I65" i="22"/>
  <c r="I76" i="21"/>
  <c r="I81" i="21"/>
  <c r="I57" i="21"/>
  <c r="I50" i="22"/>
  <c r="I59" i="21"/>
  <c r="I77" i="20"/>
  <c r="I80" i="13"/>
  <c r="I63" i="20"/>
  <c r="I80" i="21"/>
  <c r="I62" i="20"/>
  <c r="I83" i="22"/>
  <c r="I63" i="21"/>
  <c r="I72" i="22"/>
  <c r="I79" i="22"/>
  <c r="I66" i="20"/>
  <c r="I71" i="22"/>
  <c r="I62" i="22"/>
  <c r="I58" i="20"/>
  <c r="I68" i="20"/>
  <c r="I61" i="21"/>
  <c r="I69" i="22"/>
  <c r="I51" i="22"/>
  <c r="I56" i="22"/>
  <c r="I50" i="19"/>
  <c r="I54" i="13"/>
  <c r="I75" i="22"/>
  <c r="I53" i="21"/>
  <c r="I78" i="22"/>
  <c r="I51" i="19"/>
  <c r="I71" i="21"/>
  <c r="I58" i="19"/>
  <c r="I58" i="22"/>
  <c r="I64" i="22"/>
  <c r="I59" i="22"/>
  <c r="I70" i="22"/>
  <c r="I53" i="22"/>
  <c r="I83" i="21"/>
  <c r="I52" i="20"/>
  <c r="I55" i="13"/>
  <c r="I51" i="21"/>
  <c r="I67" i="22"/>
  <c r="I73" i="22"/>
  <c r="I74" i="22"/>
  <c r="I51" i="20"/>
  <c r="I52" i="13"/>
  <c r="I50" i="21"/>
  <c r="I82" i="22"/>
  <c r="I61" i="22"/>
  <c r="I54" i="20"/>
  <c r="I55" i="19"/>
  <c r="I77" i="22"/>
  <c r="I56" i="20"/>
  <c r="I52" i="19"/>
  <c r="I53" i="13"/>
  <c r="I52" i="21"/>
  <c r="I53" i="20"/>
  <c r="I51" i="13"/>
  <c r="I80" i="22"/>
  <c r="I53" i="19"/>
  <c r="I50" i="20"/>
  <c r="I60" i="22"/>
  <c r="I66" i="22"/>
  <c r="I56" i="13"/>
  <c r="I55" i="20"/>
  <c r="I56" i="19"/>
  <c r="I55" i="21"/>
  <c r="I57" i="22"/>
  <c r="I56" i="21"/>
  <c r="I71" i="19"/>
  <c r="I64" i="19"/>
  <c r="I75" i="20"/>
  <c r="I63" i="19"/>
  <c r="I78" i="20"/>
  <c r="I81" i="19"/>
  <c r="I82" i="19"/>
  <c r="I75" i="13"/>
  <c r="I66" i="19"/>
  <c r="I61" i="19"/>
  <c r="I68" i="19"/>
  <c r="I66" i="13"/>
  <c r="I75" i="19"/>
  <c r="I67" i="20"/>
  <c r="I74" i="19"/>
  <c r="I69" i="20"/>
  <c r="I73" i="20"/>
  <c r="I78" i="13"/>
  <c r="I77" i="19"/>
  <c r="I76" i="20"/>
  <c r="I65" i="20"/>
  <c r="I72" i="13"/>
  <c r="I70" i="13"/>
  <c r="I69" i="13"/>
  <c r="I79" i="19"/>
  <c r="I63" i="13"/>
  <c r="I71" i="20"/>
  <c r="I62" i="13"/>
  <c r="I76" i="19"/>
  <c r="I72" i="19"/>
  <c r="I65" i="19"/>
  <c r="I78" i="19"/>
  <c r="I69" i="19"/>
  <c r="I60" i="13"/>
  <c r="I71" i="13"/>
  <c r="I62" i="19"/>
  <c r="I73" i="19"/>
  <c r="I70" i="19"/>
  <c r="I67" i="19"/>
  <c r="I74" i="13"/>
  <c r="I79" i="13"/>
  <c r="I64" i="13"/>
  <c r="I83" i="19"/>
  <c r="I67" i="13"/>
  <c r="I64" i="20"/>
  <c r="I60" i="19"/>
  <c r="I68" i="13"/>
  <c r="I77" i="13"/>
  <c r="I76" i="13"/>
  <c r="I79" i="20"/>
  <c r="I80" i="20"/>
  <c r="I81" i="13"/>
  <c r="I74" i="20"/>
  <c r="I82" i="13"/>
  <c r="I83" i="13"/>
  <c r="I61" i="13"/>
  <c r="I65" i="13"/>
  <c r="I83" i="20"/>
  <c r="I60" i="20"/>
  <c r="F85" i="22" l="1"/>
  <c r="G84" i="22"/>
  <c r="D89" i="3"/>
  <c r="F84" i="22"/>
  <c r="H89" i="31"/>
  <c r="E84" i="22"/>
  <c r="F89" i="3"/>
  <c r="E89" i="31"/>
  <c r="D89" i="31"/>
  <c r="G89" i="31"/>
  <c r="E89" i="3"/>
  <c r="I88" i="31"/>
  <c r="I88" i="3"/>
  <c r="D84" i="22"/>
  <c r="B91" i="3"/>
  <c r="C90" i="3"/>
  <c r="A90" i="3"/>
  <c r="A90" i="31"/>
  <c r="C90" i="31"/>
  <c r="B91" i="31"/>
  <c r="H89" i="3"/>
  <c r="H86" i="22"/>
  <c r="C86" i="21"/>
  <c r="G86" i="21" s="1"/>
  <c r="B15" i="20"/>
  <c r="E16" i="20"/>
  <c r="B16" i="20" s="1"/>
  <c r="C23" i="20" s="1"/>
  <c r="B15" i="19"/>
  <c r="E16" i="19"/>
  <c r="B15" i="13"/>
  <c r="E16" i="13"/>
  <c r="F84" i="21"/>
  <c r="E86" i="22"/>
  <c r="C85" i="21"/>
  <c r="H84" i="21"/>
  <c r="I23" i="19"/>
  <c r="D84" i="21"/>
  <c r="E84" i="21"/>
  <c r="H85" i="22"/>
  <c r="G85" i="22"/>
  <c r="G86" i="22"/>
  <c r="D86" i="22"/>
  <c r="E85" i="22"/>
  <c r="I84" i="23"/>
  <c r="D86" i="23"/>
  <c r="M24" i="31"/>
  <c r="M24" i="3" s="1"/>
  <c r="M25" i="31"/>
  <c r="M25" i="3" s="1"/>
  <c r="E86" i="23"/>
  <c r="E87" i="27"/>
  <c r="I85" i="25"/>
  <c r="I85" i="26"/>
  <c r="G86" i="23"/>
  <c r="F86" i="23"/>
  <c r="C87" i="26"/>
  <c r="H87" i="26" s="1"/>
  <c r="B88" i="26"/>
  <c r="A87" i="26"/>
  <c r="A88" i="27"/>
  <c r="B89" i="27"/>
  <c r="C88" i="27"/>
  <c r="E88" i="27" s="1"/>
  <c r="B88" i="19"/>
  <c r="A87" i="19"/>
  <c r="B89" i="20"/>
  <c r="A88" i="20"/>
  <c r="I86" i="27"/>
  <c r="A87" i="21"/>
  <c r="C87" i="21"/>
  <c r="B88" i="21"/>
  <c r="F86" i="24"/>
  <c r="E86" i="24"/>
  <c r="H86" i="24"/>
  <c r="G86" i="24"/>
  <c r="F87" i="27"/>
  <c r="F87" i="22"/>
  <c r="G87" i="22"/>
  <c r="D87" i="22"/>
  <c r="H87" i="22"/>
  <c r="E87" i="22"/>
  <c r="A88" i="22"/>
  <c r="B89" i="22"/>
  <c r="C88" i="22"/>
  <c r="B88" i="23"/>
  <c r="C87" i="23"/>
  <c r="H87" i="23" s="1"/>
  <c r="A87" i="23"/>
  <c r="B88" i="24"/>
  <c r="C87" i="24"/>
  <c r="A87" i="24"/>
  <c r="D86" i="25"/>
  <c r="G86" i="25"/>
  <c r="F86" i="25"/>
  <c r="E86" i="25"/>
  <c r="H86" i="25"/>
  <c r="B88" i="25"/>
  <c r="C87" i="25"/>
  <c r="H87" i="25" s="1"/>
  <c r="A87" i="25"/>
  <c r="I85" i="23"/>
  <c r="G87" i="27"/>
  <c r="I85" i="24"/>
  <c r="E86" i="26"/>
  <c r="H86" i="26"/>
  <c r="G86" i="26"/>
  <c r="D86" i="26"/>
  <c r="B88" i="13"/>
  <c r="A87" i="13"/>
  <c r="H87" i="27"/>
  <c r="F86" i="26"/>
  <c r="I84" i="22" l="1"/>
  <c r="I89" i="3"/>
  <c r="I85" i="22"/>
  <c r="I89" i="31"/>
  <c r="A91" i="3"/>
  <c r="C91" i="3"/>
  <c r="D91" i="3" s="1"/>
  <c r="B92" i="3"/>
  <c r="C87" i="20"/>
  <c r="G87" i="20" s="1"/>
  <c r="C91" i="31"/>
  <c r="B92" i="31"/>
  <c r="A91" i="31"/>
  <c r="H86" i="21"/>
  <c r="B16" i="13"/>
  <c r="E17" i="13"/>
  <c r="F86" i="21"/>
  <c r="D90" i="31"/>
  <c r="E90" i="31"/>
  <c r="F90" i="31"/>
  <c r="H90" i="31"/>
  <c r="G90" i="31"/>
  <c r="D86" i="21"/>
  <c r="C88" i="20"/>
  <c r="G88" i="20" s="1"/>
  <c r="I84" i="21"/>
  <c r="B16" i="19"/>
  <c r="E17" i="19"/>
  <c r="B17" i="19" s="1"/>
  <c r="F90" i="3"/>
  <c r="G90" i="3"/>
  <c r="E90" i="3"/>
  <c r="D90" i="3"/>
  <c r="H90" i="3"/>
  <c r="E86" i="21"/>
  <c r="C85" i="20"/>
  <c r="F85" i="20" s="1"/>
  <c r="C86" i="20"/>
  <c r="G86" i="20" s="1"/>
  <c r="G23" i="20"/>
  <c r="E23" i="20"/>
  <c r="F23" i="20"/>
  <c r="D23" i="20"/>
  <c r="H23" i="20"/>
  <c r="C84" i="20"/>
  <c r="C86" i="19"/>
  <c r="I86" i="22"/>
  <c r="H85" i="21"/>
  <c r="D85" i="21"/>
  <c r="F85" i="21"/>
  <c r="E85" i="21"/>
  <c r="G85" i="21"/>
  <c r="H88" i="27"/>
  <c r="F87" i="23"/>
  <c r="A88" i="19"/>
  <c r="L23" i="31"/>
  <c r="L23" i="3" s="1"/>
  <c r="F87" i="26"/>
  <c r="I86" i="26"/>
  <c r="I86" i="24"/>
  <c r="I86" i="23"/>
  <c r="I87" i="27"/>
  <c r="D87" i="26"/>
  <c r="G87" i="26"/>
  <c r="G87" i="23"/>
  <c r="D87" i="23"/>
  <c r="B89" i="13"/>
  <c r="E87" i="23"/>
  <c r="I87" i="22"/>
  <c r="A88" i="21"/>
  <c r="C88" i="21"/>
  <c r="B89" i="21"/>
  <c r="A89" i="20"/>
  <c r="B90" i="20"/>
  <c r="C89" i="20"/>
  <c r="H89" i="20" s="1"/>
  <c r="I86" i="25"/>
  <c r="A88" i="26"/>
  <c r="C88" i="26"/>
  <c r="B89" i="26"/>
  <c r="E87" i="25"/>
  <c r="F87" i="25"/>
  <c r="E87" i="21"/>
  <c r="G87" i="21"/>
  <c r="D87" i="21"/>
  <c r="H87" i="21"/>
  <c r="F87" i="21"/>
  <c r="E87" i="26"/>
  <c r="B89" i="19"/>
  <c r="C89" i="22"/>
  <c r="G89" i="22" s="1"/>
  <c r="A89" i="22"/>
  <c r="B90" i="22"/>
  <c r="C88" i="25"/>
  <c r="B89" i="25"/>
  <c r="A88" i="25"/>
  <c r="F87" i="24"/>
  <c r="H87" i="24"/>
  <c r="G87" i="24"/>
  <c r="D87" i="24"/>
  <c r="E87" i="24"/>
  <c r="G88" i="27"/>
  <c r="D88" i="27"/>
  <c r="F88" i="27"/>
  <c r="A88" i="13"/>
  <c r="A88" i="24"/>
  <c r="B89" i="24"/>
  <c r="C88" i="24"/>
  <c r="B89" i="23"/>
  <c r="A88" i="23"/>
  <c r="C88" i="23"/>
  <c r="E88" i="23" s="1"/>
  <c r="H88" i="22"/>
  <c r="G88" i="22"/>
  <c r="E88" i="22"/>
  <c r="F88" i="22"/>
  <c r="B90" i="27"/>
  <c r="A89" i="27"/>
  <c r="C89" i="27"/>
  <c r="G87" i="25"/>
  <c r="D87" i="25"/>
  <c r="D88" i="22"/>
  <c r="I86" i="21" l="1"/>
  <c r="F88" i="20"/>
  <c r="C85" i="19"/>
  <c r="D85" i="19" s="1"/>
  <c r="H88" i="20"/>
  <c r="C84" i="19"/>
  <c r="D84" i="19" s="1"/>
  <c r="B17" i="13"/>
  <c r="C84" i="13" s="1"/>
  <c r="E18" i="13"/>
  <c r="B18" i="13" s="1"/>
  <c r="H86" i="20"/>
  <c r="D86" i="20"/>
  <c r="G91" i="3"/>
  <c r="I23" i="20"/>
  <c r="K23" i="31" s="1"/>
  <c r="K24" i="31" s="1"/>
  <c r="K25" i="31" s="1"/>
  <c r="D88" i="20"/>
  <c r="H91" i="31"/>
  <c r="D91" i="31"/>
  <c r="G91" i="31"/>
  <c r="C88" i="19"/>
  <c r="D88" i="19" s="1"/>
  <c r="F87" i="20"/>
  <c r="E87" i="20"/>
  <c r="D87" i="20"/>
  <c r="H87" i="20"/>
  <c r="F91" i="31"/>
  <c r="I90" i="31"/>
  <c r="E91" i="3"/>
  <c r="I90" i="3"/>
  <c r="C87" i="19"/>
  <c r="F91" i="3"/>
  <c r="H91" i="3"/>
  <c r="E88" i="20"/>
  <c r="H85" i="20"/>
  <c r="E91" i="31"/>
  <c r="G85" i="20"/>
  <c r="C92" i="31"/>
  <c r="B93" i="31"/>
  <c r="A92" i="31"/>
  <c r="B93" i="3"/>
  <c r="A92" i="3"/>
  <c r="C92" i="3"/>
  <c r="H92" i="3" s="1"/>
  <c r="D85" i="20"/>
  <c r="F84" i="20"/>
  <c r="D84" i="20"/>
  <c r="E84" i="20"/>
  <c r="H84" i="20"/>
  <c r="G84" i="20"/>
  <c r="F86" i="20"/>
  <c r="E86" i="20"/>
  <c r="F86" i="19"/>
  <c r="E86" i="19"/>
  <c r="G86" i="19"/>
  <c r="D86" i="19"/>
  <c r="H86" i="19"/>
  <c r="E85" i="20"/>
  <c r="I85" i="21"/>
  <c r="L24" i="31"/>
  <c r="L24" i="3" s="1"/>
  <c r="M26" i="31"/>
  <c r="M26" i="3" s="1"/>
  <c r="H88" i="23"/>
  <c r="D89" i="20"/>
  <c r="I87" i="23"/>
  <c r="I88" i="22"/>
  <c r="F88" i="23"/>
  <c r="I87" i="21"/>
  <c r="G88" i="23"/>
  <c r="I87" i="25"/>
  <c r="I87" i="26"/>
  <c r="C90" i="27"/>
  <c r="G90" i="27" s="1"/>
  <c r="A90" i="27"/>
  <c r="B91" i="27"/>
  <c r="B90" i="26"/>
  <c r="C89" i="26"/>
  <c r="D89" i="26" s="1"/>
  <c r="A89" i="26"/>
  <c r="B90" i="13"/>
  <c r="A89" i="13"/>
  <c r="F89" i="22"/>
  <c r="D88" i="26"/>
  <c r="F88" i="26"/>
  <c r="G88" i="26"/>
  <c r="H88" i="26"/>
  <c r="I88" i="27"/>
  <c r="A89" i="25"/>
  <c r="B90" i="25"/>
  <c r="C89" i="25"/>
  <c r="B90" i="21"/>
  <c r="A89" i="21"/>
  <c r="C89" i="21"/>
  <c r="H88" i="25"/>
  <c r="G88" i="25"/>
  <c r="D88" i="25"/>
  <c r="F88" i="25"/>
  <c r="E88" i="25"/>
  <c r="B90" i="23"/>
  <c r="A89" i="23"/>
  <c r="C89" i="23"/>
  <c r="E89" i="23" s="1"/>
  <c r="D89" i="22"/>
  <c r="E88" i="24"/>
  <c r="G88" i="24"/>
  <c r="F88" i="24"/>
  <c r="D88" i="24"/>
  <c r="H88" i="24"/>
  <c r="I87" i="24"/>
  <c r="G89" i="20"/>
  <c r="F89" i="20"/>
  <c r="E89" i="20"/>
  <c r="E89" i="22"/>
  <c r="H89" i="22"/>
  <c r="F88" i="21"/>
  <c r="H88" i="21"/>
  <c r="D88" i="21"/>
  <c r="G88" i="21"/>
  <c r="E88" i="21"/>
  <c r="H89" i="27"/>
  <c r="D89" i="27"/>
  <c r="E89" i="27"/>
  <c r="F89" i="27"/>
  <c r="G89" i="27"/>
  <c r="A89" i="24"/>
  <c r="C89" i="24"/>
  <c r="G89" i="24" s="1"/>
  <c r="B90" i="24"/>
  <c r="C90" i="22"/>
  <c r="D90" i="22" s="1"/>
  <c r="B91" i="22"/>
  <c r="A90" i="22"/>
  <c r="A89" i="19"/>
  <c r="B90" i="19"/>
  <c r="C89" i="19"/>
  <c r="E89" i="19" s="1"/>
  <c r="A90" i="20"/>
  <c r="B91" i="20"/>
  <c r="C90" i="20"/>
  <c r="G90" i="20" s="1"/>
  <c r="E88" i="26"/>
  <c r="D88" i="23"/>
  <c r="F85" i="19" l="1"/>
  <c r="H85" i="19"/>
  <c r="I88" i="20"/>
  <c r="E84" i="19"/>
  <c r="G85" i="19"/>
  <c r="E85" i="19"/>
  <c r="E92" i="3"/>
  <c r="C87" i="13"/>
  <c r="D87" i="13" s="1"/>
  <c r="C85" i="13"/>
  <c r="E85" i="13" s="1"/>
  <c r="C86" i="13"/>
  <c r="H86" i="13" s="1"/>
  <c r="H84" i="19"/>
  <c r="F84" i="19"/>
  <c r="G84" i="19"/>
  <c r="K23" i="3"/>
  <c r="J23" i="3" s="1"/>
  <c r="J23" i="31"/>
  <c r="C88" i="13"/>
  <c r="D88" i="13" s="1"/>
  <c r="I91" i="3"/>
  <c r="K24" i="3"/>
  <c r="J24" i="3" s="1"/>
  <c r="C89" i="13"/>
  <c r="G89" i="13" s="1"/>
  <c r="G88" i="19"/>
  <c r="I87" i="20"/>
  <c r="E84" i="13"/>
  <c r="G84" i="13"/>
  <c r="H84" i="13"/>
  <c r="F84" i="13"/>
  <c r="D84" i="13"/>
  <c r="A93" i="31"/>
  <c r="B94" i="31"/>
  <c r="C93" i="31"/>
  <c r="I91" i="31"/>
  <c r="E88" i="19"/>
  <c r="I86" i="20"/>
  <c r="D92" i="3"/>
  <c r="G92" i="3"/>
  <c r="E92" i="31"/>
  <c r="H92" i="31"/>
  <c r="D92" i="31"/>
  <c r="F92" i="31"/>
  <c r="G92" i="31"/>
  <c r="F92" i="3"/>
  <c r="F88" i="19"/>
  <c r="A93" i="3"/>
  <c r="B94" i="3"/>
  <c r="C93" i="3"/>
  <c r="H88" i="19"/>
  <c r="H87" i="19"/>
  <c r="D87" i="19"/>
  <c r="G87" i="19"/>
  <c r="E87" i="19"/>
  <c r="F87" i="19"/>
  <c r="I85" i="20"/>
  <c r="I86" i="19"/>
  <c r="I84" i="20"/>
  <c r="F90" i="27"/>
  <c r="E90" i="27"/>
  <c r="J24" i="31"/>
  <c r="K25" i="3"/>
  <c r="K26" i="31"/>
  <c r="L25" i="31"/>
  <c r="F89" i="23"/>
  <c r="H89" i="26"/>
  <c r="H89" i="19"/>
  <c r="I88" i="23"/>
  <c r="I88" i="25"/>
  <c r="I89" i="20"/>
  <c r="H90" i="22"/>
  <c r="D90" i="27"/>
  <c r="F90" i="20"/>
  <c r="F89" i="19"/>
  <c r="E89" i="26"/>
  <c r="G89" i="19"/>
  <c r="D89" i="19"/>
  <c r="G89" i="23"/>
  <c r="D89" i="23"/>
  <c r="A91" i="20"/>
  <c r="C91" i="20"/>
  <c r="D91" i="20" s="1"/>
  <c r="B92" i="20"/>
  <c r="I89" i="27"/>
  <c r="H90" i="27"/>
  <c r="G90" i="22"/>
  <c r="E90" i="22"/>
  <c r="F90" i="22"/>
  <c r="F89" i="26"/>
  <c r="C91" i="27"/>
  <c r="A91" i="27"/>
  <c r="B92" i="27"/>
  <c r="B91" i="19"/>
  <c r="C90" i="19"/>
  <c r="E90" i="19" s="1"/>
  <c r="A90" i="19"/>
  <c r="F89" i="25"/>
  <c r="D89" i="25"/>
  <c r="H89" i="25"/>
  <c r="E89" i="25"/>
  <c r="B91" i="25"/>
  <c r="A90" i="25"/>
  <c r="C90" i="25"/>
  <c r="G89" i="25"/>
  <c r="B92" i="22"/>
  <c r="C91" i="22"/>
  <c r="D91" i="22" s="1"/>
  <c r="A91" i="22"/>
  <c r="B91" i="26"/>
  <c r="A90" i="26"/>
  <c r="C90" i="26"/>
  <c r="B91" i="24"/>
  <c r="A90" i="24"/>
  <c r="C90" i="24"/>
  <c r="I88" i="21"/>
  <c r="I89" i="22"/>
  <c r="A90" i="23"/>
  <c r="B91" i="23"/>
  <c r="C90" i="23"/>
  <c r="D90" i="23" s="1"/>
  <c r="H89" i="21"/>
  <c r="G89" i="21"/>
  <c r="E89" i="21"/>
  <c r="D89" i="21"/>
  <c r="F89" i="21"/>
  <c r="A90" i="13"/>
  <c r="C90" i="13"/>
  <c r="E90" i="13" s="1"/>
  <c r="B91" i="13"/>
  <c r="H89" i="24"/>
  <c r="E89" i="24"/>
  <c r="F89" i="24"/>
  <c r="H89" i="23"/>
  <c r="I88" i="26"/>
  <c r="E90" i="20"/>
  <c r="D90" i="20"/>
  <c r="H90" i="20"/>
  <c r="I88" i="24"/>
  <c r="B91" i="21"/>
  <c r="C90" i="21"/>
  <c r="A90" i="21"/>
  <c r="G89" i="26"/>
  <c r="D89" i="24"/>
  <c r="F89" i="13" l="1"/>
  <c r="H89" i="13"/>
  <c r="G88" i="13"/>
  <c r="I85" i="19"/>
  <c r="D89" i="13"/>
  <c r="I84" i="19"/>
  <c r="H87" i="13"/>
  <c r="E87" i="13"/>
  <c r="H85" i="13"/>
  <c r="F88" i="13"/>
  <c r="F87" i="13"/>
  <c r="G87" i="13"/>
  <c r="D86" i="13"/>
  <c r="F86" i="13"/>
  <c r="E89" i="13"/>
  <c r="E86" i="13"/>
  <c r="F85" i="13"/>
  <c r="D85" i="13"/>
  <c r="G86" i="13"/>
  <c r="G85" i="13"/>
  <c r="H88" i="13"/>
  <c r="E88" i="13"/>
  <c r="I84" i="13"/>
  <c r="I88" i="19"/>
  <c r="G93" i="3"/>
  <c r="H93" i="3"/>
  <c r="D93" i="3"/>
  <c r="E93" i="3"/>
  <c r="F93" i="3"/>
  <c r="I92" i="3"/>
  <c r="C94" i="3"/>
  <c r="G94" i="3" s="1"/>
  <c r="B95" i="3"/>
  <c r="A94" i="3"/>
  <c r="I87" i="19"/>
  <c r="E93" i="31"/>
  <c r="F93" i="31"/>
  <c r="G93" i="31"/>
  <c r="H93" i="31"/>
  <c r="D93" i="31"/>
  <c r="I92" i="31"/>
  <c r="C94" i="31"/>
  <c r="B95" i="31"/>
  <c r="A94" i="31"/>
  <c r="J25" i="31"/>
  <c r="L25" i="3"/>
  <c r="J25" i="3" s="1"/>
  <c r="L26" i="31"/>
  <c r="L26" i="3" s="1"/>
  <c r="K26" i="3"/>
  <c r="K27" i="31"/>
  <c r="M27" i="31"/>
  <c r="M27" i="3" s="1"/>
  <c r="G90" i="23"/>
  <c r="H90" i="23"/>
  <c r="D90" i="19"/>
  <c r="E90" i="23"/>
  <c r="I89" i="23"/>
  <c r="I89" i="19"/>
  <c r="H90" i="19"/>
  <c r="I90" i="27"/>
  <c r="F91" i="22"/>
  <c r="F90" i="19"/>
  <c r="E91" i="22"/>
  <c r="F90" i="13"/>
  <c r="G90" i="19"/>
  <c r="D90" i="13"/>
  <c r="F91" i="20"/>
  <c r="E90" i="25"/>
  <c r="D90" i="25"/>
  <c r="G90" i="25"/>
  <c r="I89" i="24"/>
  <c r="A91" i="25"/>
  <c r="B92" i="25"/>
  <c r="C91" i="25"/>
  <c r="H91" i="25" s="1"/>
  <c r="G91" i="20"/>
  <c r="E91" i="20"/>
  <c r="H90" i="25"/>
  <c r="F90" i="23"/>
  <c r="F90" i="24"/>
  <c r="E90" i="24"/>
  <c r="G90" i="24"/>
  <c r="D90" i="24"/>
  <c r="H90" i="24"/>
  <c r="C91" i="26"/>
  <c r="A91" i="26"/>
  <c r="B92" i="26"/>
  <c r="I89" i="26"/>
  <c r="F90" i="25"/>
  <c r="A92" i="27"/>
  <c r="B93" i="27"/>
  <c r="C92" i="27"/>
  <c r="F92" i="27" s="1"/>
  <c r="H91" i="20"/>
  <c r="G90" i="26"/>
  <c r="D90" i="26"/>
  <c r="E90" i="26"/>
  <c r="F90" i="26"/>
  <c r="E91" i="27"/>
  <c r="D91" i="27"/>
  <c r="H91" i="27"/>
  <c r="F91" i="27"/>
  <c r="G91" i="27"/>
  <c r="H90" i="21"/>
  <c r="F90" i="21"/>
  <c r="G90" i="21"/>
  <c r="D90" i="21"/>
  <c r="E90" i="21"/>
  <c r="H90" i="13"/>
  <c r="I89" i="21"/>
  <c r="C91" i="24"/>
  <c r="B92" i="24"/>
  <c r="A91" i="24"/>
  <c r="H91" i="22"/>
  <c r="G91" i="22"/>
  <c r="I89" i="25"/>
  <c r="I90" i="22"/>
  <c r="H90" i="26"/>
  <c r="A91" i="23"/>
  <c r="C91" i="23"/>
  <c r="D91" i="23" s="1"/>
  <c r="B92" i="23"/>
  <c r="I90" i="20"/>
  <c r="B92" i="13"/>
  <c r="C91" i="13"/>
  <c r="G91" i="13" s="1"/>
  <c r="A91" i="13"/>
  <c r="G90" i="13"/>
  <c r="B92" i="21"/>
  <c r="A91" i="21"/>
  <c r="C91" i="21"/>
  <c r="G91" i="21" s="1"/>
  <c r="B93" i="22"/>
  <c r="C92" i="22"/>
  <c r="A92" i="22"/>
  <c r="A91" i="19"/>
  <c r="B92" i="19"/>
  <c r="C91" i="19"/>
  <c r="D91" i="19" s="1"/>
  <c r="B93" i="20"/>
  <c r="C92" i="20"/>
  <c r="A92" i="20"/>
  <c r="I89" i="13" l="1"/>
  <c r="I87" i="13"/>
  <c r="I88" i="13"/>
  <c r="I86" i="13"/>
  <c r="I85" i="13"/>
  <c r="C95" i="31"/>
  <c r="D95" i="31" s="1"/>
  <c r="A95" i="31"/>
  <c r="B96" i="31"/>
  <c r="E94" i="31"/>
  <c r="G94" i="31"/>
  <c r="D94" i="31"/>
  <c r="F94" i="31"/>
  <c r="H94" i="31"/>
  <c r="I93" i="31"/>
  <c r="I93" i="3"/>
  <c r="A95" i="3"/>
  <c r="B96" i="3"/>
  <c r="C95" i="3"/>
  <c r="H94" i="3"/>
  <c r="E94" i="3"/>
  <c r="F94" i="3"/>
  <c r="D94" i="3"/>
  <c r="J26" i="3"/>
  <c r="J26" i="31"/>
  <c r="K27" i="3"/>
  <c r="K28" i="31"/>
  <c r="L27" i="31"/>
  <c r="M28" i="31"/>
  <c r="M28" i="3" s="1"/>
  <c r="I90" i="23"/>
  <c r="I90" i="13"/>
  <c r="I91" i="22"/>
  <c r="I90" i="19"/>
  <c r="I91" i="27"/>
  <c r="I91" i="20"/>
  <c r="I90" i="25"/>
  <c r="I90" i="24"/>
  <c r="C92" i="21"/>
  <c r="H92" i="21" s="1"/>
  <c r="A92" i="21"/>
  <c r="B93" i="21"/>
  <c r="C92" i="23"/>
  <c r="D92" i="23" s="1"/>
  <c r="B93" i="23"/>
  <c r="A92" i="23"/>
  <c r="E92" i="27"/>
  <c r="A92" i="19"/>
  <c r="C92" i="19"/>
  <c r="E92" i="19" s="1"/>
  <c r="B93" i="19"/>
  <c r="I90" i="26"/>
  <c r="F91" i="19"/>
  <c r="B94" i="22"/>
  <c r="C93" i="22"/>
  <c r="D93" i="22" s="1"/>
  <c r="A93" i="22"/>
  <c r="E91" i="13"/>
  <c r="E91" i="23"/>
  <c r="D91" i="24"/>
  <c r="F91" i="24"/>
  <c r="H91" i="24"/>
  <c r="E91" i="24"/>
  <c r="G91" i="24"/>
  <c r="H91" i="19"/>
  <c r="F91" i="21"/>
  <c r="D91" i="21"/>
  <c r="H91" i="21"/>
  <c r="E91" i="21"/>
  <c r="D91" i="13"/>
  <c r="G91" i="23"/>
  <c r="B93" i="26"/>
  <c r="C92" i="26"/>
  <c r="A92" i="26"/>
  <c r="E91" i="26"/>
  <c r="F91" i="26"/>
  <c r="G91" i="26"/>
  <c r="H91" i="26"/>
  <c r="D91" i="26"/>
  <c r="H92" i="20"/>
  <c r="D92" i="20"/>
  <c r="G92" i="20"/>
  <c r="E92" i="20"/>
  <c r="F92" i="20"/>
  <c r="B94" i="20"/>
  <c r="A93" i="20"/>
  <c r="C93" i="20"/>
  <c r="E93" i="20" s="1"/>
  <c r="E91" i="19"/>
  <c r="H91" i="13"/>
  <c r="H91" i="23"/>
  <c r="F91" i="25"/>
  <c r="E91" i="25"/>
  <c r="G91" i="25"/>
  <c r="D91" i="25"/>
  <c r="G91" i="19"/>
  <c r="F92" i="22"/>
  <c r="G92" i="22"/>
  <c r="D92" i="22"/>
  <c r="E92" i="22"/>
  <c r="H92" i="22"/>
  <c r="F91" i="13"/>
  <c r="F91" i="23"/>
  <c r="C92" i="24"/>
  <c r="F92" i="24" s="1"/>
  <c r="A92" i="24"/>
  <c r="B93" i="24"/>
  <c r="A92" i="25"/>
  <c r="C92" i="25"/>
  <c r="D92" i="25" s="1"/>
  <c r="B93" i="25"/>
  <c r="D92" i="27"/>
  <c r="H92" i="27"/>
  <c r="G92" i="27"/>
  <c r="C92" i="13"/>
  <c r="H92" i="13" s="1"/>
  <c r="B93" i="13"/>
  <c r="A92" i="13"/>
  <c r="I90" i="21"/>
  <c r="B94" i="27"/>
  <c r="A93" i="27"/>
  <c r="C93" i="27"/>
  <c r="D93" i="27" s="1"/>
  <c r="H95" i="31" l="1"/>
  <c r="F95" i="31"/>
  <c r="I94" i="3"/>
  <c r="G95" i="3"/>
  <c r="D95" i="3"/>
  <c r="F95" i="3"/>
  <c r="E95" i="3"/>
  <c r="H95" i="3"/>
  <c r="A96" i="3"/>
  <c r="C96" i="3"/>
  <c r="H96" i="3" s="1"/>
  <c r="B97" i="3"/>
  <c r="A96" i="31"/>
  <c r="C96" i="31"/>
  <c r="F96" i="31" s="1"/>
  <c r="B97" i="31"/>
  <c r="I94" i="31"/>
  <c r="E95" i="31"/>
  <c r="G95" i="31"/>
  <c r="J27" i="31"/>
  <c r="L27" i="3"/>
  <c r="J27" i="3" s="1"/>
  <c r="G92" i="13"/>
  <c r="L28" i="31"/>
  <c r="K28" i="3"/>
  <c r="K29" i="31"/>
  <c r="M29" i="31"/>
  <c r="M29" i="3" s="1"/>
  <c r="I91" i="19"/>
  <c r="F92" i="13"/>
  <c r="I91" i="23"/>
  <c r="E92" i="21"/>
  <c r="F92" i="21"/>
  <c r="E92" i="13"/>
  <c r="I91" i="25"/>
  <c r="F92" i="19"/>
  <c r="G92" i="23"/>
  <c r="I91" i="13"/>
  <c r="H92" i="19"/>
  <c r="H92" i="23"/>
  <c r="D92" i="19"/>
  <c r="F92" i="23"/>
  <c r="G92" i="19"/>
  <c r="E92" i="23"/>
  <c r="A94" i="22"/>
  <c r="B95" i="22"/>
  <c r="C94" i="22"/>
  <c r="F94" i="22" s="1"/>
  <c r="A93" i="13"/>
  <c r="B94" i="13"/>
  <c r="C93" i="13"/>
  <c r="G93" i="13" s="1"/>
  <c r="H93" i="20"/>
  <c r="F93" i="20"/>
  <c r="D93" i="20"/>
  <c r="G93" i="20"/>
  <c r="D92" i="21"/>
  <c r="I91" i="24"/>
  <c r="B94" i="19"/>
  <c r="A93" i="19"/>
  <c r="C93" i="19"/>
  <c r="D93" i="19" s="1"/>
  <c r="G93" i="27"/>
  <c r="I92" i="22"/>
  <c r="I91" i="26"/>
  <c r="E93" i="27"/>
  <c r="D92" i="13"/>
  <c r="A93" i="24"/>
  <c r="C93" i="24"/>
  <c r="B94" i="24"/>
  <c r="B95" i="20"/>
  <c r="C94" i="20"/>
  <c r="A94" i="20"/>
  <c r="G92" i="21"/>
  <c r="C93" i="23"/>
  <c r="H93" i="23" s="1"/>
  <c r="A93" i="23"/>
  <c r="B94" i="23"/>
  <c r="B94" i="25"/>
  <c r="C93" i="25"/>
  <c r="F93" i="25" s="1"/>
  <c r="A93" i="25"/>
  <c r="D92" i="26"/>
  <c r="G92" i="26"/>
  <c r="H92" i="26"/>
  <c r="F92" i="26"/>
  <c r="E92" i="26"/>
  <c r="E92" i="25"/>
  <c r="G92" i="25"/>
  <c r="H92" i="25"/>
  <c r="C93" i="26"/>
  <c r="H93" i="26" s="1"/>
  <c r="B94" i="26"/>
  <c r="A93" i="26"/>
  <c r="F92" i="25"/>
  <c r="F93" i="27"/>
  <c r="H93" i="27"/>
  <c r="I92" i="20"/>
  <c r="C94" i="27"/>
  <c r="E94" i="27" s="1"/>
  <c r="A94" i="27"/>
  <c r="B95" i="27"/>
  <c r="I91" i="21"/>
  <c r="I92" i="27"/>
  <c r="E92" i="24"/>
  <c r="H92" i="24"/>
  <c r="D92" i="24"/>
  <c r="G92" i="24"/>
  <c r="G93" i="22"/>
  <c r="H93" i="22"/>
  <c r="E93" i="22"/>
  <c r="F93" i="22"/>
  <c r="B94" i="21"/>
  <c r="A93" i="21"/>
  <c r="C93" i="21"/>
  <c r="I95" i="31" l="1"/>
  <c r="G96" i="31"/>
  <c r="H96" i="31"/>
  <c r="B98" i="31"/>
  <c r="A97" i="31"/>
  <c r="C97" i="31"/>
  <c r="H97" i="31" s="1"/>
  <c r="D96" i="31"/>
  <c r="A97" i="3"/>
  <c r="C97" i="3"/>
  <c r="H97" i="3" s="1"/>
  <c r="B98" i="3"/>
  <c r="I95" i="3"/>
  <c r="D96" i="3"/>
  <c r="F96" i="3"/>
  <c r="E96" i="3"/>
  <c r="G96" i="3"/>
  <c r="E96" i="31"/>
  <c r="J28" i="31"/>
  <c r="L28" i="3"/>
  <c r="J28" i="3" s="1"/>
  <c r="H94" i="22"/>
  <c r="G94" i="22"/>
  <c r="E93" i="13"/>
  <c r="F93" i="13"/>
  <c r="L29" i="31"/>
  <c r="L29" i="3" s="1"/>
  <c r="K30" i="31"/>
  <c r="K29" i="3"/>
  <c r="M30" i="31"/>
  <c r="F93" i="19"/>
  <c r="E93" i="19"/>
  <c r="G93" i="19"/>
  <c r="I92" i="24"/>
  <c r="I92" i="23"/>
  <c r="I92" i="19"/>
  <c r="I93" i="22"/>
  <c r="I93" i="27"/>
  <c r="I92" i="25"/>
  <c r="I92" i="13"/>
  <c r="E93" i="23"/>
  <c r="D94" i="22"/>
  <c r="H94" i="27"/>
  <c r="D93" i="23"/>
  <c r="F93" i="23"/>
  <c r="F93" i="26"/>
  <c r="E93" i="26"/>
  <c r="G93" i="26"/>
  <c r="F93" i="21"/>
  <c r="G93" i="21"/>
  <c r="D93" i="21"/>
  <c r="E93" i="21"/>
  <c r="H93" i="21"/>
  <c r="E93" i="25"/>
  <c r="D93" i="25"/>
  <c r="G93" i="25"/>
  <c r="B95" i="19"/>
  <c r="C94" i="19"/>
  <c r="G94" i="19" s="1"/>
  <c r="A94" i="19"/>
  <c r="D93" i="13"/>
  <c r="B95" i="21"/>
  <c r="C94" i="21"/>
  <c r="A94" i="21"/>
  <c r="E94" i="22"/>
  <c r="H93" i="25"/>
  <c r="B95" i="25"/>
  <c r="A94" i="25"/>
  <c r="C94" i="25"/>
  <c r="H94" i="25" s="1"/>
  <c r="H93" i="19"/>
  <c r="H93" i="13"/>
  <c r="B96" i="22"/>
  <c r="C95" i="22"/>
  <c r="A95" i="22"/>
  <c r="A95" i="27"/>
  <c r="C95" i="27"/>
  <c r="B96" i="27"/>
  <c r="G93" i="23"/>
  <c r="I92" i="21"/>
  <c r="F94" i="20"/>
  <c r="D94" i="20"/>
  <c r="G94" i="20"/>
  <c r="E94" i="20"/>
  <c r="H94" i="20"/>
  <c r="F94" i="27"/>
  <c r="D94" i="27"/>
  <c r="C94" i="26"/>
  <c r="F94" i="26" s="1"/>
  <c r="B95" i="26"/>
  <c r="A94" i="26"/>
  <c r="C95" i="20"/>
  <c r="A95" i="20"/>
  <c r="B96" i="20"/>
  <c r="I93" i="20"/>
  <c r="C94" i="24"/>
  <c r="D94" i="24" s="1"/>
  <c r="B95" i="24"/>
  <c r="A94" i="24"/>
  <c r="B95" i="13"/>
  <c r="C94" i="13"/>
  <c r="G94" i="13" s="1"/>
  <c r="A94" i="13"/>
  <c r="D93" i="26"/>
  <c r="I92" i="26"/>
  <c r="A94" i="23"/>
  <c r="B95" i="23"/>
  <c r="C94" i="23"/>
  <c r="E94" i="23" s="1"/>
  <c r="E93" i="24"/>
  <c r="H93" i="24"/>
  <c r="D93" i="24"/>
  <c r="G93" i="24"/>
  <c r="F93" i="24"/>
  <c r="G94" i="27"/>
  <c r="I96" i="31" l="1"/>
  <c r="F97" i="31"/>
  <c r="G97" i="31"/>
  <c r="I96" i="3"/>
  <c r="E97" i="31"/>
  <c r="D97" i="31"/>
  <c r="A98" i="3"/>
  <c r="B99" i="3"/>
  <c r="C98" i="3"/>
  <c r="E97" i="3"/>
  <c r="G97" i="3"/>
  <c r="D97" i="3"/>
  <c r="B99" i="31"/>
  <c r="A98" i="31"/>
  <c r="C98" i="31"/>
  <c r="F97" i="3"/>
  <c r="I93" i="19"/>
  <c r="L30" i="31"/>
  <c r="L30" i="3" s="1"/>
  <c r="J29" i="31"/>
  <c r="J29" i="3"/>
  <c r="K30" i="3"/>
  <c r="K31" i="31"/>
  <c r="M30" i="3"/>
  <c r="M31" i="31"/>
  <c r="D94" i="13"/>
  <c r="H94" i="13"/>
  <c r="D94" i="23"/>
  <c r="E94" i="13"/>
  <c r="I93" i="23"/>
  <c r="I94" i="27"/>
  <c r="H94" i="24"/>
  <c r="I93" i="13"/>
  <c r="H94" i="19"/>
  <c r="F94" i="19"/>
  <c r="I94" i="22"/>
  <c r="A96" i="27"/>
  <c r="C96" i="27"/>
  <c r="E96" i="27" s="1"/>
  <c r="B97" i="27"/>
  <c r="H95" i="22"/>
  <c r="G95" i="22"/>
  <c r="E95" i="22"/>
  <c r="F95" i="22"/>
  <c r="I93" i="24"/>
  <c r="C95" i="23"/>
  <c r="H95" i="23" s="1"/>
  <c r="B96" i="23"/>
  <c r="A95" i="23"/>
  <c r="A96" i="20"/>
  <c r="B97" i="20"/>
  <c r="C96" i="20"/>
  <c r="F96" i="20" s="1"/>
  <c r="F95" i="27"/>
  <c r="D95" i="27"/>
  <c r="H95" i="27"/>
  <c r="G95" i="27"/>
  <c r="E95" i="27"/>
  <c r="A96" i="22"/>
  <c r="B97" i="22"/>
  <c r="C96" i="22"/>
  <c r="F96" i="22" s="1"/>
  <c r="E94" i="19"/>
  <c r="E94" i="21"/>
  <c r="D94" i="21"/>
  <c r="G94" i="21"/>
  <c r="H94" i="21"/>
  <c r="F94" i="21"/>
  <c r="D94" i="19"/>
  <c r="I93" i="25"/>
  <c r="A95" i="13"/>
  <c r="B96" i="13"/>
  <c r="C95" i="13"/>
  <c r="D95" i="13" s="1"/>
  <c r="A95" i="21"/>
  <c r="B96" i="21"/>
  <c r="C95" i="21"/>
  <c r="F95" i="21" s="1"/>
  <c r="I93" i="26"/>
  <c r="I94" i="20"/>
  <c r="D94" i="25"/>
  <c r="F94" i="25"/>
  <c r="E94" i="25"/>
  <c r="D95" i="20"/>
  <c r="E95" i="20"/>
  <c r="H95" i="20"/>
  <c r="G95" i="20"/>
  <c r="F95" i="20"/>
  <c r="G94" i="23"/>
  <c r="F94" i="23"/>
  <c r="C95" i="24"/>
  <c r="A95" i="24"/>
  <c r="B96" i="24"/>
  <c r="A95" i="26"/>
  <c r="B96" i="26"/>
  <c r="C95" i="26"/>
  <c r="E95" i="26" s="1"/>
  <c r="G94" i="25"/>
  <c r="B96" i="19"/>
  <c r="C95" i="19"/>
  <c r="D95" i="19" s="1"/>
  <c r="A95" i="19"/>
  <c r="H94" i="23"/>
  <c r="F94" i="13"/>
  <c r="E94" i="24"/>
  <c r="F94" i="24"/>
  <c r="G94" i="24"/>
  <c r="G94" i="26"/>
  <c r="E94" i="26"/>
  <c r="H94" i="26"/>
  <c r="D94" i="26"/>
  <c r="D95" i="22"/>
  <c r="B96" i="25"/>
  <c r="A95" i="25"/>
  <c r="C95" i="25"/>
  <c r="I93" i="21"/>
  <c r="I97" i="31" l="1"/>
  <c r="E98" i="31"/>
  <c r="F98" i="31"/>
  <c r="G98" i="31"/>
  <c r="H98" i="31"/>
  <c r="D98" i="31"/>
  <c r="F98" i="3"/>
  <c r="E98" i="3"/>
  <c r="A99" i="3"/>
  <c r="B100" i="3"/>
  <c r="C99" i="3"/>
  <c r="G99" i="3" s="1"/>
  <c r="H98" i="3"/>
  <c r="D98" i="3"/>
  <c r="G98" i="3"/>
  <c r="I97" i="3"/>
  <c r="C99" i="31"/>
  <c r="F99" i="31" s="1"/>
  <c r="B100" i="31"/>
  <c r="A99" i="31"/>
  <c r="J30" i="31"/>
  <c r="J30" i="3"/>
  <c r="L31" i="31"/>
  <c r="L31" i="3" s="1"/>
  <c r="K31" i="3"/>
  <c r="K32" i="31"/>
  <c r="M31" i="3"/>
  <c r="M32" i="31"/>
  <c r="I94" i="13"/>
  <c r="H95" i="13"/>
  <c r="E95" i="21"/>
  <c r="I95" i="27"/>
  <c r="G95" i="21"/>
  <c r="H95" i="21"/>
  <c r="I94" i="23"/>
  <c r="D95" i="21"/>
  <c r="G95" i="13"/>
  <c r="G95" i="23"/>
  <c r="I94" i="24"/>
  <c r="E95" i="23"/>
  <c r="G95" i="24"/>
  <c r="D95" i="24"/>
  <c r="F95" i="24"/>
  <c r="H95" i="24"/>
  <c r="E95" i="24"/>
  <c r="E95" i="25"/>
  <c r="H95" i="25"/>
  <c r="F95" i="25"/>
  <c r="D95" i="25"/>
  <c r="G95" i="25"/>
  <c r="A96" i="19"/>
  <c r="C96" i="19"/>
  <c r="E96" i="19" s="1"/>
  <c r="B97" i="19"/>
  <c r="G96" i="22"/>
  <c r="D96" i="22"/>
  <c r="E96" i="22"/>
  <c r="E96" i="20"/>
  <c r="G96" i="20"/>
  <c r="D96" i="20"/>
  <c r="H96" i="20"/>
  <c r="A96" i="13"/>
  <c r="B97" i="13"/>
  <c r="C96" i="13"/>
  <c r="H96" i="13" s="1"/>
  <c r="I94" i="21"/>
  <c r="B98" i="22"/>
  <c r="A97" i="22"/>
  <c r="C97" i="22"/>
  <c r="A97" i="20"/>
  <c r="C97" i="20"/>
  <c r="B98" i="20"/>
  <c r="A96" i="23"/>
  <c r="C96" i="23"/>
  <c r="G96" i="23" s="1"/>
  <c r="B97" i="23"/>
  <c r="C97" i="27"/>
  <c r="B98" i="27"/>
  <c r="A97" i="27"/>
  <c r="I95" i="20"/>
  <c r="B97" i="25"/>
  <c r="C96" i="25"/>
  <c r="D96" i="25" s="1"/>
  <c r="A96" i="25"/>
  <c r="H95" i="19"/>
  <c r="H95" i="26"/>
  <c r="F95" i="26"/>
  <c r="A96" i="21"/>
  <c r="C96" i="21"/>
  <c r="G96" i="21" s="1"/>
  <c r="B97" i="21"/>
  <c r="F96" i="27"/>
  <c r="G96" i="27"/>
  <c r="I95" i="22"/>
  <c r="G95" i="19"/>
  <c r="B97" i="26"/>
  <c r="A96" i="26"/>
  <c r="C96" i="26"/>
  <c r="I94" i="25"/>
  <c r="D96" i="27"/>
  <c r="D95" i="23"/>
  <c r="I94" i="26"/>
  <c r="F95" i="19"/>
  <c r="F95" i="13"/>
  <c r="D95" i="26"/>
  <c r="F95" i="23"/>
  <c r="H96" i="27"/>
  <c r="E95" i="19"/>
  <c r="C96" i="24"/>
  <c r="A96" i="24"/>
  <c r="B97" i="24"/>
  <c r="E95" i="13"/>
  <c r="I94" i="19"/>
  <c r="H96" i="22"/>
  <c r="G95" i="26"/>
  <c r="I98" i="31" l="1"/>
  <c r="B101" i="3"/>
  <c r="C100" i="3"/>
  <c r="F100" i="3" s="1"/>
  <c r="A100" i="3"/>
  <c r="F99" i="3"/>
  <c r="E99" i="3"/>
  <c r="D99" i="3"/>
  <c r="H99" i="31"/>
  <c r="I98" i="3"/>
  <c r="H99" i="3"/>
  <c r="G99" i="31"/>
  <c r="E99" i="31"/>
  <c r="B101" i="31"/>
  <c r="C100" i="31"/>
  <c r="D100" i="31" s="1"/>
  <c r="A100" i="31"/>
  <c r="D99" i="31"/>
  <c r="H96" i="19"/>
  <c r="J31" i="3"/>
  <c r="J31" i="31"/>
  <c r="L32" i="31"/>
  <c r="L32" i="3" s="1"/>
  <c r="K33" i="31"/>
  <c r="K32" i="3"/>
  <c r="M32" i="3"/>
  <c r="M33" i="31"/>
  <c r="D96" i="19"/>
  <c r="G96" i="13"/>
  <c r="E96" i="13"/>
  <c r="I95" i="13"/>
  <c r="I95" i="25"/>
  <c r="I95" i="21"/>
  <c r="F96" i="19"/>
  <c r="G96" i="19"/>
  <c r="H96" i="23"/>
  <c r="E96" i="23"/>
  <c r="D96" i="23"/>
  <c r="I95" i="19"/>
  <c r="F96" i="23"/>
  <c r="B98" i="21"/>
  <c r="A97" i="21"/>
  <c r="C97" i="21"/>
  <c r="H97" i="21" s="1"/>
  <c r="C97" i="25"/>
  <c r="G97" i="25" s="1"/>
  <c r="B98" i="25"/>
  <c r="A97" i="25"/>
  <c r="C97" i="26"/>
  <c r="B98" i="26"/>
  <c r="A97" i="26"/>
  <c r="G96" i="25"/>
  <c r="H96" i="25"/>
  <c r="B98" i="13"/>
  <c r="C97" i="13"/>
  <c r="F97" i="13" s="1"/>
  <c r="A97" i="13"/>
  <c r="E96" i="25"/>
  <c r="B99" i="27"/>
  <c r="A98" i="27"/>
  <c r="C98" i="27"/>
  <c r="B99" i="22"/>
  <c r="C98" i="22"/>
  <c r="A98" i="22"/>
  <c r="C97" i="19"/>
  <c r="D97" i="19" s="1"/>
  <c r="B98" i="19"/>
  <c r="A97" i="19"/>
  <c r="H97" i="20"/>
  <c r="E97" i="20"/>
  <c r="F97" i="20"/>
  <c r="D97" i="20"/>
  <c r="H97" i="22"/>
  <c r="F97" i="22"/>
  <c r="E97" i="22"/>
  <c r="G97" i="22"/>
  <c r="D97" i="22"/>
  <c r="I96" i="22"/>
  <c r="C97" i="23"/>
  <c r="E97" i="23" s="1"/>
  <c r="B98" i="23"/>
  <c r="A97" i="23"/>
  <c r="I95" i="23"/>
  <c r="D97" i="27"/>
  <c r="G97" i="27"/>
  <c r="H97" i="27"/>
  <c r="E97" i="27"/>
  <c r="F97" i="27"/>
  <c r="F96" i="26"/>
  <c r="G96" i="26"/>
  <c r="E96" i="26"/>
  <c r="H96" i="26"/>
  <c r="D96" i="26"/>
  <c r="D96" i="24"/>
  <c r="H96" i="24"/>
  <c r="E96" i="24"/>
  <c r="F96" i="24"/>
  <c r="G96" i="24"/>
  <c r="F96" i="21"/>
  <c r="E96" i="21"/>
  <c r="D96" i="21"/>
  <c r="H96" i="21"/>
  <c r="I96" i="27"/>
  <c r="F96" i="25"/>
  <c r="A98" i="20"/>
  <c r="C98" i="20"/>
  <c r="B99" i="20"/>
  <c r="F96" i="13"/>
  <c r="I96" i="20"/>
  <c r="C97" i="24"/>
  <c r="A97" i="24"/>
  <c r="B98" i="24"/>
  <c r="I95" i="26"/>
  <c r="G97" i="20"/>
  <c r="D96" i="13"/>
  <c r="I95" i="24"/>
  <c r="H100" i="3" l="1"/>
  <c r="G100" i="3"/>
  <c r="E100" i="31"/>
  <c r="I99" i="31"/>
  <c r="A101" i="31"/>
  <c r="B102" i="31"/>
  <c r="C101" i="31"/>
  <c r="D100" i="3"/>
  <c r="C101" i="3"/>
  <c r="B102" i="3"/>
  <c r="A101" i="3"/>
  <c r="E100" i="3"/>
  <c r="I99" i="3"/>
  <c r="F100" i="31"/>
  <c r="H100" i="31"/>
  <c r="G100" i="31"/>
  <c r="F97" i="21"/>
  <c r="J32" i="31"/>
  <c r="J32" i="3"/>
  <c r="L33" i="31"/>
  <c r="L33" i="3" s="1"/>
  <c r="K33" i="3"/>
  <c r="K34" i="31"/>
  <c r="M33" i="3"/>
  <c r="M34" i="31"/>
  <c r="G97" i="21"/>
  <c r="D97" i="21"/>
  <c r="G97" i="13"/>
  <c r="I96" i="19"/>
  <c r="I96" i="23"/>
  <c r="I96" i="25"/>
  <c r="I96" i="13"/>
  <c r="I96" i="26"/>
  <c r="I97" i="20"/>
  <c r="A99" i="27"/>
  <c r="B100" i="27"/>
  <c r="C99" i="27"/>
  <c r="E99" i="27" s="1"/>
  <c r="I96" i="21"/>
  <c r="E98" i="20"/>
  <c r="G98" i="20"/>
  <c r="H97" i="23"/>
  <c r="C98" i="24"/>
  <c r="F98" i="24" s="1"/>
  <c r="B99" i="24"/>
  <c r="A98" i="24"/>
  <c r="D97" i="23"/>
  <c r="A98" i="13"/>
  <c r="B99" i="13"/>
  <c r="C98" i="13"/>
  <c r="F98" i="13" s="1"/>
  <c r="I97" i="27"/>
  <c r="G97" i="23"/>
  <c r="G97" i="19"/>
  <c r="E98" i="22"/>
  <c r="H98" i="22"/>
  <c r="D98" i="22"/>
  <c r="F98" i="22"/>
  <c r="G98" i="22"/>
  <c r="H97" i="13"/>
  <c r="F97" i="25"/>
  <c r="D97" i="25"/>
  <c r="E97" i="25"/>
  <c r="H97" i="25"/>
  <c r="F97" i="26"/>
  <c r="D97" i="26"/>
  <c r="E97" i="26"/>
  <c r="B100" i="20"/>
  <c r="C99" i="20"/>
  <c r="D99" i="20" s="1"/>
  <c r="A99" i="20"/>
  <c r="F97" i="23"/>
  <c r="G97" i="26"/>
  <c r="C98" i="19"/>
  <c r="G98" i="19" s="1"/>
  <c r="B99" i="19"/>
  <c r="A98" i="19"/>
  <c r="D98" i="20"/>
  <c r="I97" i="22"/>
  <c r="A98" i="25"/>
  <c r="B99" i="25"/>
  <c r="C98" i="25"/>
  <c r="F98" i="25" s="1"/>
  <c r="E97" i="24"/>
  <c r="G97" i="24"/>
  <c r="D97" i="24"/>
  <c r="H97" i="24"/>
  <c r="F97" i="24"/>
  <c r="H97" i="19"/>
  <c r="A99" i="22"/>
  <c r="C99" i="22"/>
  <c r="B100" i="22"/>
  <c r="D97" i="13"/>
  <c r="I96" i="24"/>
  <c r="F98" i="20"/>
  <c r="H97" i="26"/>
  <c r="E97" i="19"/>
  <c r="E98" i="27"/>
  <c r="D98" i="27"/>
  <c r="H98" i="27"/>
  <c r="G98" i="27"/>
  <c r="F98" i="27"/>
  <c r="E97" i="13"/>
  <c r="C98" i="23"/>
  <c r="G98" i="23" s="1"/>
  <c r="B99" i="23"/>
  <c r="A98" i="23"/>
  <c r="F97" i="19"/>
  <c r="C98" i="26"/>
  <c r="B99" i="26"/>
  <c r="A98" i="26"/>
  <c r="C98" i="21"/>
  <c r="A98" i="21"/>
  <c r="B99" i="21"/>
  <c r="E97" i="21"/>
  <c r="H98" i="20"/>
  <c r="I100" i="31" l="1"/>
  <c r="I100" i="3"/>
  <c r="B103" i="31"/>
  <c r="A102" i="31"/>
  <c r="C102" i="31"/>
  <c r="F102" i="31" s="1"/>
  <c r="H101" i="3"/>
  <c r="E101" i="3"/>
  <c r="D101" i="3"/>
  <c r="F101" i="3"/>
  <c r="G101" i="3"/>
  <c r="D101" i="31"/>
  <c r="F101" i="31"/>
  <c r="E101" i="31"/>
  <c r="H101" i="31"/>
  <c r="G101" i="31"/>
  <c r="A102" i="3"/>
  <c r="C102" i="3"/>
  <c r="F102" i="3" s="1"/>
  <c r="B103" i="3"/>
  <c r="F98" i="19"/>
  <c r="G98" i="24"/>
  <c r="J33" i="3"/>
  <c r="H98" i="25"/>
  <c r="H98" i="23"/>
  <c r="J33" i="31"/>
  <c r="L34" i="31"/>
  <c r="L34" i="3" s="1"/>
  <c r="K34" i="3"/>
  <c r="K35" i="31"/>
  <c r="M34" i="3"/>
  <c r="M35" i="31"/>
  <c r="I97" i="21"/>
  <c r="E98" i="25"/>
  <c r="D99" i="27"/>
  <c r="D98" i="23"/>
  <c r="D98" i="19"/>
  <c r="G99" i="27"/>
  <c r="E98" i="19"/>
  <c r="I97" i="19"/>
  <c r="I97" i="24"/>
  <c r="F98" i="23"/>
  <c r="I97" i="25"/>
  <c r="H98" i="19"/>
  <c r="I97" i="13"/>
  <c r="D98" i="13"/>
  <c r="E98" i="23"/>
  <c r="A99" i="25"/>
  <c r="C99" i="25"/>
  <c r="E99" i="25" s="1"/>
  <c r="B100" i="25"/>
  <c r="B101" i="20"/>
  <c r="A100" i="20"/>
  <c r="C100" i="20"/>
  <c r="F100" i="20" s="1"/>
  <c r="F99" i="22"/>
  <c r="E99" i="22"/>
  <c r="D99" i="22"/>
  <c r="G99" i="22"/>
  <c r="H99" i="22"/>
  <c r="I98" i="20"/>
  <c r="A99" i="26"/>
  <c r="C99" i="26"/>
  <c r="H99" i="26" s="1"/>
  <c r="B100" i="26"/>
  <c r="A99" i="19"/>
  <c r="B100" i="19"/>
  <c r="C99" i="19"/>
  <c r="H99" i="19" s="1"/>
  <c r="I97" i="26"/>
  <c r="I97" i="23"/>
  <c r="A99" i="21"/>
  <c r="C99" i="21"/>
  <c r="D99" i="21" s="1"/>
  <c r="B100" i="21"/>
  <c r="H99" i="20"/>
  <c r="E99" i="20"/>
  <c r="D98" i="21"/>
  <c r="E98" i="21"/>
  <c r="G98" i="21"/>
  <c r="F98" i="21"/>
  <c r="H98" i="21"/>
  <c r="B101" i="22"/>
  <c r="C100" i="22"/>
  <c r="F100" i="22" s="1"/>
  <c r="A100" i="22"/>
  <c r="A99" i="13"/>
  <c r="B100" i="13"/>
  <c r="C99" i="13"/>
  <c r="F99" i="13" s="1"/>
  <c r="H98" i="26"/>
  <c r="D98" i="26"/>
  <c r="E98" i="26"/>
  <c r="F98" i="26"/>
  <c r="G98" i="26"/>
  <c r="A99" i="23"/>
  <c r="B100" i="23"/>
  <c r="C99" i="23"/>
  <c r="H99" i="23" s="1"/>
  <c r="I98" i="22"/>
  <c r="H98" i="13"/>
  <c r="F99" i="27"/>
  <c r="H99" i="27"/>
  <c r="I98" i="27"/>
  <c r="F99" i="20"/>
  <c r="G98" i="13"/>
  <c r="B100" i="24"/>
  <c r="A99" i="24"/>
  <c r="C99" i="24"/>
  <c r="A100" i="27"/>
  <c r="C100" i="27"/>
  <c r="B101" i="27"/>
  <c r="G99" i="20"/>
  <c r="D98" i="25"/>
  <c r="G98" i="25"/>
  <c r="E98" i="13"/>
  <c r="D98" i="24"/>
  <c r="H98" i="24"/>
  <c r="E98" i="24"/>
  <c r="E102" i="31" l="1"/>
  <c r="B104" i="3"/>
  <c r="C103" i="3"/>
  <c r="H103" i="3" s="1"/>
  <c r="A103" i="3"/>
  <c r="D102" i="3"/>
  <c r="H102" i="3"/>
  <c r="E102" i="3"/>
  <c r="I101" i="31"/>
  <c r="A103" i="31"/>
  <c r="B104" i="31"/>
  <c r="C103" i="31"/>
  <c r="D102" i="31"/>
  <c r="G102" i="31"/>
  <c r="G102" i="3"/>
  <c r="H102" i="31"/>
  <c r="I101" i="3"/>
  <c r="E99" i="13"/>
  <c r="J34" i="31"/>
  <c r="J34" i="3"/>
  <c r="H37" i="2" s="1"/>
  <c r="L35" i="31"/>
  <c r="L35" i="3" s="1"/>
  <c r="K36" i="31"/>
  <c r="K35" i="3"/>
  <c r="M35" i="3"/>
  <c r="M36" i="31"/>
  <c r="I98" i="19"/>
  <c r="E99" i="21"/>
  <c r="E99" i="19"/>
  <c r="E99" i="23"/>
  <c r="G99" i="19"/>
  <c r="D99" i="13"/>
  <c r="D99" i="19"/>
  <c r="F99" i="25"/>
  <c r="I98" i="23"/>
  <c r="I98" i="25"/>
  <c r="G99" i="23"/>
  <c r="F99" i="19"/>
  <c r="E100" i="20"/>
  <c r="F99" i="23"/>
  <c r="I98" i="13"/>
  <c r="G99" i="13"/>
  <c r="F99" i="26"/>
  <c r="I99" i="20"/>
  <c r="H99" i="13"/>
  <c r="A100" i="19"/>
  <c r="C100" i="19"/>
  <c r="G100" i="19" s="1"/>
  <c r="B101" i="19"/>
  <c r="F99" i="24"/>
  <c r="H99" i="24"/>
  <c r="D99" i="24"/>
  <c r="E99" i="24"/>
  <c r="B101" i="26"/>
  <c r="C100" i="26"/>
  <c r="A100" i="26"/>
  <c r="G99" i="25"/>
  <c r="I99" i="27"/>
  <c r="D99" i="26"/>
  <c r="C100" i="24"/>
  <c r="A100" i="24"/>
  <c r="B101" i="24"/>
  <c r="C100" i="23"/>
  <c r="D100" i="23" s="1"/>
  <c r="A100" i="23"/>
  <c r="B101" i="23"/>
  <c r="D100" i="27"/>
  <c r="G100" i="27"/>
  <c r="H100" i="27"/>
  <c r="D100" i="22"/>
  <c r="E100" i="22"/>
  <c r="G100" i="22"/>
  <c r="I98" i="26"/>
  <c r="A101" i="22"/>
  <c r="B102" i="22"/>
  <c r="C101" i="22"/>
  <c r="F101" i="22" s="1"/>
  <c r="I99" i="22"/>
  <c r="E99" i="26"/>
  <c r="G99" i="26"/>
  <c r="I98" i="24"/>
  <c r="H100" i="22"/>
  <c r="A100" i="13"/>
  <c r="C100" i="13"/>
  <c r="G100" i="13" s="1"/>
  <c r="B101" i="13"/>
  <c r="B101" i="21"/>
  <c r="C100" i="21"/>
  <c r="A100" i="21"/>
  <c r="D100" i="20"/>
  <c r="H100" i="20"/>
  <c r="G100" i="20"/>
  <c r="D99" i="23"/>
  <c r="D99" i="25"/>
  <c r="I98" i="21"/>
  <c r="H99" i="21"/>
  <c r="F99" i="21"/>
  <c r="E100" i="27"/>
  <c r="F100" i="27"/>
  <c r="B102" i="27"/>
  <c r="C101" i="27"/>
  <c r="A101" i="27"/>
  <c r="H99" i="25"/>
  <c r="G99" i="21"/>
  <c r="B102" i="20"/>
  <c r="C101" i="20"/>
  <c r="A101" i="20"/>
  <c r="G99" i="24"/>
  <c r="A100" i="25"/>
  <c r="B101" i="25"/>
  <c r="C100" i="25"/>
  <c r="D103" i="3" l="1"/>
  <c r="E103" i="3"/>
  <c r="E103" i="31"/>
  <c r="G103" i="31"/>
  <c r="H103" i="31"/>
  <c r="D103" i="31"/>
  <c r="F103" i="31"/>
  <c r="F103" i="3"/>
  <c r="I102" i="31"/>
  <c r="B105" i="3"/>
  <c r="C104" i="3"/>
  <c r="A104" i="3"/>
  <c r="B105" i="31"/>
  <c r="A104" i="31"/>
  <c r="C104" i="31"/>
  <c r="D104" i="31" s="1"/>
  <c r="G103" i="3"/>
  <c r="I102" i="3"/>
  <c r="G101" i="22"/>
  <c r="E100" i="19"/>
  <c r="J35" i="31"/>
  <c r="J35" i="3"/>
  <c r="L36" i="31"/>
  <c r="L36" i="3" s="1"/>
  <c r="K37" i="31"/>
  <c r="K36" i="3"/>
  <c r="M36" i="3"/>
  <c r="M37" i="31"/>
  <c r="G100" i="23"/>
  <c r="F100" i="23"/>
  <c r="H100" i="23"/>
  <c r="F100" i="19"/>
  <c r="I99" i="19"/>
  <c r="E100" i="23"/>
  <c r="I99" i="13"/>
  <c r="I99" i="21"/>
  <c r="E100" i="13"/>
  <c r="I99" i="23"/>
  <c r="F100" i="13"/>
  <c r="G100" i="21"/>
  <c r="F100" i="21"/>
  <c r="H100" i="21"/>
  <c r="D100" i="21"/>
  <c r="E100" i="21"/>
  <c r="C101" i="25"/>
  <c r="F101" i="25" s="1"/>
  <c r="B102" i="25"/>
  <c r="A101" i="25"/>
  <c r="I99" i="25"/>
  <c r="E100" i="24"/>
  <c r="H100" i="24"/>
  <c r="F100" i="24"/>
  <c r="D100" i="24"/>
  <c r="G100" i="24"/>
  <c r="F100" i="26"/>
  <c r="D100" i="26"/>
  <c r="G101" i="27"/>
  <c r="H101" i="27"/>
  <c r="E101" i="27"/>
  <c r="F101" i="27"/>
  <c r="D101" i="27"/>
  <c r="I99" i="26"/>
  <c r="B103" i="27"/>
  <c r="A102" i="27"/>
  <c r="C102" i="27"/>
  <c r="E100" i="26"/>
  <c r="D100" i="13"/>
  <c r="E101" i="22"/>
  <c r="I100" i="22"/>
  <c r="H100" i="26"/>
  <c r="D100" i="19"/>
  <c r="B102" i="21"/>
  <c r="A101" i="21"/>
  <c r="C101" i="21"/>
  <c r="G101" i="21" s="1"/>
  <c r="C101" i="26"/>
  <c r="E101" i="26" s="1"/>
  <c r="B102" i="26"/>
  <c r="A101" i="26"/>
  <c r="H100" i="13"/>
  <c r="H101" i="22"/>
  <c r="A101" i="23"/>
  <c r="C101" i="23"/>
  <c r="F101" i="23" s="1"/>
  <c r="B102" i="23"/>
  <c r="I99" i="24"/>
  <c r="A101" i="19"/>
  <c r="C101" i="19"/>
  <c r="D101" i="19" s="1"/>
  <c r="B102" i="19"/>
  <c r="F101" i="20"/>
  <c r="E101" i="20"/>
  <c r="G101" i="20"/>
  <c r="D101" i="20"/>
  <c r="H101" i="20"/>
  <c r="A102" i="20"/>
  <c r="C102" i="20"/>
  <c r="B103" i="20"/>
  <c r="I100" i="20"/>
  <c r="C101" i="13"/>
  <c r="H101" i="13" s="1"/>
  <c r="A101" i="13"/>
  <c r="B102" i="13"/>
  <c r="C102" i="22"/>
  <c r="A102" i="22"/>
  <c r="B103" i="22"/>
  <c r="I100" i="27"/>
  <c r="G100" i="26"/>
  <c r="E100" i="25"/>
  <c r="D100" i="25"/>
  <c r="F100" i="25"/>
  <c r="H100" i="25"/>
  <c r="G100" i="25"/>
  <c r="B102" i="24"/>
  <c r="A101" i="24"/>
  <c r="C101" i="24"/>
  <c r="H100" i="19"/>
  <c r="D101" i="22"/>
  <c r="E104" i="31" l="1"/>
  <c r="I103" i="3"/>
  <c r="H104" i="31"/>
  <c r="F104" i="31"/>
  <c r="B106" i="3"/>
  <c r="C105" i="3"/>
  <c r="H105" i="3" s="1"/>
  <c r="A105" i="3"/>
  <c r="I103" i="31"/>
  <c r="B106" i="31"/>
  <c r="A105" i="31"/>
  <c r="C105" i="31"/>
  <c r="H104" i="3"/>
  <c r="E104" i="3"/>
  <c r="F104" i="3"/>
  <c r="D104" i="3"/>
  <c r="G104" i="3"/>
  <c r="G104" i="31"/>
  <c r="I100" i="23"/>
  <c r="J36" i="31"/>
  <c r="J36" i="3"/>
  <c r="L37" i="31"/>
  <c r="L37" i="3" s="1"/>
  <c r="K38" i="31"/>
  <c r="K37" i="3"/>
  <c r="M37" i="3"/>
  <c r="M38" i="31"/>
  <c r="H101" i="19"/>
  <c r="F101" i="13"/>
  <c r="F101" i="19"/>
  <c r="E101" i="13"/>
  <c r="E101" i="19"/>
  <c r="D101" i="13"/>
  <c r="G101" i="19"/>
  <c r="G101" i="23"/>
  <c r="E101" i="23"/>
  <c r="E101" i="21"/>
  <c r="H101" i="23"/>
  <c r="D101" i="23"/>
  <c r="B103" i="21"/>
  <c r="C102" i="21"/>
  <c r="F102" i="21" s="1"/>
  <c r="A102" i="21"/>
  <c r="I100" i="24"/>
  <c r="A102" i="13"/>
  <c r="C102" i="13"/>
  <c r="G102" i="13" s="1"/>
  <c r="B103" i="13"/>
  <c r="I100" i="21"/>
  <c r="I101" i="20"/>
  <c r="G102" i="27"/>
  <c r="E102" i="27"/>
  <c r="F102" i="27"/>
  <c r="D102" i="27"/>
  <c r="H102" i="27"/>
  <c r="C102" i="19"/>
  <c r="E102" i="19" s="1"/>
  <c r="A102" i="19"/>
  <c r="B103" i="19"/>
  <c r="H101" i="24"/>
  <c r="F101" i="24"/>
  <c r="E101" i="24"/>
  <c r="G101" i="24"/>
  <c r="D101" i="24"/>
  <c r="G101" i="13"/>
  <c r="A102" i="23"/>
  <c r="C102" i="23"/>
  <c r="E102" i="23" s="1"/>
  <c r="B103" i="23"/>
  <c r="C102" i="26"/>
  <c r="A102" i="26"/>
  <c r="B103" i="26"/>
  <c r="I100" i="19"/>
  <c r="C103" i="27"/>
  <c r="B104" i="27"/>
  <c r="A103" i="27"/>
  <c r="D101" i="25"/>
  <c r="H101" i="25"/>
  <c r="A103" i="22"/>
  <c r="C103" i="22"/>
  <c r="D103" i="22" s="1"/>
  <c r="B104" i="22"/>
  <c r="E101" i="25"/>
  <c r="I100" i="13"/>
  <c r="G101" i="25"/>
  <c r="I101" i="22"/>
  <c r="H102" i="22"/>
  <c r="D102" i="22"/>
  <c r="F102" i="22"/>
  <c r="E102" i="22"/>
  <c r="G102" i="22"/>
  <c r="I100" i="25"/>
  <c r="C103" i="20"/>
  <c r="B104" i="20"/>
  <c r="A103" i="20"/>
  <c r="D101" i="26"/>
  <c r="H101" i="26"/>
  <c r="G101" i="26"/>
  <c r="I100" i="26"/>
  <c r="F101" i="26"/>
  <c r="A102" i="24"/>
  <c r="C102" i="24"/>
  <c r="B103" i="24"/>
  <c r="E102" i="20"/>
  <c r="G102" i="20"/>
  <c r="D102" i="20"/>
  <c r="H102" i="20"/>
  <c r="F102" i="20"/>
  <c r="D101" i="21"/>
  <c r="H101" i="21"/>
  <c r="I101" i="27"/>
  <c r="C102" i="25"/>
  <c r="A102" i="25"/>
  <c r="B103" i="25"/>
  <c r="F101" i="21"/>
  <c r="D105" i="3" l="1"/>
  <c r="I104" i="31"/>
  <c r="D105" i="31"/>
  <c r="H105" i="31"/>
  <c r="F105" i="31"/>
  <c r="G105" i="31"/>
  <c r="E105" i="31"/>
  <c r="G105" i="3"/>
  <c r="F105" i="3"/>
  <c r="C106" i="31"/>
  <c r="F106" i="31" s="1"/>
  <c r="B107" i="31"/>
  <c r="A106" i="31"/>
  <c r="I104" i="3"/>
  <c r="B107" i="3"/>
  <c r="C106" i="3"/>
  <c r="A106" i="3"/>
  <c r="E105" i="3"/>
  <c r="D102" i="13"/>
  <c r="J37" i="31"/>
  <c r="J37" i="3"/>
  <c r="L38" i="31"/>
  <c r="L38" i="3" s="1"/>
  <c r="K38" i="3"/>
  <c r="K39" i="31"/>
  <c r="M38" i="3"/>
  <c r="M39" i="31"/>
  <c r="G102" i="23"/>
  <c r="I101" i="19"/>
  <c r="F102" i="13"/>
  <c r="E103" i="22"/>
  <c r="I101" i="13"/>
  <c r="D102" i="19"/>
  <c r="H103" i="22"/>
  <c r="F102" i="23"/>
  <c r="F102" i="19"/>
  <c r="H102" i="23"/>
  <c r="H102" i="19"/>
  <c r="H102" i="21"/>
  <c r="D102" i="23"/>
  <c r="I101" i="24"/>
  <c r="I101" i="23"/>
  <c r="E102" i="21"/>
  <c r="I101" i="26"/>
  <c r="G102" i="21"/>
  <c r="D102" i="21"/>
  <c r="H102" i="13"/>
  <c r="D102" i="24"/>
  <c r="H102" i="24"/>
  <c r="E102" i="24"/>
  <c r="F102" i="24"/>
  <c r="B105" i="20"/>
  <c r="C104" i="20"/>
  <c r="E104" i="20" s="1"/>
  <c r="A104" i="20"/>
  <c r="F103" i="27"/>
  <c r="G103" i="27"/>
  <c r="D103" i="27"/>
  <c r="H103" i="27"/>
  <c r="E103" i="27"/>
  <c r="I102" i="27"/>
  <c r="E103" i="20"/>
  <c r="F103" i="20"/>
  <c r="D103" i="20"/>
  <c r="G103" i="20"/>
  <c r="H103" i="20"/>
  <c r="A104" i="22"/>
  <c r="B105" i="22"/>
  <c r="C104" i="22"/>
  <c r="F104" i="22" s="1"/>
  <c r="G102" i="19"/>
  <c r="A103" i="25"/>
  <c r="C103" i="25"/>
  <c r="B104" i="25"/>
  <c r="I102" i="20"/>
  <c r="I102" i="22"/>
  <c r="A103" i="26"/>
  <c r="B104" i="26"/>
  <c r="C103" i="26"/>
  <c r="B104" i="23"/>
  <c r="A103" i="23"/>
  <c r="C103" i="23"/>
  <c r="G103" i="23" s="1"/>
  <c r="C103" i="19"/>
  <c r="H103" i="19" s="1"/>
  <c r="B104" i="19"/>
  <c r="A103" i="19"/>
  <c r="F103" i="22"/>
  <c r="E102" i="13"/>
  <c r="B104" i="21"/>
  <c r="C103" i="21"/>
  <c r="A103" i="21"/>
  <c r="C104" i="27"/>
  <c r="G104" i="27" s="1"/>
  <c r="B105" i="27"/>
  <c r="A104" i="27"/>
  <c r="B104" i="13"/>
  <c r="C103" i="13"/>
  <c r="F103" i="13" s="1"/>
  <c r="A103" i="13"/>
  <c r="I101" i="21"/>
  <c r="H102" i="25"/>
  <c r="F102" i="25"/>
  <c r="D102" i="25"/>
  <c r="G102" i="25"/>
  <c r="E102" i="25"/>
  <c r="G102" i="26"/>
  <c r="D102" i="26"/>
  <c r="H102" i="26"/>
  <c r="F102" i="26"/>
  <c r="E102" i="26"/>
  <c r="C103" i="24"/>
  <c r="B104" i="24"/>
  <c r="A103" i="24"/>
  <c r="I101" i="25"/>
  <c r="G103" i="22"/>
  <c r="G102" i="24"/>
  <c r="N41" i="31"/>
  <c r="I105" i="3" l="1"/>
  <c r="H106" i="31"/>
  <c r="H106" i="3"/>
  <c r="E106" i="3"/>
  <c r="G106" i="3"/>
  <c r="I105" i="31"/>
  <c r="B108" i="3"/>
  <c r="C107" i="3"/>
  <c r="A107" i="3"/>
  <c r="E106" i="31"/>
  <c r="D106" i="31"/>
  <c r="G106" i="31"/>
  <c r="D106" i="3"/>
  <c r="A107" i="31"/>
  <c r="B108" i="31"/>
  <c r="C107" i="31"/>
  <c r="G107" i="31" s="1"/>
  <c r="F106" i="3"/>
  <c r="E103" i="23"/>
  <c r="D103" i="23"/>
  <c r="F103" i="23"/>
  <c r="E103" i="19"/>
  <c r="D104" i="20"/>
  <c r="D103" i="19"/>
  <c r="E103" i="13"/>
  <c r="D103" i="13"/>
  <c r="G103" i="13"/>
  <c r="J38" i="31"/>
  <c r="J38" i="3"/>
  <c r="L39" i="31"/>
  <c r="K39" i="3"/>
  <c r="K40" i="31"/>
  <c r="M39" i="3"/>
  <c r="M40" i="31"/>
  <c r="H103" i="23"/>
  <c r="I102" i="13"/>
  <c r="I102" i="23"/>
  <c r="I102" i="19"/>
  <c r="I102" i="21"/>
  <c r="I103" i="27"/>
  <c r="G103" i="19"/>
  <c r="H104" i="27"/>
  <c r="I103" i="20"/>
  <c r="F103" i="19"/>
  <c r="I103" i="22"/>
  <c r="B105" i="24"/>
  <c r="C104" i="24"/>
  <c r="E104" i="24" s="1"/>
  <c r="A104" i="24"/>
  <c r="C104" i="26"/>
  <c r="G104" i="26" s="1"/>
  <c r="B105" i="26"/>
  <c r="A104" i="26"/>
  <c r="I102" i="25"/>
  <c r="G104" i="22"/>
  <c r="H104" i="22"/>
  <c r="D104" i="22"/>
  <c r="E104" i="22"/>
  <c r="I102" i="24"/>
  <c r="A105" i="22"/>
  <c r="C105" i="22"/>
  <c r="G105" i="22" s="1"/>
  <c r="B106" i="22"/>
  <c r="G104" i="20"/>
  <c r="F104" i="20"/>
  <c r="H104" i="20"/>
  <c r="C104" i="13"/>
  <c r="D104" i="13" s="1"/>
  <c r="B105" i="13"/>
  <c r="A104" i="13"/>
  <c r="B105" i="25"/>
  <c r="C104" i="25"/>
  <c r="A104" i="25"/>
  <c r="A105" i="20"/>
  <c r="B106" i="20"/>
  <c r="C105" i="20"/>
  <c r="B106" i="27"/>
  <c r="A105" i="27"/>
  <c r="C105" i="27"/>
  <c r="F105" i="27" s="1"/>
  <c r="H103" i="26"/>
  <c r="D103" i="26"/>
  <c r="F103" i="26"/>
  <c r="E103" i="26"/>
  <c r="G103" i="26"/>
  <c r="F103" i="21"/>
  <c r="G103" i="21"/>
  <c r="E103" i="21"/>
  <c r="D103" i="21"/>
  <c r="H103" i="21"/>
  <c r="A104" i="21"/>
  <c r="B105" i="21"/>
  <c r="C104" i="21"/>
  <c r="D104" i="21" s="1"/>
  <c r="D104" i="27"/>
  <c r="C104" i="19"/>
  <c r="G104" i="19" s="1"/>
  <c r="A104" i="19"/>
  <c r="B105" i="19"/>
  <c r="H103" i="25"/>
  <c r="E103" i="25"/>
  <c r="D103" i="25"/>
  <c r="F103" i="25"/>
  <c r="G103" i="25"/>
  <c r="E104" i="27"/>
  <c r="H103" i="24"/>
  <c r="F103" i="24"/>
  <c r="E103" i="24"/>
  <c r="D103" i="24"/>
  <c r="G103" i="24"/>
  <c r="F104" i="27"/>
  <c r="I102" i="26"/>
  <c r="H103" i="13"/>
  <c r="B105" i="23"/>
  <c r="A104" i="23"/>
  <c r="C104" i="23"/>
  <c r="H104" i="23" s="1"/>
  <c r="N41" i="3"/>
  <c r="N42" i="31"/>
  <c r="G107" i="3" l="1"/>
  <c r="E107" i="3"/>
  <c r="F107" i="3"/>
  <c r="D107" i="3"/>
  <c r="B109" i="3"/>
  <c r="A108" i="3"/>
  <c r="C108" i="3"/>
  <c r="D108" i="3" s="1"/>
  <c r="I106" i="3"/>
  <c r="H107" i="31"/>
  <c r="E107" i="31"/>
  <c r="D107" i="31"/>
  <c r="H107" i="3"/>
  <c r="I106" i="31"/>
  <c r="A108" i="31"/>
  <c r="C108" i="31"/>
  <c r="H108" i="31" s="1"/>
  <c r="B109" i="31"/>
  <c r="F107" i="31"/>
  <c r="J39" i="31"/>
  <c r="L39" i="3"/>
  <c r="J39" i="3" s="1"/>
  <c r="I103" i="23"/>
  <c r="I103" i="13"/>
  <c r="L40" i="31"/>
  <c r="L40" i="3" s="1"/>
  <c r="K40" i="3"/>
  <c r="K41" i="31"/>
  <c r="M40" i="3"/>
  <c r="M41" i="31"/>
  <c r="F104" i="26"/>
  <c r="D104" i="23"/>
  <c r="H104" i="26"/>
  <c r="H105" i="22"/>
  <c r="E105" i="22"/>
  <c r="I103" i="19"/>
  <c r="I104" i="22"/>
  <c r="I104" i="27"/>
  <c r="D104" i="19"/>
  <c r="I104" i="20"/>
  <c r="H104" i="19"/>
  <c r="F104" i="19"/>
  <c r="D104" i="24"/>
  <c r="E104" i="19"/>
  <c r="G104" i="23"/>
  <c r="I103" i="24"/>
  <c r="H104" i="13"/>
  <c r="A105" i="26"/>
  <c r="B106" i="26"/>
  <c r="C105" i="26"/>
  <c r="E105" i="26" s="1"/>
  <c r="F104" i="23"/>
  <c r="I103" i="25"/>
  <c r="A105" i="19"/>
  <c r="C105" i="19"/>
  <c r="H105" i="19" s="1"/>
  <c r="B106" i="19"/>
  <c r="I103" i="21"/>
  <c r="G105" i="27"/>
  <c r="C106" i="27"/>
  <c r="A106" i="27"/>
  <c r="B107" i="27"/>
  <c r="G104" i="13"/>
  <c r="E104" i="26"/>
  <c r="D104" i="26"/>
  <c r="E105" i="20"/>
  <c r="G105" i="20"/>
  <c r="H105" i="20"/>
  <c r="F105" i="20"/>
  <c r="D105" i="20"/>
  <c r="E104" i="13"/>
  <c r="B107" i="20"/>
  <c r="A106" i="20"/>
  <c r="C106" i="20"/>
  <c r="F104" i="13"/>
  <c r="H104" i="24"/>
  <c r="F104" i="24"/>
  <c r="G104" i="24"/>
  <c r="E105" i="27"/>
  <c r="A105" i="25"/>
  <c r="C105" i="25"/>
  <c r="E105" i="25" s="1"/>
  <c r="B106" i="25"/>
  <c r="D105" i="27"/>
  <c r="A105" i="24"/>
  <c r="B106" i="24"/>
  <c r="C105" i="24"/>
  <c r="H105" i="27"/>
  <c r="E104" i="21"/>
  <c r="F104" i="21"/>
  <c r="G104" i="21"/>
  <c r="H104" i="21"/>
  <c r="I103" i="26"/>
  <c r="A106" i="22"/>
  <c r="B107" i="22"/>
  <c r="C106" i="22"/>
  <c r="B106" i="23"/>
  <c r="C105" i="23"/>
  <c r="H105" i="23" s="1"/>
  <c r="A105" i="23"/>
  <c r="E104" i="23"/>
  <c r="A105" i="21"/>
  <c r="C105" i="21"/>
  <c r="B106" i="21"/>
  <c r="E104" i="25"/>
  <c r="F104" i="25"/>
  <c r="D104" i="25"/>
  <c r="G104" i="25"/>
  <c r="H104" i="25"/>
  <c r="B106" i="13"/>
  <c r="C105" i="13"/>
  <c r="F105" i="13" s="1"/>
  <c r="A105" i="13"/>
  <c r="D105" i="22"/>
  <c r="F105" i="22"/>
  <c r="N42" i="3"/>
  <c r="N43" i="31"/>
  <c r="I107" i="31" l="1"/>
  <c r="F108" i="3"/>
  <c r="I107" i="3"/>
  <c r="B110" i="31"/>
  <c r="A109" i="31"/>
  <c r="C109" i="31"/>
  <c r="G109" i="31" s="1"/>
  <c r="A109" i="3"/>
  <c r="B110" i="3"/>
  <c r="C109" i="3"/>
  <c r="D109" i="3" s="1"/>
  <c r="G108" i="31"/>
  <c r="E108" i="3"/>
  <c r="H108" i="3"/>
  <c r="D108" i="31"/>
  <c r="G108" i="3"/>
  <c r="E108" i="31"/>
  <c r="F108" i="31"/>
  <c r="J40" i="31"/>
  <c r="J40" i="3"/>
  <c r="L41" i="31"/>
  <c r="L41" i="3" s="1"/>
  <c r="K42" i="31"/>
  <c r="K41" i="3"/>
  <c r="M41" i="3"/>
  <c r="M42" i="31"/>
  <c r="D105" i="19"/>
  <c r="H105" i="13"/>
  <c r="G105" i="13"/>
  <c r="G105" i="19"/>
  <c r="I104" i="19"/>
  <c r="I104" i="13"/>
  <c r="I104" i="24"/>
  <c r="I105" i="22"/>
  <c r="I104" i="23"/>
  <c r="D105" i="26"/>
  <c r="I104" i="26"/>
  <c r="D105" i="13"/>
  <c r="G105" i="23"/>
  <c r="E105" i="13"/>
  <c r="D105" i="23"/>
  <c r="E105" i="24"/>
  <c r="F105" i="24"/>
  <c r="D105" i="24"/>
  <c r="H105" i="24"/>
  <c r="C107" i="20"/>
  <c r="E107" i="20" s="1"/>
  <c r="B108" i="20"/>
  <c r="A107" i="20"/>
  <c r="G105" i="25"/>
  <c r="H105" i="21"/>
  <c r="F105" i="21"/>
  <c r="D105" i="21"/>
  <c r="E105" i="21"/>
  <c r="F105" i="23"/>
  <c r="F105" i="25"/>
  <c r="F105" i="19"/>
  <c r="C106" i="25"/>
  <c r="F106" i="25" s="1"/>
  <c r="A106" i="25"/>
  <c r="B107" i="25"/>
  <c r="C106" i="21"/>
  <c r="G106" i="21" s="1"/>
  <c r="B107" i="21"/>
  <c r="A106" i="21"/>
  <c r="E105" i="23"/>
  <c r="A106" i="24"/>
  <c r="B107" i="24"/>
  <c r="C106" i="24"/>
  <c r="E106" i="24" s="1"/>
  <c r="B107" i="13"/>
  <c r="A106" i="13"/>
  <c r="C106" i="13"/>
  <c r="H106" i="13" s="1"/>
  <c r="E105" i="19"/>
  <c r="F105" i="26"/>
  <c r="H105" i="26"/>
  <c r="G105" i="26"/>
  <c r="G105" i="21"/>
  <c r="B108" i="22"/>
  <c r="A107" i="22"/>
  <c r="C107" i="22"/>
  <c r="D107" i="22" s="1"/>
  <c r="D106" i="20"/>
  <c r="G106" i="20"/>
  <c r="E106" i="20"/>
  <c r="H106" i="20"/>
  <c r="F106" i="20"/>
  <c r="I105" i="20"/>
  <c r="C107" i="27"/>
  <c r="F107" i="27" s="1"/>
  <c r="B108" i="27"/>
  <c r="A107" i="27"/>
  <c r="B107" i="26"/>
  <c r="C106" i="26"/>
  <c r="D106" i="26" s="1"/>
  <c r="A106" i="26"/>
  <c r="D105" i="25"/>
  <c r="H105" i="25"/>
  <c r="A106" i="23"/>
  <c r="C106" i="23"/>
  <c r="D106" i="23" s="1"/>
  <c r="B107" i="23"/>
  <c r="I104" i="21"/>
  <c r="A106" i="19"/>
  <c r="B107" i="19"/>
  <c r="C106" i="19"/>
  <c r="F106" i="19" s="1"/>
  <c r="G105" i="24"/>
  <c r="I104" i="25"/>
  <c r="G106" i="22"/>
  <c r="F106" i="22"/>
  <c r="H106" i="22"/>
  <c r="D106" i="22"/>
  <c r="E106" i="22"/>
  <c r="I105" i="27"/>
  <c r="E106" i="27"/>
  <c r="F106" i="27"/>
  <c r="H106" i="27"/>
  <c r="D106" i="27"/>
  <c r="G106" i="27"/>
  <c r="N43" i="3"/>
  <c r="N44" i="31"/>
  <c r="F109" i="31" l="1"/>
  <c r="E109" i="31"/>
  <c r="I108" i="31"/>
  <c r="H109" i="3"/>
  <c r="F109" i="3"/>
  <c r="I108" i="3"/>
  <c r="D109" i="31"/>
  <c r="H109" i="31"/>
  <c r="G109" i="3"/>
  <c r="E109" i="3"/>
  <c r="A110" i="3"/>
  <c r="B111" i="3"/>
  <c r="C110" i="3"/>
  <c r="A110" i="31"/>
  <c r="B111" i="31"/>
  <c r="C110" i="31"/>
  <c r="H106" i="19"/>
  <c r="H107" i="22"/>
  <c r="J41" i="31"/>
  <c r="J41" i="3"/>
  <c r="L42" i="31"/>
  <c r="L42" i="3" s="1"/>
  <c r="K42" i="3"/>
  <c r="K43" i="31"/>
  <c r="M42" i="3"/>
  <c r="M43" i="31"/>
  <c r="F107" i="20"/>
  <c r="F107" i="22"/>
  <c r="H107" i="27"/>
  <c r="G107" i="22"/>
  <c r="E106" i="19"/>
  <c r="F106" i="23"/>
  <c r="E106" i="25"/>
  <c r="I105" i="13"/>
  <c r="I105" i="26"/>
  <c r="I105" i="19"/>
  <c r="D107" i="20"/>
  <c r="E106" i="23"/>
  <c r="I105" i="23"/>
  <c r="G107" i="27"/>
  <c r="H106" i="23"/>
  <c r="C107" i="21"/>
  <c r="F107" i="21" s="1"/>
  <c r="A107" i="21"/>
  <c r="B108" i="21"/>
  <c r="B109" i="27"/>
  <c r="C108" i="27"/>
  <c r="H108" i="27" s="1"/>
  <c r="A108" i="27"/>
  <c r="C107" i="19"/>
  <c r="H107" i="19" s="1"/>
  <c r="B108" i="19"/>
  <c r="A107" i="19"/>
  <c r="D107" i="27"/>
  <c r="E107" i="27"/>
  <c r="G106" i="25"/>
  <c r="E106" i="26"/>
  <c r="I105" i="24"/>
  <c r="I106" i="20"/>
  <c r="B108" i="13"/>
  <c r="A107" i="13"/>
  <c r="C107" i="13"/>
  <c r="F107" i="13" s="1"/>
  <c r="F106" i="21"/>
  <c r="D106" i="21"/>
  <c r="H106" i="21"/>
  <c r="E106" i="21"/>
  <c r="I106" i="22"/>
  <c r="H106" i="25"/>
  <c r="G106" i="23"/>
  <c r="I105" i="25"/>
  <c r="F106" i="13"/>
  <c r="F106" i="24"/>
  <c r="G106" i="24"/>
  <c r="D106" i="24"/>
  <c r="H106" i="24"/>
  <c r="I105" i="21"/>
  <c r="A107" i="23"/>
  <c r="B108" i="23"/>
  <c r="C107" i="23"/>
  <c r="E107" i="23" s="1"/>
  <c r="A108" i="22"/>
  <c r="C108" i="22"/>
  <c r="F108" i="22" s="1"/>
  <c r="B109" i="22"/>
  <c r="E106" i="13"/>
  <c r="A107" i="24"/>
  <c r="C107" i="24"/>
  <c r="B108" i="24"/>
  <c r="C107" i="25"/>
  <c r="B108" i="25"/>
  <c r="A107" i="25"/>
  <c r="I106" i="27"/>
  <c r="G106" i="19"/>
  <c r="H106" i="26"/>
  <c r="G106" i="26"/>
  <c r="F106" i="26"/>
  <c r="G106" i="13"/>
  <c r="A108" i="20"/>
  <c r="C108" i="20"/>
  <c r="B109" i="20"/>
  <c r="E107" i="22"/>
  <c r="D106" i="19"/>
  <c r="A107" i="26"/>
  <c r="C107" i="26"/>
  <c r="G107" i="26" s="1"/>
  <c r="B108" i="26"/>
  <c r="D106" i="13"/>
  <c r="H107" i="20"/>
  <c r="G107" i="20"/>
  <c r="D106" i="25"/>
  <c r="N44" i="3"/>
  <c r="N45" i="31"/>
  <c r="N45" i="3" s="1"/>
  <c r="I109" i="3" l="1"/>
  <c r="B112" i="31"/>
  <c r="C111" i="31"/>
  <c r="E111" i="31" s="1"/>
  <c r="A111" i="31"/>
  <c r="H110" i="3"/>
  <c r="E110" i="3"/>
  <c r="F110" i="3"/>
  <c r="D110" i="3"/>
  <c r="G110" i="3"/>
  <c r="I109" i="31"/>
  <c r="C111" i="3"/>
  <c r="A111" i="3"/>
  <c r="B112" i="3"/>
  <c r="E110" i="31"/>
  <c r="F110" i="31"/>
  <c r="D110" i="31"/>
  <c r="G110" i="31"/>
  <c r="H110" i="31"/>
  <c r="E107" i="13"/>
  <c r="H107" i="13"/>
  <c r="H107" i="23"/>
  <c r="E108" i="22"/>
  <c r="J42" i="31"/>
  <c r="J42" i="3"/>
  <c r="L43" i="31"/>
  <c r="L43" i="3" s="1"/>
  <c r="K44" i="31"/>
  <c r="K43" i="3"/>
  <c r="M43" i="3"/>
  <c r="M44" i="31"/>
  <c r="I107" i="22"/>
  <c r="G107" i="13"/>
  <c r="E107" i="19"/>
  <c r="D107" i="19"/>
  <c r="I106" i="23"/>
  <c r="I106" i="25"/>
  <c r="I106" i="19"/>
  <c r="F107" i="23"/>
  <c r="I106" i="26"/>
  <c r="B110" i="22"/>
  <c r="C109" i="22"/>
  <c r="D109" i="22" s="1"/>
  <c r="A109" i="22"/>
  <c r="I106" i="13"/>
  <c r="B110" i="27"/>
  <c r="A109" i="27"/>
  <c r="C109" i="27"/>
  <c r="G109" i="27" s="1"/>
  <c r="B109" i="26"/>
  <c r="C108" i="26"/>
  <c r="A108" i="26"/>
  <c r="G108" i="22"/>
  <c r="B109" i="25"/>
  <c r="A108" i="25"/>
  <c r="C108" i="25"/>
  <c r="D107" i="13"/>
  <c r="C108" i="19"/>
  <c r="D108" i="19" s="1"/>
  <c r="B109" i="19"/>
  <c r="A108" i="19"/>
  <c r="A108" i="21"/>
  <c r="C108" i="21"/>
  <c r="B109" i="21"/>
  <c r="E107" i="26"/>
  <c r="F107" i="26"/>
  <c r="H107" i="26"/>
  <c r="E107" i="25"/>
  <c r="G107" i="25"/>
  <c r="H107" i="25"/>
  <c r="F107" i="25"/>
  <c r="A108" i="24"/>
  <c r="C108" i="24"/>
  <c r="B109" i="24"/>
  <c r="D107" i="23"/>
  <c r="I106" i="24"/>
  <c r="I107" i="27"/>
  <c r="D108" i="22"/>
  <c r="H107" i="21"/>
  <c r="D107" i="21"/>
  <c r="E107" i="21"/>
  <c r="G107" i="21"/>
  <c r="C108" i="23"/>
  <c r="F108" i="23" s="1"/>
  <c r="B109" i="23"/>
  <c r="A108" i="23"/>
  <c r="E108" i="27"/>
  <c r="D108" i="27"/>
  <c r="F108" i="27"/>
  <c r="G108" i="27"/>
  <c r="A109" i="20"/>
  <c r="C109" i="20"/>
  <c r="E109" i="20" s="1"/>
  <c r="B110" i="20"/>
  <c r="E107" i="24"/>
  <c r="F107" i="24"/>
  <c r="H107" i="24"/>
  <c r="D107" i="26"/>
  <c r="G108" i="20"/>
  <c r="D108" i="20"/>
  <c r="F108" i="20"/>
  <c r="E108" i="20"/>
  <c r="H108" i="20"/>
  <c r="G107" i="23"/>
  <c r="I106" i="21"/>
  <c r="B109" i="13"/>
  <c r="A108" i="13"/>
  <c r="C108" i="13"/>
  <c r="G108" i="13" s="1"/>
  <c r="F107" i="19"/>
  <c r="G107" i="24"/>
  <c r="H108" i="22"/>
  <c r="I107" i="20"/>
  <c r="D107" i="25"/>
  <c r="G107" i="19"/>
  <c r="D107" i="24"/>
  <c r="G111" i="31" l="1"/>
  <c r="F111" i="31"/>
  <c r="D111" i="31"/>
  <c r="H111" i="31"/>
  <c r="I110" i="31"/>
  <c r="F111" i="3"/>
  <c r="E111" i="3"/>
  <c r="G111" i="3"/>
  <c r="D111" i="3"/>
  <c r="C112" i="3"/>
  <c r="F112" i="3" s="1"/>
  <c r="B113" i="3"/>
  <c r="A112" i="3"/>
  <c r="I110" i="3"/>
  <c r="H111" i="3"/>
  <c r="C112" i="31"/>
  <c r="B113" i="31"/>
  <c r="A112" i="31"/>
  <c r="E108" i="19"/>
  <c r="I107" i="19"/>
  <c r="G108" i="19"/>
  <c r="E108" i="13"/>
  <c r="F108" i="13"/>
  <c r="I107" i="13"/>
  <c r="J43" i="31"/>
  <c r="J43" i="3"/>
  <c r="L44" i="31"/>
  <c r="L44" i="3" s="1"/>
  <c r="K45" i="31"/>
  <c r="K44" i="3"/>
  <c r="M44" i="3"/>
  <c r="M45" i="31"/>
  <c r="H108" i="13"/>
  <c r="I108" i="27"/>
  <c r="G109" i="22"/>
  <c r="D108" i="13"/>
  <c r="E109" i="22"/>
  <c r="I107" i="23"/>
  <c r="H108" i="19"/>
  <c r="F109" i="22"/>
  <c r="H109" i="22"/>
  <c r="F108" i="19"/>
  <c r="H109" i="27"/>
  <c r="D109" i="27"/>
  <c r="E109" i="27"/>
  <c r="F109" i="27"/>
  <c r="I107" i="24"/>
  <c r="I108" i="20"/>
  <c r="E108" i="23"/>
  <c r="I107" i="21"/>
  <c r="C110" i="27"/>
  <c r="B111" i="27"/>
  <c r="A110" i="27"/>
  <c r="E108" i="25"/>
  <c r="H108" i="25"/>
  <c r="D108" i="25"/>
  <c r="G108" i="25"/>
  <c r="F108" i="25"/>
  <c r="A110" i="20"/>
  <c r="C110" i="20"/>
  <c r="B111" i="20"/>
  <c r="D108" i="24"/>
  <c r="H108" i="24"/>
  <c r="G108" i="24"/>
  <c r="F108" i="24"/>
  <c r="E108" i="24"/>
  <c r="C109" i="25"/>
  <c r="A109" i="25"/>
  <c r="B110" i="25"/>
  <c r="H108" i="23"/>
  <c r="B110" i="24"/>
  <c r="C109" i="24"/>
  <c r="H109" i="24" s="1"/>
  <c r="A109" i="24"/>
  <c r="D109" i="20"/>
  <c r="H109" i="20"/>
  <c r="G109" i="20"/>
  <c r="F109" i="20"/>
  <c r="G108" i="23"/>
  <c r="I107" i="25"/>
  <c r="A109" i="13"/>
  <c r="B110" i="13"/>
  <c r="C109" i="13"/>
  <c r="G109" i="13" s="1"/>
  <c r="I107" i="26"/>
  <c r="D108" i="23"/>
  <c r="I108" i="22"/>
  <c r="B110" i="21"/>
  <c r="A109" i="21"/>
  <c r="C109" i="21"/>
  <c r="F109" i="21" s="1"/>
  <c r="A109" i="19"/>
  <c r="C109" i="19"/>
  <c r="F109" i="19" s="1"/>
  <c r="B110" i="19"/>
  <c r="E108" i="26"/>
  <c r="F108" i="26"/>
  <c r="D108" i="26"/>
  <c r="H108" i="26"/>
  <c r="G108" i="26"/>
  <c r="E108" i="21"/>
  <c r="D108" i="21"/>
  <c r="G108" i="21"/>
  <c r="F108" i="21"/>
  <c r="H108" i="21"/>
  <c r="C109" i="26"/>
  <c r="A109" i="26"/>
  <c r="B110" i="26"/>
  <c r="A109" i="23"/>
  <c r="C109" i="23"/>
  <c r="E109" i="23" s="1"/>
  <c r="B110" i="23"/>
  <c r="C110" i="22"/>
  <c r="A110" i="22"/>
  <c r="B111" i="22"/>
  <c r="N46" i="31"/>
  <c r="N46" i="3" s="1"/>
  <c r="N47" i="31"/>
  <c r="N47" i="3" s="1"/>
  <c r="I111" i="31" l="1"/>
  <c r="G112" i="3"/>
  <c r="D112" i="3"/>
  <c r="I111" i="3"/>
  <c r="E112" i="3"/>
  <c r="C113" i="31"/>
  <c r="F113" i="31" s="1"/>
  <c r="A113" i="31"/>
  <c r="B114" i="31"/>
  <c r="G112" i="31"/>
  <c r="H112" i="31"/>
  <c r="D112" i="31"/>
  <c r="F112" i="31"/>
  <c r="E112" i="31"/>
  <c r="C113" i="3"/>
  <c r="G113" i="3" s="1"/>
  <c r="B114" i="3"/>
  <c r="A113" i="3"/>
  <c r="H112" i="3"/>
  <c r="I108" i="13"/>
  <c r="D109" i="13"/>
  <c r="J44" i="31"/>
  <c r="G109" i="24"/>
  <c r="J44" i="3"/>
  <c r="L45" i="31"/>
  <c r="K45" i="3"/>
  <c r="K46" i="31"/>
  <c r="M45" i="3"/>
  <c r="M46" i="31"/>
  <c r="E109" i="13"/>
  <c r="I108" i="19"/>
  <c r="I109" i="22"/>
  <c r="H109" i="13"/>
  <c r="F109" i="13"/>
  <c r="A111" i="27"/>
  <c r="B112" i="27"/>
  <c r="C111" i="27"/>
  <c r="G109" i="23"/>
  <c r="B111" i="21"/>
  <c r="C110" i="21"/>
  <c r="H110" i="21" s="1"/>
  <c r="A110" i="21"/>
  <c r="G110" i="27"/>
  <c r="D110" i="27"/>
  <c r="E110" i="27"/>
  <c r="H110" i="27"/>
  <c r="F110" i="27"/>
  <c r="I109" i="27"/>
  <c r="C111" i="22"/>
  <c r="E111" i="22" s="1"/>
  <c r="A111" i="22"/>
  <c r="B112" i="22"/>
  <c r="H109" i="25"/>
  <c r="F109" i="25"/>
  <c r="D109" i="25"/>
  <c r="F110" i="20"/>
  <c r="E110" i="20"/>
  <c r="F110" i="22"/>
  <c r="D110" i="22"/>
  <c r="E109" i="25"/>
  <c r="H109" i="19"/>
  <c r="F109" i="23"/>
  <c r="H109" i="26"/>
  <c r="D109" i="26"/>
  <c r="E109" i="26"/>
  <c r="F109" i="26"/>
  <c r="G109" i="26"/>
  <c r="G109" i="19"/>
  <c r="B111" i="13"/>
  <c r="C110" i="13"/>
  <c r="H110" i="13" s="1"/>
  <c r="A110" i="13"/>
  <c r="I109" i="20"/>
  <c r="G110" i="22"/>
  <c r="C111" i="20"/>
  <c r="G111" i="20" s="1"/>
  <c r="A111" i="20"/>
  <c r="B112" i="20"/>
  <c r="I108" i="21"/>
  <c r="D109" i="21"/>
  <c r="G109" i="21"/>
  <c r="E109" i="21"/>
  <c r="H109" i="21"/>
  <c r="C110" i="26"/>
  <c r="A110" i="26"/>
  <c r="B111" i="26"/>
  <c r="D109" i="19"/>
  <c r="D109" i="23"/>
  <c r="E109" i="19"/>
  <c r="I108" i="23"/>
  <c r="G109" i="25"/>
  <c r="I108" i="24"/>
  <c r="H109" i="23"/>
  <c r="C110" i="19"/>
  <c r="G110" i="19" s="1"/>
  <c r="B111" i="19"/>
  <c r="A110" i="19"/>
  <c r="E109" i="24"/>
  <c r="D109" i="24"/>
  <c r="F109" i="24"/>
  <c r="B111" i="25"/>
  <c r="C110" i="25"/>
  <c r="A110" i="25"/>
  <c r="H110" i="20"/>
  <c r="I108" i="25"/>
  <c r="C110" i="23"/>
  <c r="H110" i="23" s="1"/>
  <c r="A110" i="23"/>
  <c r="B111" i="23"/>
  <c r="I108" i="26"/>
  <c r="D110" i="20"/>
  <c r="C110" i="24"/>
  <c r="B111" i="24"/>
  <c r="A110" i="24"/>
  <c r="H110" i="22"/>
  <c r="E110" i="22"/>
  <c r="G110" i="20"/>
  <c r="M48" i="31"/>
  <c r="N48" i="31" s="1"/>
  <c r="N48" i="3" s="1"/>
  <c r="E113" i="31" l="1"/>
  <c r="D113" i="3"/>
  <c r="F113" i="3"/>
  <c r="A114" i="3"/>
  <c r="B115" i="3"/>
  <c r="C114" i="3"/>
  <c r="E114" i="3" s="1"/>
  <c r="G113" i="31"/>
  <c r="D113" i="31"/>
  <c r="H113" i="31"/>
  <c r="E113" i="3"/>
  <c r="H113" i="3"/>
  <c r="I112" i="3"/>
  <c r="I112" i="31"/>
  <c r="A114" i="31"/>
  <c r="B115" i="31"/>
  <c r="C114" i="31"/>
  <c r="M47" i="31"/>
  <c r="M47" i="3" s="1"/>
  <c r="M46" i="3"/>
  <c r="J45" i="31"/>
  <c r="L45" i="3"/>
  <c r="J45" i="3" s="1"/>
  <c r="G110" i="13"/>
  <c r="G111" i="22"/>
  <c r="F110" i="13"/>
  <c r="E110" i="21"/>
  <c r="L46" i="31"/>
  <c r="K46" i="3"/>
  <c r="K47" i="31"/>
  <c r="D111" i="22"/>
  <c r="D110" i="13"/>
  <c r="I109" i="13"/>
  <c r="I109" i="19"/>
  <c r="I110" i="20"/>
  <c r="I109" i="21"/>
  <c r="I109" i="25"/>
  <c r="E110" i="13"/>
  <c r="E111" i="20"/>
  <c r="A111" i="24"/>
  <c r="C111" i="24"/>
  <c r="E111" i="24" s="1"/>
  <c r="B112" i="24"/>
  <c r="I110" i="27"/>
  <c r="I110" i="22"/>
  <c r="A112" i="22"/>
  <c r="C112" i="22"/>
  <c r="D112" i="22" s="1"/>
  <c r="B113" i="22"/>
  <c r="A111" i="23"/>
  <c r="B112" i="23"/>
  <c r="C111" i="23"/>
  <c r="E111" i="23" s="1"/>
  <c r="B112" i="19"/>
  <c r="C111" i="19"/>
  <c r="D111" i="19" s="1"/>
  <c r="A111" i="19"/>
  <c r="D110" i="26"/>
  <c r="H110" i="26"/>
  <c r="I109" i="26"/>
  <c r="A112" i="27"/>
  <c r="B113" i="27"/>
  <c r="C112" i="27"/>
  <c r="E112" i="27" s="1"/>
  <c r="F110" i="19"/>
  <c r="F110" i="23"/>
  <c r="H110" i="19"/>
  <c r="F111" i="22"/>
  <c r="I109" i="23"/>
  <c r="F111" i="20"/>
  <c r="H111" i="20"/>
  <c r="D111" i="20"/>
  <c r="C111" i="26"/>
  <c r="D111" i="26" s="1"/>
  <c r="A111" i="26"/>
  <c r="B112" i="26"/>
  <c r="D110" i="24"/>
  <c r="E110" i="24"/>
  <c r="G110" i="24"/>
  <c r="F111" i="27"/>
  <c r="H111" i="27"/>
  <c r="G111" i="27"/>
  <c r="C112" i="20"/>
  <c r="D112" i="20" s="1"/>
  <c r="A112" i="20"/>
  <c r="B113" i="20"/>
  <c r="E110" i="23"/>
  <c r="E110" i="19"/>
  <c r="E111" i="27"/>
  <c r="D111" i="27"/>
  <c r="C111" i="13"/>
  <c r="D111" i="13" s="1"/>
  <c r="B112" i="13"/>
  <c r="A111" i="13"/>
  <c r="D110" i="21"/>
  <c r="F110" i="21"/>
  <c r="G110" i="21"/>
  <c r="G110" i="26"/>
  <c r="D110" i="23"/>
  <c r="G110" i="25"/>
  <c r="E110" i="25"/>
  <c r="D110" i="25"/>
  <c r="H110" i="25"/>
  <c r="F110" i="25"/>
  <c r="D110" i="19"/>
  <c r="F110" i="26"/>
  <c r="E110" i="26"/>
  <c r="C111" i="21"/>
  <c r="B112" i="21"/>
  <c r="A111" i="21"/>
  <c r="F110" i="24"/>
  <c r="I109" i="24"/>
  <c r="G110" i="23"/>
  <c r="B112" i="25"/>
  <c r="A111" i="25"/>
  <c r="C111" i="25"/>
  <c r="F111" i="25" s="1"/>
  <c r="H110" i="24"/>
  <c r="H111" i="22"/>
  <c r="M48" i="3"/>
  <c r="M49" i="31"/>
  <c r="I113" i="3" l="1"/>
  <c r="I113" i="31"/>
  <c r="A115" i="31"/>
  <c r="C115" i="31"/>
  <c r="B116" i="31"/>
  <c r="F114" i="3"/>
  <c r="D114" i="3"/>
  <c r="D114" i="31"/>
  <c r="G114" i="31"/>
  <c r="H114" i="31"/>
  <c r="E114" i="31"/>
  <c r="F114" i="31"/>
  <c r="G114" i="3"/>
  <c r="C115" i="3"/>
  <c r="H115" i="3" s="1"/>
  <c r="B116" i="3"/>
  <c r="A115" i="3"/>
  <c r="H114" i="3"/>
  <c r="J46" i="31"/>
  <c r="L46" i="3"/>
  <c r="J46" i="3" s="1"/>
  <c r="H38" i="2" s="1"/>
  <c r="I110" i="13"/>
  <c r="D111" i="24"/>
  <c r="L47" i="31"/>
  <c r="L47" i="3" s="1"/>
  <c r="K47" i="3"/>
  <c r="K48" i="31"/>
  <c r="F112" i="20"/>
  <c r="F111" i="23"/>
  <c r="E111" i="13"/>
  <c r="H111" i="19"/>
  <c r="G111" i="13"/>
  <c r="F111" i="19"/>
  <c r="I110" i="19"/>
  <c r="G111" i="19"/>
  <c r="I110" i="21"/>
  <c r="I111" i="20"/>
  <c r="H111" i="13"/>
  <c r="F111" i="24"/>
  <c r="H111" i="23"/>
  <c r="D111" i="23"/>
  <c r="F111" i="26"/>
  <c r="A113" i="20"/>
  <c r="C113" i="20"/>
  <c r="D113" i="20" s="1"/>
  <c r="B114" i="20"/>
  <c r="B113" i="13"/>
  <c r="A112" i="13"/>
  <c r="C112" i="13"/>
  <c r="F112" i="13" s="1"/>
  <c r="E111" i="19"/>
  <c r="H111" i="26"/>
  <c r="I110" i="25"/>
  <c r="E111" i="25"/>
  <c r="D111" i="25"/>
  <c r="H111" i="25"/>
  <c r="B113" i="21"/>
  <c r="A112" i="21"/>
  <c r="C112" i="21"/>
  <c r="G112" i="20"/>
  <c r="E112" i="20"/>
  <c r="H112" i="20"/>
  <c r="I110" i="24"/>
  <c r="A112" i="23"/>
  <c r="C112" i="23"/>
  <c r="H112" i="23" s="1"/>
  <c r="B113" i="23"/>
  <c r="B113" i="24"/>
  <c r="C112" i="24"/>
  <c r="A112" i="24"/>
  <c r="E111" i="21"/>
  <c r="G111" i="21"/>
  <c r="F111" i="21"/>
  <c r="D111" i="21"/>
  <c r="H111" i="21"/>
  <c r="I111" i="27"/>
  <c r="E111" i="26"/>
  <c r="I111" i="22"/>
  <c r="B113" i="25"/>
  <c r="A112" i="25"/>
  <c r="C112" i="25"/>
  <c r="I110" i="23"/>
  <c r="F111" i="13"/>
  <c r="G111" i="24"/>
  <c r="B113" i="26"/>
  <c r="A112" i="26"/>
  <c r="C112" i="26"/>
  <c r="G111" i="25"/>
  <c r="C112" i="19"/>
  <c r="E112" i="19" s="1"/>
  <c r="B113" i="19"/>
  <c r="A112" i="19"/>
  <c r="H111" i="24"/>
  <c r="C113" i="27"/>
  <c r="F113" i="27" s="1"/>
  <c r="A113" i="27"/>
  <c r="B114" i="27"/>
  <c r="H112" i="27"/>
  <c r="F112" i="27"/>
  <c r="D112" i="27"/>
  <c r="G112" i="27"/>
  <c r="I110" i="26"/>
  <c r="B114" i="22"/>
  <c r="A113" i="22"/>
  <c r="C113" i="22"/>
  <c r="F113" i="22" s="1"/>
  <c r="G111" i="23"/>
  <c r="F112" i="22"/>
  <c r="E112" i="22"/>
  <c r="G112" i="22"/>
  <c r="H112" i="22"/>
  <c r="G111" i="26"/>
  <c r="M49" i="3"/>
  <c r="M50" i="31"/>
  <c r="N50" i="31" s="1"/>
  <c r="N49" i="31"/>
  <c r="N49" i="3" s="1"/>
  <c r="B117" i="31" l="1"/>
  <c r="A116" i="31"/>
  <c r="C116" i="31"/>
  <c r="E116" i="31" s="1"/>
  <c r="C116" i="3"/>
  <c r="G116" i="3" s="1"/>
  <c r="B117" i="3"/>
  <c r="A116" i="3"/>
  <c r="H115" i="31"/>
  <c r="F115" i="31"/>
  <c r="D115" i="31"/>
  <c r="E115" i="31"/>
  <c r="G115" i="31"/>
  <c r="E115" i="3"/>
  <c r="G115" i="3"/>
  <c r="I114" i="31"/>
  <c r="F115" i="3"/>
  <c r="I114" i="3"/>
  <c r="D115" i="3"/>
  <c r="D113" i="27"/>
  <c r="H112" i="13"/>
  <c r="J47" i="31"/>
  <c r="L48" i="31"/>
  <c r="L48" i="3" s="1"/>
  <c r="J47" i="3"/>
  <c r="K49" i="31"/>
  <c r="K48" i="3"/>
  <c r="G113" i="20"/>
  <c r="G112" i="13"/>
  <c r="H112" i="19"/>
  <c r="F112" i="19"/>
  <c r="I111" i="19"/>
  <c r="I112" i="22"/>
  <c r="I111" i="26"/>
  <c r="I111" i="23"/>
  <c r="I111" i="13"/>
  <c r="I111" i="24"/>
  <c r="I112" i="20"/>
  <c r="D113" i="22"/>
  <c r="H113" i="22"/>
  <c r="G113" i="22"/>
  <c r="C113" i="26"/>
  <c r="B114" i="26"/>
  <c r="A113" i="26"/>
  <c r="E113" i="27"/>
  <c r="G112" i="19"/>
  <c r="E112" i="24"/>
  <c r="G112" i="24"/>
  <c r="D112" i="24"/>
  <c r="F112" i="24"/>
  <c r="H112" i="24"/>
  <c r="H112" i="21"/>
  <c r="D112" i="21"/>
  <c r="E112" i="21"/>
  <c r="G112" i="21"/>
  <c r="F112" i="21"/>
  <c r="H113" i="27"/>
  <c r="D112" i="13"/>
  <c r="E113" i="22"/>
  <c r="A114" i="22"/>
  <c r="C114" i="22"/>
  <c r="E114" i="22" s="1"/>
  <c r="B115" i="22"/>
  <c r="B115" i="27"/>
  <c r="A114" i="27"/>
  <c r="C114" i="27"/>
  <c r="B114" i="24"/>
  <c r="C113" i="24"/>
  <c r="A113" i="24"/>
  <c r="B114" i="19"/>
  <c r="C113" i="19"/>
  <c r="D113" i="19" s="1"/>
  <c r="A113" i="19"/>
  <c r="E112" i="23"/>
  <c r="A113" i="21"/>
  <c r="C113" i="21"/>
  <c r="B114" i="21"/>
  <c r="G112" i="25"/>
  <c r="E112" i="25"/>
  <c r="D112" i="25"/>
  <c r="F112" i="25"/>
  <c r="H112" i="25"/>
  <c r="I111" i="21"/>
  <c r="F112" i="23"/>
  <c r="C113" i="13"/>
  <c r="D113" i="13" s="1"/>
  <c r="A113" i="13"/>
  <c r="B114" i="13"/>
  <c r="I112" i="27"/>
  <c r="D112" i="23"/>
  <c r="I111" i="25"/>
  <c r="C114" i="20"/>
  <c r="B115" i="20"/>
  <c r="A114" i="20"/>
  <c r="C113" i="23"/>
  <c r="H113" i="23" s="1"/>
  <c r="B114" i="23"/>
  <c r="A113" i="23"/>
  <c r="D112" i="19"/>
  <c r="F112" i="26"/>
  <c r="H112" i="26"/>
  <c r="E112" i="26"/>
  <c r="G112" i="26"/>
  <c r="D112" i="26"/>
  <c r="B114" i="25"/>
  <c r="C113" i="25"/>
  <c r="F113" i="25" s="1"/>
  <c r="A113" i="25"/>
  <c r="G112" i="23"/>
  <c r="E112" i="13"/>
  <c r="H113" i="20"/>
  <c r="E113" i="20"/>
  <c r="F113" i="20"/>
  <c r="G113" i="27"/>
  <c r="M50" i="3"/>
  <c r="M51" i="31"/>
  <c r="N50" i="3"/>
  <c r="O50" i="31"/>
  <c r="O50" i="3" s="1"/>
  <c r="L49" i="31" l="1"/>
  <c r="L49" i="3" s="1"/>
  <c r="F114" i="22"/>
  <c r="I115" i="3"/>
  <c r="A117" i="3"/>
  <c r="C117" i="3"/>
  <c r="G117" i="3" s="1"/>
  <c r="B118" i="3"/>
  <c r="I115" i="31"/>
  <c r="D116" i="31"/>
  <c r="F116" i="31"/>
  <c r="G116" i="31"/>
  <c r="H116" i="31"/>
  <c r="E116" i="3"/>
  <c r="D116" i="3"/>
  <c r="H116" i="3"/>
  <c r="F116" i="3"/>
  <c r="A117" i="31"/>
  <c r="B118" i="31"/>
  <c r="C117" i="31"/>
  <c r="D117" i="31" s="1"/>
  <c r="J48" i="3"/>
  <c r="G114" i="22"/>
  <c r="J48" i="31"/>
  <c r="K50" i="31"/>
  <c r="K49" i="3"/>
  <c r="D113" i="23"/>
  <c r="G113" i="13"/>
  <c r="F113" i="13"/>
  <c r="H113" i="13"/>
  <c r="I112" i="19"/>
  <c r="I113" i="20"/>
  <c r="G113" i="23"/>
  <c r="F113" i="23"/>
  <c r="I112" i="25"/>
  <c r="F114" i="20"/>
  <c r="G114" i="20"/>
  <c r="D114" i="20"/>
  <c r="H114" i="20"/>
  <c r="E114" i="20"/>
  <c r="E113" i="24"/>
  <c r="H113" i="24"/>
  <c r="G113" i="24"/>
  <c r="C114" i="19"/>
  <c r="F114" i="19" s="1"/>
  <c r="B115" i="19"/>
  <c r="A114" i="19"/>
  <c r="A114" i="24"/>
  <c r="B115" i="24"/>
  <c r="C114" i="24"/>
  <c r="A114" i="13"/>
  <c r="B115" i="13"/>
  <c r="C114" i="13"/>
  <c r="E114" i="13" s="1"/>
  <c r="G114" i="27"/>
  <c r="D114" i="27"/>
  <c r="E114" i="27"/>
  <c r="F114" i="27"/>
  <c r="I112" i="24"/>
  <c r="I112" i="23"/>
  <c r="I112" i="13"/>
  <c r="H113" i="26"/>
  <c r="F113" i="26"/>
  <c r="H113" i="25"/>
  <c r="D113" i="25"/>
  <c r="G113" i="25"/>
  <c r="H114" i="27"/>
  <c r="C114" i="23"/>
  <c r="G114" i="23" s="1"/>
  <c r="A114" i="23"/>
  <c r="B115" i="23"/>
  <c r="G113" i="26"/>
  <c r="E113" i="19"/>
  <c r="A114" i="21"/>
  <c r="B115" i="21"/>
  <c r="C114" i="21"/>
  <c r="E113" i="21"/>
  <c r="G113" i="21"/>
  <c r="H113" i="21"/>
  <c r="D113" i="21"/>
  <c r="F113" i="21"/>
  <c r="A114" i="25"/>
  <c r="C114" i="25"/>
  <c r="H114" i="25" s="1"/>
  <c r="B115" i="25"/>
  <c r="F113" i="24"/>
  <c r="I113" i="22"/>
  <c r="I112" i="26"/>
  <c r="D113" i="24"/>
  <c r="F113" i="19"/>
  <c r="B116" i="22"/>
  <c r="A115" i="22"/>
  <c r="C115" i="22"/>
  <c r="E113" i="25"/>
  <c r="A114" i="26"/>
  <c r="B115" i="26"/>
  <c r="C114" i="26"/>
  <c r="E113" i="26"/>
  <c r="H113" i="19"/>
  <c r="B116" i="27"/>
  <c r="A115" i="27"/>
  <c r="C115" i="27"/>
  <c r="E115" i="27" s="1"/>
  <c r="E113" i="23"/>
  <c r="B116" i="20"/>
  <c r="A115" i="20"/>
  <c r="C115" i="20"/>
  <c r="E113" i="13"/>
  <c r="G113" i="19"/>
  <c r="D113" i="26"/>
  <c r="H114" i="22"/>
  <c r="D114" i="22"/>
  <c r="I112" i="21"/>
  <c r="I113" i="27"/>
  <c r="M51" i="3"/>
  <c r="M52" i="31"/>
  <c r="N51" i="31"/>
  <c r="L50" i="31" l="1"/>
  <c r="J50" i="31" s="1"/>
  <c r="J49" i="31"/>
  <c r="D117" i="3"/>
  <c r="H117" i="3"/>
  <c r="I116" i="3"/>
  <c r="E117" i="3"/>
  <c r="F117" i="3"/>
  <c r="A118" i="3"/>
  <c r="B119" i="3"/>
  <c r="C118" i="3"/>
  <c r="H118" i="3" s="1"/>
  <c r="F117" i="31"/>
  <c r="H117" i="31"/>
  <c r="E117" i="31"/>
  <c r="C118" i="31"/>
  <c r="B119" i="31"/>
  <c r="A118" i="31"/>
  <c r="I116" i="31"/>
  <c r="G117" i="31"/>
  <c r="J49" i="3"/>
  <c r="K50" i="3"/>
  <c r="K51" i="31"/>
  <c r="D115" i="27"/>
  <c r="I113" i="13"/>
  <c r="D114" i="23"/>
  <c r="F114" i="13"/>
  <c r="D114" i="13"/>
  <c r="I114" i="22"/>
  <c r="I113" i="23"/>
  <c r="H114" i="13"/>
  <c r="I114" i="20"/>
  <c r="H114" i="23"/>
  <c r="I113" i="19"/>
  <c r="E114" i="23"/>
  <c r="F114" i="23"/>
  <c r="A116" i="27"/>
  <c r="B117" i="27"/>
  <c r="C116" i="27"/>
  <c r="F116" i="27" s="1"/>
  <c r="F114" i="21"/>
  <c r="E114" i="21"/>
  <c r="D114" i="21"/>
  <c r="A115" i="19"/>
  <c r="B116" i="19"/>
  <c r="C115" i="19"/>
  <c r="D115" i="19" s="1"/>
  <c r="G114" i="21"/>
  <c r="A116" i="20"/>
  <c r="C116" i="20"/>
  <c r="H116" i="20" s="1"/>
  <c r="B117" i="20"/>
  <c r="D114" i="24"/>
  <c r="E114" i="24"/>
  <c r="C116" i="22"/>
  <c r="E116" i="22" s="1"/>
  <c r="A116" i="22"/>
  <c r="B117" i="22"/>
  <c r="A115" i="21"/>
  <c r="B116" i="21"/>
  <c r="C115" i="21"/>
  <c r="F115" i="21" s="1"/>
  <c r="C115" i="24"/>
  <c r="F115" i="24" s="1"/>
  <c r="B116" i="24"/>
  <c r="A115" i="24"/>
  <c r="I113" i="26"/>
  <c r="E114" i="26"/>
  <c r="G114" i="26"/>
  <c r="H114" i="26"/>
  <c r="A115" i="26"/>
  <c r="C115" i="26"/>
  <c r="B116" i="26"/>
  <c r="F114" i="26"/>
  <c r="C115" i="13"/>
  <c r="E115" i="13" s="1"/>
  <c r="B116" i="13"/>
  <c r="A115" i="13"/>
  <c r="G114" i="19"/>
  <c r="H114" i="21"/>
  <c r="E115" i="22"/>
  <c r="H115" i="22"/>
  <c r="D115" i="22"/>
  <c r="F115" i="22"/>
  <c r="G115" i="22"/>
  <c r="D114" i="25"/>
  <c r="F114" i="25"/>
  <c r="E114" i="25"/>
  <c r="D114" i="19"/>
  <c r="E115" i="20"/>
  <c r="F115" i="20"/>
  <c r="H115" i="20"/>
  <c r="G115" i="20"/>
  <c r="D115" i="20"/>
  <c r="F115" i="27"/>
  <c r="G115" i="27"/>
  <c r="H115" i="27"/>
  <c r="H114" i="24"/>
  <c r="H114" i="19"/>
  <c r="B116" i="25"/>
  <c r="C115" i="25"/>
  <c r="G115" i="25" s="1"/>
  <c r="A115" i="25"/>
  <c r="I113" i="25"/>
  <c r="F114" i="24"/>
  <c r="I113" i="24"/>
  <c r="I113" i="21"/>
  <c r="B116" i="23"/>
  <c r="A115" i="23"/>
  <c r="C115" i="23"/>
  <c r="D115" i="23" s="1"/>
  <c r="I114" i="27"/>
  <c r="G114" i="13"/>
  <c r="G114" i="24"/>
  <c r="E114" i="19"/>
  <c r="G114" i="25"/>
  <c r="D114" i="26"/>
  <c r="M52" i="3"/>
  <c r="M53" i="31"/>
  <c r="N51" i="3"/>
  <c r="O51" i="31"/>
  <c r="N52" i="31"/>
  <c r="N52" i="3" s="1"/>
  <c r="L51" i="31" l="1"/>
  <c r="L51" i="3" s="1"/>
  <c r="L50" i="3"/>
  <c r="J50" i="3" s="1"/>
  <c r="I117" i="3"/>
  <c r="I117" i="31"/>
  <c r="G118" i="31"/>
  <c r="E118" i="31"/>
  <c r="D118" i="31"/>
  <c r="E118" i="3"/>
  <c r="F118" i="31"/>
  <c r="D118" i="3"/>
  <c r="G118" i="3"/>
  <c r="H118" i="31"/>
  <c r="F118" i="3"/>
  <c r="C119" i="3"/>
  <c r="B120" i="3"/>
  <c r="A119" i="3"/>
  <c r="A119" i="31"/>
  <c r="C119" i="31"/>
  <c r="E119" i="31" s="1"/>
  <c r="B120" i="31"/>
  <c r="G115" i="23"/>
  <c r="H115" i="23"/>
  <c r="K52" i="31"/>
  <c r="K51" i="3"/>
  <c r="E115" i="19"/>
  <c r="G115" i="13"/>
  <c r="E116" i="20"/>
  <c r="E115" i="25"/>
  <c r="F115" i="13"/>
  <c r="I114" i="13"/>
  <c r="I114" i="23"/>
  <c r="I114" i="25"/>
  <c r="I114" i="26"/>
  <c r="D116" i="27"/>
  <c r="H115" i="13"/>
  <c r="G116" i="22"/>
  <c r="I115" i="27"/>
  <c r="I114" i="19"/>
  <c r="F115" i="23"/>
  <c r="D115" i="21"/>
  <c r="I115" i="20"/>
  <c r="E116" i="27"/>
  <c r="H116" i="27"/>
  <c r="I114" i="21"/>
  <c r="H115" i="25"/>
  <c r="C116" i="24"/>
  <c r="A116" i="24"/>
  <c r="B117" i="24"/>
  <c r="I115" i="22"/>
  <c r="D115" i="24"/>
  <c r="H115" i="24"/>
  <c r="G115" i="24"/>
  <c r="G115" i="21"/>
  <c r="H115" i="21"/>
  <c r="E115" i="21"/>
  <c r="I114" i="24"/>
  <c r="F115" i="19"/>
  <c r="F115" i="26"/>
  <c r="D115" i="26"/>
  <c r="H115" i="26"/>
  <c r="E115" i="26"/>
  <c r="G115" i="26"/>
  <c r="B117" i="13"/>
  <c r="C116" i="13"/>
  <c r="E116" i="13" s="1"/>
  <c r="A116" i="13"/>
  <c r="B117" i="21"/>
  <c r="A116" i="21"/>
  <c r="C116" i="21"/>
  <c r="H116" i="21" s="1"/>
  <c r="C117" i="20"/>
  <c r="G117" i="20" s="1"/>
  <c r="B118" i="20"/>
  <c r="A117" i="20"/>
  <c r="G115" i="19"/>
  <c r="B117" i="23"/>
  <c r="C116" i="23"/>
  <c r="E116" i="23" s="1"/>
  <c r="A116" i="23"/>
  <c r="D116" i="20"/>
  <c r="G116" i="20"/>
  <c r="H115" i="19"/>
  <c r="B118" i="27"/>
  <c r="A117" i="27"/>
  <c r="C117" i="27"/>
  <c r="B118" i="22"/>
  <c r="C117" i="22"/>
  <c r="G117" i="22" s="1"/>
  <c r="A117" i="22"/>
  <c r="E115" i="23"/>
  <c r="B117" i="25"/>
  <c r="A116" i="25"/>
  <c r="C116" i="25"/>
  <c r="F115" i="25"/>
  <c r="D115" i="13"/>
  <c r="F116" i="20"/>
  <c r="A116" i="19"/>
  <c r="B117" i="19"/>
  <c r="C116" i="19"/>
  <c r="F116" i="19" s="1"/>
  <c r="D115" i="25"/>
  <c r="G116" i="27"/>
  <c r="C116" i="26"/>
  <c r="B117" i="26"/>
  <c r="A116" i="26"/>
  <c r="F116" i="22"/>
  <c r="H116" i="22"/>
  <c r="D116" i="22"/>
  <c r="E115" i="24"/>
  <c r="N53" i="31"/>
  <c r="M53" i="3"/>
  <c r="M54" i="31"/>
  <c r="O51" i="3"/>
  <c r="O52" i="31"/>
  <c r="J51" i="31" l="1"/>
  <c r="L52" i="31"/>
  <c r="L52" i="3" s="1"/>
  <c r="I118" i="31"/>
  <c r="C120" i="3"/>
  <c r="G120" i="3" s="1"/>
  <c r="A120" i="3"/>
  <c r="B121" i="3"/>
  <c r="D119" i="31"/>
  <c r="G119" i="31"/>
  <c r="F119" i="31"/>
  <c r="H119" i="31"/>
  <c r="C120" i="31"/>
  <c r="F120" i="31" s="1"/>
  <c r="B121" i="31"/>
  <c r="A120" i="31"/>
  <c r="I118" i="3"/>
  <c r="H119" i="3"/>
  <c r="E119" i="3"/>
  <c r="D119" i="3"/>
  <c r="G119" i="3"/>
  <c r="F119" i="3"/>
  <c r="F116" i="23"/>
  <c r="G116" i="23"/>
  <c r="J51" i="3"/>
  <c r="K52" i="3"/>
  <c r="K53" i="31"/>
  <c r="I115" i="13"/>
  <c r="I115" i="21"/>
  <c r="I115" i="23"/>
  <c r="I116" i="27"/>
  <c r="H117" i="20"/>
  <c r="I115" i="25"/>
  <c r="H116" i="19"/>
  <c r="D116" i="13"/>
  <c r="E116" i="21"/>
  <c r="D116" i="19"/>
  <c r="G116" i="13"/>
  <c r="G116" i="19"/>
  <c r="F116" i="13"/>
  <c r="E116" i="19"/>
  <c r="D116" i="23"/>
  <c r="I115" i="19"/>
  <c r="F117" i="20"/>
  <c r="E117" i="20"/>
  <c r="I115" i="26"/>
  <c r="F116" i="24"/>
  <c r="E116" i="24"/>
  <c r="C117" i="26"/>
  <c r="A117" i="26"/>
  <c r="B118" i="26"/>
  <c r="I116" i="20"/>
  <c r="D116" i="21"/>
  <c r="F116" i="21"/>
  <c r="C118" i="20"/>
  <c r="E118" i="20" s="1"/>
  <c r="B119" i="20"/>
  <c r="A118" i="20"/>
  <c r="E117" i="22"/>
  <c r="H117" i="22"/>
  <c r="H116" i="25"/>
  <c r="D116" i="25"/>
  <c r="F116" i="25"/>
  <c r="E116" i="25"/>
  <c r="G116" i="25"/>
  <c r="A118" i="22"/>
  <c r="C118" i="22"/>
  <c r="B119" i="22"/>
  <c r="B118" i="23"/>
  <c r="A117" i="23"/>
  <c r="C117" i="23"/>
  <c r="E117" i="23" s="1"/>
  <c r="A117" i="21"/>
  <c r="C117" i="21"/>
  <c r="B118" i="21"/>
  <c r="H116" i="24"/>
  <c r="C117" i="13"/>
  <c r="D117" i="13" s="1"/>
  <c r="B118" i="13"/>
  <c r="A117" i="13"/>
  <c r="G116" i="24"/>
  <c r="D117" i="27"/>
  <c r="F117" i="27"/>
  <c r="G117" i="27"/>
  <c r="H117" i="27"/>
  <c r="E117" i="27"/>
  <c r="D117" i="20"/>
  <c r="D116" i="24"/>
  <c r="I115" i="24"/>
  <c r="D117" i="22"/>
  <c r="A117" i="19"/>
  <c r="B118" i="19"/>
  <c r="C117" i="19"/>
  <c r="E117" i="19" s="1"/>
  <c r="C118" i="27"/>
  <c r="E118" i="27" s="1"/>
  <c r="A118" i="27"/>
  <c r="B119" i="27"/>
  <c r="C117" i="24"/>
  <c r="H117" i="24" s="1"/>
  <c r="A117" i="24"/>
  <c r="B118" i="24"/>
  <c r="F116" i="26"/>
  <c r="H116" i="26"/>
  <c r="G116" i="26"/>
  <c r="D116" i="26"/>
  <c r="E116" i="26"/>
  <c r="I116" i="22"/>
  <c r="F117" i="22"/>
  <c r="A117" i="25"/>
  <c r="B118" i="25"/>
  <c r="C117" i="25"/>
  <c r="H116" i="23"/>
  <c r="H116" i="13"/>
  <c r="G116" i="21"/>
  <c r="N54" i="31"/>
  <c r="N54" i="3" s="1"/>
  <c r="M54" i="3"/>
  <c r="M55" i="31"/>
  <c r="N55" i="31" s="1"/>
  <c r="N55" i="3" s="1"/>
  <c r="O52" i="3"/>
  <c r="O53" i="31"/>
  <c r="N53" i="3"/>
  <c r="L53" i="31" l="1"/>
  <c r="L53" i="3" s="1"/>
  <c r="J52" i="31"/>
  <c r="H120" i="3"/>
  <c r="E120" i="3"/>
  <c r="G120" i="31"/>
  <c r="I119" i="3"/>
  <c r="B122" i="31"/>
  <c r="A121" i="31"/>
  <c r="C121" i="31"/>
  <c r="F121" i="31" s="1"/>
  <c r="I119" i="31"/>
  <c r="D120" i="31"/>
  <c r="F120" i="3"/>
  <c r="D120" i="3"/>
  <c r="A121" i="3"/>
  <c r="C121" i="3"/>
  <c r="B122" i="3"/>
  <c r="H120" i="31"/>
  <c r="E120" i="31"/>
  <c r="D117" i="19"/>
  <c r="F117" i="24"/>
  <c r="G117" i="19"/>
  <c r="F117" i="19"/>
  <c r="J52" i="3"/>
  <c r="K54" i="31"/>
  <c r="K53" i="3"/>
  <c r="D117" i="24"/>
  <c r="I116" i="19"/>
  <c r="G117" i="13"/>
  <c r="F117" i="13"/>
  <c r="I116" i="13"/>
  <c r="H117" i="13"/>
  <c r="I116" i="23"/>
  <c r="E117" i="13"/>
  <c r="I117" i="22"/>
  <c r="H117" i="23"/>
  <c r="H118" i="22"/>
  <c r="G118" i="22"/>
  <c r="D118" i="22"/>
  <c r="E118" i="22"/>
  <c r="F118" i="22"/>
  <c r="H118" i="20"/>
  <c r="H118" i="27"/>
  <c r="G117" i="23"/>
  <c r="I116" i="21"/>
  <c r="B120" i="22"/>
  <c r="A119" i="22"/>
  <c r="C119" i="22"/>
  <c r="H119" i="22" s="1"/>
  <c r="F118" i="27"/>
  <c r="I116" i="24"/>
  <c r="A118" i="13"/>
  <c r="B119" i="13"/>
  <c r="C118" i="13"/>
  <c r="D118" i="13" s="1"/>
  <c r="F117" i="23"/>
  <c r="G118" i="27"/>
  <c r="B119" i="24"/>
  <c r="A118" i="24"/>
  <c r="C118" i="24"/>
  <c r="H117" i="19"/>
  <c r="I117" i="20"/>
  <c r="I117" i="27"/>
  <c r="D117" i="23"/>
  <c r="A118" i="26"/>
  <c r="C118" i="26"/>
  <c r="B119" i="26"/>
  <c r="F118" i="20"/>
  <c r="D118" i="20"/>
  <c r="F117" i="25"/>
  <c r="D117" i="25"/>
  <c r="G117" i="25"/>
  <c r="H117" i="25"/>
  <c r="E117" i="25"/>
  <c r="I116" i="26"/>
  <c r="E117" i="24"/>
  <c r="G117" i="24"/>
  <c r="A118" i="21"/>
  <c r="C118" i="21"/>
  <c r="B119" i="21"/>
  <c r="I116" i="25"/>
  <c r="D117" i="26"/>
  <c r="H117" i="26"/>
  <c r="F117" i="26"/>
  <c r="G117" i="26"/>
  <c r="E117" i="26"/>
  <c r="G118" i="20"/>
  <c r="B119" i="25"/>
  <c r="C118" i="25"/>
  <c r="A118" i="25"/>
  <c r="A119" i="27"/>
  <c r="B120" i="27"/>
  <c r="C119" i="27"/>
  <c r="B119" i="19"/>
  <c r="C118" i="19"/>
  <c r="F118" i="19" s="1"/>
  <c r="A118" i="19"/>
  <c r="H117" i="21"/>
  <c r="E117" i="21"/>
  <c r="F117" i="21"/>
  <c r="D117" i="21"/>
  <c r="G117" i="21"/>
  <c r="C118" i="23"/>
  <c r="F118" i="23" s="1"/>
  <c r="B119" i="23"/>
  <c r="A118" i="23"/>
  <c r="A119" i="20"/>
  <c r="B120" i="20"/>
  <c r="C119" i="20"/>
  <c r="D118" i="27"/>
  <c r="O53" i="3"/>
  <c r="O54" i="31"/>
  <c r="M55" i="3"/>
  <c r="M56" i="31"/>
  <c r="L54" i="31" l="1"/>
  <c r="L54" i="3" s="1"/>
  <c r="J53" i="31"/>
  <c r="E121" i="31"/>
  <c r="G121" i="31"/>
  <c r="D121" i="31"/>
  <c r="I120" i="3"/>
  <c r="I120" i="31"/>
  <c r="A122" i="3"/>
  <c r="C122" i="3"/>
  <c r="B123" i="3"/>
  <c r="H121" i="31"/>
  <c r="H121" i="3"/>
  <c r="F121" i="3"/>
  <c r="D121" i="3"/>
  <c r="E121" i="3"/>
  <c r="G121" i="3"/>
  <c r="C122" i="31"/>
  <c r="B123" i="31"/>
  <c r="A122" i="31"/>
  <c r="H118" i="23"/>
  <c r="J53" i="3"/>
  <c r="I117" i="19"/>
  <c r="D118" i="23"/>
  <c r="F118" i="13"/>
  <c r="H118" i="13"/>
  <c r="G118" i="13"/>
  <c r="K54" i="3"/>
  <c r="K55" i="31"/>
  <c r="E118" i="13"/>
  <c r="D119" i="22"/>
  <c r="I117" i="13"/>
  <c r="I117" i="24"/>
  <c r="E118" i="19"/>
  <c r="H118" i="19"/>
  <c r="F118" i="25"/>
  <c r="H118" i="25"/>
  <c r="D118" i="25"/>
  <c r="E118" i="25"/>
  <c r="G118" i="25"/>
  <c r="I117" i="26"/>
  <c r="C119" i="26"/>
  <c r="F119" i="26" s="1"/>
  <c r="B120" i="26"/>
  <c r="A119" i="26"/>
  <c r="F118" i="24"/>
  <c r="E118" i="24"/>
  <c r="H118" i="24"/>
  <c r="G118" i="24"/>
  <c r="D118" i="24"/>
  <c r="G118" i="23"/>
  <c r="B120" i="25"/>
  <c r="A119" i="25"/>
  <c r="C119" i="25"/>
  <c r="F119" i="25" s="1"/>
  <c r="D118" i="26"/>
  <c r="H118" i="26"/>
  <c r="E118" i="26"/>
  <c r="G118" i="26"/>
  <c r="F118" i="26"/>
  <c r="I118" i="22"/>
  <c r="A119" i="21"/>
  <c r="B120" i="21"/>
  <c r="C119" i="21"/>
  <c r="F119" i="21" s="1"/>
  <c r="A119" i="24"/>
  <c r="B120" i="24"/>
  <c r="C119" i="24"/>
  <c r="D119" i="24" s="1"/>
  <c r="B121" i="22"/>
  <c r="C120" i="22"/>
  <c r="D120" i="22" s="1"/>
  <c r="A120" i="22"/>
  <c r="E119" i="20"/>
  <c r="D119" i="20"/>
  <c r="F119" i="20"/>
  <c r="H119" i="20"/>
  <c r="G119" i="20"/>
  <c r="B120" i="23"/>
  <c r="A119" i="23"/>
  <c r="C119" i="23"/>
  <c r="E119" i="23" s="1"/>
  <c r="B120" i="19"/>
  <c r="C119" i="19"/>
  <c r="E119" i="19" s="1"/>
  <c r="A119" i="19"/>
  <c r="E118" i="21"/>
  <c r="F118" i="21"/>
  <c r="H118" i="21"/>
  <c r="G118" i="21"/>
  <c r="D118" i="21"/>
  <c r="I117" i="25"/>
  <c r="I117" i="23"/>
  <c r="I118" i="27"/>
  <c r="E119" i="27"/>
  <c r="D119" i="27"/>
  <c r="G119" i="27"/>
  <c r="H119" i="27"/>
  <c r="F119" i="27"/>
  <c r="B120" i="13"/>
  <c r="C119" i="13"/>
  <c r="H119" i="13" s="1"/>
  <c r="A119" i="13"/>
  <c r="G118" i="19"/>
  <c r="A120" i="27"/>
  <c r="C120" i="27"/>
  <c r="B121" i="27"/>
  <c r="F119" i="22"/>
  <c r="E119" i="22"/>
  <c r="A120" i="20"/>
  <c r="C120" i="20"/>
  <c r="F120" i="20" s="1"/>
  <c r="B121" i="20"/>
  <c r="E118" i="23"/>
  <c r="I117" i="21"/>
  <c r="D118" i="19"/>
  <c r="I118" i="20"/>
  <c r="G119" i="22"/>
  <c r="O54" i="3"/>
  <c r="O55" i="31"/>
  <c r="M56" i="3"/>
  <c r="M57" i="31"/>
  <c r="N56" i="31"/>
  <c r="N56" i="3" s="1"/>
  <c r="J54" i="31" l="1"/>
  <c r="L55" i="31"/>
  <c r="L55" i="3" s="1"/>
  <c r="I121" i="31"/>
  <c r="C123" i="3"/>
  <c r="H123" i="3" s="1"/>
  <c r="B124" i="3"/>
  <c r="A123" i="3"/>
  <c r="G122" i="31"/>
  <c r="H122" i="31"/>
  <c r="F122" i="31"/>
  <c r="E122" i="31"/>
  <c r="D122" i="31"/>
  <c r="H122" i="3"/>
  <c r="D122" i="3"/>
  <c r="G122" i="3"/>
  <c r="E122" i="3"/>
  <c r="F122" i="3"/>
  <c r="I121" i="3"/>
  <c r="C123" i="31"/>
  <c r="B124" i="31"/>
  <c r="A123" i="31"/>
  <c r="J54" i="3"/>
  <c r="E119" i="24"/>
  <c r="I118" i="13"/>
  <c r="F119" i="23"/>
  <c r="G119" i="19"/>
  <c r="K56" i="31"/>
  <c r="L56" i="31" s="1"/>
  <c r="L56" i="3" s="1"/>
  <c r="K55" i="3"/>
  <c r="G120" i="20"/>
  <c r="F119" i="13"/>
  <c r="F120" i="22"/>
  <c r="D119" i="13"/>
  <c r="G119" i="13"/>
  <c r="F119" i="19"/>
  <c r="I118" i="23"/>
  <c r="I118" i="19"/>
  <c r="I119" i="22"/>
  <c r="I118" i="21"/>
  <c r="D119" i="21"/>
  <c r="E119" i="21"/>
  <c r="G119" i="21"/>
  <c r="I118" i="26"/>
  <c r="I118" i="25"/>
  <c r="B121" i="21"/>
  <c r="C120" i="21"/>
  <c r="A120" i="21"/>
  <c r="H119" i="25"/>
  <c r="E119" i="25"/>
  <c r="G119" i="25"/>
  <c r="D119" i="25"/>
  <c r="A121" i="27"/>
  <c r="B122" i="27"/>
  <c r="C121" i="27"/>
  <c r="G121" i="27" s="1"/>
  <c r="A120" i="23"/>
  <c r="B121" i="23"/>
  <c r="C120" i="23"/>
  <c r="H120" i="23" s="1"/>
  <c r="E120" i="27"/>
  <c r="H120" i="27"/>
  <c r="G120" i="27"/>
  <c r="F120" i="27"/>
  <c r="D120" i="27"/>
  <c r="E119" i="13"/>
  <c r="I119" i="27"/>
  <c r="A120" i="19"/>
  <c r="C120" i="19"/>
  <c r="G120" i="19" s="1"/>
  <c r="B121" i="19"/>
  <c r="H120" i="22"/>
  <c r="G120" i="22"/>
  <c r="A120" i="25"/>
  <c r="B121" i="25"/>
  <c r="C120" i="25"/>
  <c r="B121" i="26"/>
  <c r="A120" i="26"/>
  <c r="C120" i="26"/>
  <c r="H119" i="23"/>
  <c r="C121" i="22"/>
  <c r="F121" i="22" s="1"/>
  <c r="A121" i="22"/>
  <c r="B122" i="22"/>
  <c r="D119" i="26"/>
  <c r="G119" i="26"/>
  <c r="E119" i="26"/>
  <c r="H119" i="26"/>
  <c r="H119" i="21"/>
  <c r="C121" i="20"/>
  <c r="B122" i="20"/>
  <c r="A121" i="20"/>
  <c r="H119" i="19"/>
  <c r="G119" i="23"/>
  <c r="H119" i="24"/>
  <c r="G119" i="24"/>
  <c r="F119" i="24"/>
  <c r="I118" i="24"/>
  <c r="B121" i="13"/>
  <c r="C120" i="13"/>
  <c r="D120" i="13" s="1"/>
  <c r="A120" i="13"/>
  <c r="E120" i="20"/>
  <c r="H120" i="20"/>
  <c r="D120" i="20"/>
  <c r="D119" i="19"/>
  <c r="D119" i="23"/>
  <c r="I119" i="20"/>
  <c r="C120" i="24"/>
  <c r="A120" i="24"/>
  <c r="B121" i="24"/>
  <c r="E120" i="22"/>
  <c r="N57" i="31"/>
  <c r="N57" i="3" s="1"/>
  <c r="O55" i="3"/>
  <c r="O56" i="31"/>
  <c r="O56" i="3" s="1"/>
  <c r="M57" i="3"/>
  <c r="M58" i="31"/>
  <c r="J55" i="31" l="1"/>
  <c r="F123" i="3"/>
  <c r="D123" i="31"/>
  <c r="G123" i="31"/>
  <c r="H123" i="31"/>
  <c r="F123" i="31"/>
  <c r="E123" i="31"/>
  <c r="I122" i="31"/>
  <c r="B125" i="31"/>
  <c r="A124" i="31"/>
  <c r="C124" i="31"/>
  <c r="H124" i="31" s="1"/>
  <c r="B125" i="3"/>
  <c r="C124" i="3"/>
  <c r="A124" i="3"/>
  <c r="I122" i="3"/>
  <c r="G123" i="3"/>
  <c r="D123" i="3"/>
  <c r="E123" i="3"/>
  <c r="D120" i="19"/>
  <c r="J55" i="3"/>
  <c r="K57" i="31"/>
  <c r="L57" i="31" s="1"/>
  <c r="L57" i="3" s="1"/>
  <c r="K56" i="3"/>
  <c r="J56" i="3" s="1"/>
  <c r="I119" i="13"/>
  <c r="I119" i="23"/>
  <c r="I119" i="19"/>
  <c r="I119" i="24"/>
  <c r="I120" i="22"/>
  <c r="E120" i="23"/>
  <c r="I119" i="25"/>
  <c r="D120" i="23"/>
  <c r="I119" i="26"/>
  <c r="E120" i="19"/>
  <c r="I120" i="27"/>
  <c r="H120" i="19"/>
  <c r="H120" i="26"/>
  <c r="F120" i="26"/>
  <c r="D120" i="26"/>
  <c r="E120" i="26"/>
  <c r="G120" i="26"/>
  <c r="A121" i="13"/>
  <c r="C121" i="13"/>
  <c r="E121" i="13" s="1"/>
  <c r="B122" i="13"/>
  <c r="A122" i="20"/>
  <c r="B123" i="20"/>
  <c r="C122" i="20"/>
  <c r="D122" i="20" s="1"/>
  <c r="A122" i="22"/>
  <c r="C122" i="22"/>
  <c r="D122" i="22" s="1"/>
  <c r="B123" i="22"/>
  <c r="F120" i="24"/>
  <c r="E120" i="24"/>
  <c r="G120" i="24"/>
  <c r="D120" i="24"/>
  <c r="H120" i="24"/>
  <c r="F121" i="20"/>
  <c r="H121" i="20"/>
  <c r="D121" i="20"/>
  <c r="G121" i="20"/>
  <c r="E121" i="20"/>
  <c r="A121" i="26"/>
  <c r="C121" i="26"/>
  <c r="B122" i="26"/>
  <c r="F120" i="19"/>
  <c r="A121" i="24"/>
  <c r="B122" i="24"/>
  <c r="C121" i="24"/>
  <c r="E121" i="24" s="1"/>
  <c r="G120" i="13"/>
  <c r="H121" i="22"/>
  <c r="E121" i="22"/>
  <c r="D121" i="22"/>
  <c r="F120" i="25"/>
  <c r="E120" i="25"/>
  <c r="G120" i="25"/>
  <c r="D120" i="25"/>
  <c r="H120" i="25"/>
  <c r="A121" i="23"/>
  <c r="C121" i="23"/>
  <c r="D121" i="23" s="1"/>
  <c r="B122" i="23"/>
  <c r="F120" i="13"/>
  <c r="C121" i="25"/>
  <c r="A121" i="25"/>
  <c r="B122" i="25"/>
  <c r="B122" i="19"/>
  <c r="C121" i="19"/>
  <c r="F121" i="19" s="1"/>
  <c r="A121" i="19"/>
  <c r="I119" i="21"/>
  <c r="H121" i="27"/>
  <c r="D121" i="27"/>
  <c r="E121" i="27"/>
  <c r="F121" i="27"/>
  <c r="F120" i="21"/>
  <c r="E120" i="21"/>
  <c r="H120" i="21"/>
  <c r="D120" i="21"/>
  <c r="G120" i="21"/>
  <c r="I120" i="20"/>
  <c r="E120" i="13"/>
  <c r="F120" i="23"/>
  <c r="A122" i="27"/>
  <c r="C122" i="27"/>
  <c r="B123" i="27"/>
  <c r="C121" i="21"/>
  <c r="B122" i="21"/>
  <c r="A121" i="21"/>
  <c r="H120" i="13"/>
  <c r="G120" i="23"/>
  <c r="G121" i="22"/>
  <c r="N58" i="31"/>
  <c r="N58" i="3" s="1"/>
  <c r="O57" i="31"/>
  <c r="O57" i="3" s="1"/>
  <c r="J56" i="31"/>
  <c r="M58" i="3"/>
  <c r="M59" i="31"/>
  <c r="M59" i="3" s="1"/>
  <c r="O58" i="31"/>
  <c r="O58" i="3" s="1"/>
  <c r="E124" i="31" l="1"/>
  <c r="D124" i="31"/>
  <c r="I123" i="3"/>
  <c r="F124" i="31"/>
  <c r="F124" i="3"/>
  <c r="E124" i="3"/>
  <c r="G124" i="3"/>
  <c r="H124" i="3"/>
  <c r="D124" i="3"/>
  <c r="G124" i="31"/>
  <c r="I123" i="31"/>
  <c r="C125" i="31"/>
  <c r="H125" i="31" s="1"/>
  <c r="A125" i="31"/>
  <c r="B126" i="31"/>
  <c r="A125" i="3"/>
  <c r="C125" i="3"/>
  <c r="B126" i="3"/>
  <c r="H122" i="20"/>
  <c r="F121" i="13"/>
  <c r="K57" i="3"/>
  <c r="J57" i="3" s="1"/>
  <c r="K58" i="31"/>
  <c r="L58" i="31" s="1"/>
  <c r="H121" i="24"/>
  <c r="I120" i="19"/>
  <c r="D121" i="19"/>
  <c r="E121" i="19"/>
  <c r="E122" i="20"/>
  <c r="I120" i="23"/>
  <c r="H121" i="19"/>
  <c r="I120" i="13"/>
  <c r="G121" i="19"/>
  <c r="E121" i="23"/>
  <c r="H121" i="13"/>
  <c r="I121" i="22"/>
  <c r="G121" i="13"/>
  <c r="C122" i="25"/>
  <c r="D122" i="25" s="1"/>
  <c r="B123" i="25"/>
  <c r="A122" i="25"/>
  <c r="B123" i="24"/>
  <c r="A122" i="24"/>
  <c r="C122" i="24"/>
  <c r="F122" i="24" s="1"/>
  <c r="I121" i="20"/>
  <c r="I120" i="26"/>
  <c r="E121" i="25"/>
  <c r="H121" i="25"/>
  <c r="G121" i="25"/>
  <c r="D121" i="25"/>
  <c r="F121" i="25"/>
  <c r="A123" i="22"/>
  <c r="B124" i="22"/>
  <c r="C123" i="22"/>
  <c r="D121" i="13"/>
  <c r="F121" i="21"/>
  <c r="D121" i="21"/>
  <c r="E121" i="21"/>
  <c r="H121" i="21"/>
  <c r="G121" i="21"/>
  <c r="H121" i="23"/>
  <c r="C122" i="26"/>
  <c r="A122" i="26"/>
  <c r="B123" i="26"/>
  <c r="B123" i="13"/>
  <c r="C122" i="13"/>
  <c r="E122" i="13" s="1"/>
  <c r="A122" i="13"/>
  <c r="A122" i="21"/>
  <c r="B123" i="21"/>
  <c r="C122" i="21"/>
  <c r="G122" i="22"/>
  <c r="H122" i="22"/>
  <c r="E122" i="22"/>
  <c r="B124" i="27"/>
  <c r="A123" i="27"/>
  <c r="C123" i="27"/>
  <c r="D123" i="27" s="1"/>
  <c r="I120" i="21"/>
  <c r="G121" i="24"/>
  <c r="F121" i="23"/>
  <c r="I120" i="25"/>
  <c r="H121" i="26"/>
  <c r="D121" i="26"/>
  <c r="E121" i="26"/>
  <c r="G121" i="26"/>
  <c r="F121" i="26"/>
  <c r="I120" i="24"/>
  <c r="F122" i="20"/>
  <c r="G122" i="20"/>
  <c r="F121" i="24"/>
  <c r="B123" i="19"/>
  <c r="C122" i="19"/>
  <c r="G122" i="19" s="1"/>
  <c r="A122" i="19"/>
  <c r="B123" i="23"/>
  <c r="A122" i="23"/>
  <c r="C122" i="23"/>
  <c r="D122" i="23" s="1"/>
  <c r="I121" i="27"/>
  <c r="D122" i="27"/>
  <c r="H122" i="27"/>
  <c r="G122" i="27"/>
  <c r="F122" i="27"/>
  <c r="E122" i="27"/>
  <c r="F122" i="22"/>
  <c r="G121" i="23"/>
  <c r="D121" i="24"/>
  <c r="A123" i="20"/>
  <c r="C123" i="20"/>
  <c r="B124" i="20"/>
  <c r="J57" i="31"/>
  <c r="N59" i="31"/>
  <c r="M60" i="31"/>
  <c r="E125" i="31" l="1"/>
  <c r="I124" i="31"/>
  <c r="H122" i="25"/>
  <c r="I124" i="3"/>
  <c r="B127" i="3"/>
  <c r="A126" i="3"/>
  <c r="C126" i="3"/>
  <c r="F126" i="3" s="1"/>
  <c r="B127" i="31"/>
  <c r="A126" i="31"/>
  <c r="C126" i="31"/>
  <c r="F126" i="31" s="1"/>
  <c r="F125" i="31"/>
  <c r="G125" i="31"/>
  <c r="F125" i="3"/>
  <c r="G125" i="3"/>
  <c r="H125" i="3"/>
  <c r="E125" i="3"/>
  <c r="D125" i="3"/>
  <c r="D125" i="31"/>
  <c r="G122" i="24"/>
  <c r="E122" i="24"/>
  <c r="H122" i="13"/>
  <c r="D122" i="13"/>
  <c r="L58" i="3"/>
  <c r="J58" i="31"/>
  <c r="K59" i="31"/>
  <c r="L59" i="31" s="1"/>
  <c r="L59" i="3" s="1"/>
  <c r="K58" i="3"/>
  <c r="I122" i="20"/>
  <c r="I121" i="19"/>
  <c r="I121" i="13"/>
  <c r="I122" i="22"/>
  <c r="F122" i="13"/>
  <c r="I121" i="23"/>
  <c r="B125" i="20"/>
  <c r="C124" i="20"/>
  <c r="H124" i="20" s="1"/>
  <c r="A124" i="20"/>
  <c r="C124" i="27"/>
  <c r="E124" i="27" s="1"/>
  <c r="A124" i="27"/>
  <c r="B125" i="27"/>
  <c r="I121" i="24"/>
  <c r="D122" i="19"/>
  <c r="G122" i="13"/>
  <c r="H123" i="22"/>
  <c r="F123" i="22"/>
  <c r="E123" i="22"/>
  <c r="D123" i="22"/>
  <c r="G123" i="22"/>
  <c r="E122" i="25"/>
  <c r="F122" i="25"/>
  <c r="G122" i="25"/>
  <c r="H123" i="20"/>
  <c r="D123" i="20"/>
  <c r="F123" i="20"/>
  <c r="G123" i="20"/>
  <c r="E123" i="20"/>
  <c r="A123" i="25"/>
  <c r="B124" i="25"/>
  <c r="C123" i="25"/>
  <c r="H122" i="23"/>
  <c r="E122" i="19"/>
  <c r="A124" i="22"/>
  <c r="B125" i="22"/>
  <c r="C124" i="22"/>
  <c r="I121" i="26"/>
  <c r="I122" i="27"/>
  <c r="E122" i="23"/>
  <c r="H122" i="19"/>
  <c r="D122" i="21"/>
  <c r="G122" i="21"/>
  <c r="H122" i="21"/>
  <c r="F122" i="21"/>
  <c r="E122" i="21"/>
  <c r="F122" i="23"/>
  <c r="F122" i="19"/>
  <c r="B124" i="21"/>
  <c r="A123" i="21"/>
  <c r="C123" i="21"/>
  <c r="C123" i="13"/>
  <c r="D123" i="13" s="1"/>
  <c r="A123" i="13"/>
  <c r="B124" i="13"/>
  <c r="I121" i="21"/>
  <c r="D122" i="24"/>
  <c r="H122" i="24"/>
  <c r="A123" i="19"/>
  <c r="B124" i="19"/>
  <c r="C123" i="19"/>
  <c r="G123" i="19" s="1"/>
  <c r="H122" i="26"/>
  <c r="E122" i="26"/>
  <c r="G122" i="26"/>
  <c r="F122" i="26"/>
  <c r="D122" i="26"/>
  <c r="A123" i="23"/>
  <c r="B124" i="23"/>
  <c r="C123" i="23"/>
  <c r="F123" i="23" s="1"/>
  <c r="G122" i="23"/>
  <c r="F123" i="27"/>
  <c r="E123" i="27"/>
  <c r="G123" i="27"/>
  <c r="A123" i="26"/>
  <c r="B124" i="26"/>
  <c r="C123" i="26"/>
  <c r="I121" i="25"/>
  <c r="B124" i="24"/>
  <c r="C123" i="24"/>
  <c r="A123" i="24"/>
  <c r="H123" i="27"/>
  <c r="N60" i="31"/>
  <c r="N60" i="3" s="1"/>
  <c r="N59" i="3"/>
  <c r="O59" i="31"/>
  <c r="M60" i="3"/>
  <c r="M61" i="31"/>
  <c r="I125" i="3" l="1"/>
  <c r="E126" i="3"/>
  <c r="D126" i="3"/>
  <c r="E126" i="31"/>
  <c r="G126" i="31"/>
  <c r="H126" i="31"/>
  <c r="D126" i="31"/>
  <c r="H126" i="3"/>
  <c r="B128" i="3"/>
  <c r="C127" i="3"/>
  <c r="F127" i="3" s="1"/>
  <c r="A127" i="3"/>
  <c r="I125" i="31"/>
  <c r="G126" i="3"/>
  <c r="B128" i="31"/>
  <c r="A127" i="31"/>
  <c r="C127" i="31"/>
  <c r="G124" i="27"/>
  <c r="G124" i="20"/>
  <c r="D124" i="20"/>
  <c r="J58" i="3"/>
  <c r="H39" i="2" s="1"/>
  <c r="K59" i="3"/>
  <c r="K60" i="31"/>
  <c r="L60" i="31" s="1"/>
  <c r="L60" i="3" s="1"/>
  <c r="H123" i="23"/>
  <c r="D123" i="19"/>
  <c r="F124" i="20"/>
  <c r="I122" i="13"/>
  <c r="E124" i="20"/>
  <c r="I122" i="19"/>
  <c r="I122" i="24"/>
  <c r="I122" i="23"/>
  <c r="I123" i="27"/>
  <c r="E123" i="23"/>
  <c r="I123" i="22"/>
  <c r="F123" i="26"/>
  <c r="G123" i="26"/>
  <c r="D123" i="26"/>
  <c r="E123" i="26"/>
  <c r="H123" i="26"/>
  <c r="E123" i="19"/>
  <c r="H123" i="13"/>
  <c r="H123" i="21"/>
  <c r="G123" i="21"/>
  <c r="D123" i="21"/>
  <c r="E123" i="21"/>
  <c r="F123" i="21"/>
  <c r="B125" i="26"/>
  <c r="C124" i="26"/>
  <c r="H124" i="26" s="1"/>
  <c r="A124" i="26"/>
  <c r="I122" i="26"/>
  <c r="H123" i="19"/>
  <c r="G123" i="13"/>
  <c r="H123" i="25"/>
  <c r="F123" i="25"/>
  <c r="G123" i="25"/>
  <c r="E123" i="25"/>
  <c r="I123" i="20"/>
  <c r="D124" i="27"/>
  <c r="H124" i="27"/>
  <c r="C124" i="23"/>
  <c r="H124" i="23" s="1"/>
  <c r="A124" i="23"/>
  <c r="B125" i="23"/>
  <c r="F123" i="13"/>
  <c r="A124" i="21"/>
  <c r="C124" i="21"/>
  <c r="H124" i="21" s="1"/>
  <c r="B125" i="21"/>
  <c r="I122" i="21"/>
  <c r="G124" i="22"/>
  <c r="F124" i="22"/>
  <c r="D124" i="22"/>
  <c r="H124" i="22"/>
  <c r="E124" i="22"/>
  <c r="C124" i="25"/>
  <c r="G124" i="25" s="1"/>
  <c r="A124" i="25"/>
  <c r="B125" i="25"/>
  <c r="D123" i="23"/>
  <c r="A124" i="19"/>
  <c r="C124" i="19"/>
  <c r="E124" i="19" s="1"/>
  <c r="B125" i="19"/>
  <c r="E123" i="13"/>
  <c r="A125" i="22"/>
  <c r="B126" i="22"/>
  <c r="C125" i="22"/>
  <c r="C125" i="20"/>
  <c r="B126" i="20"/>
  <c r="A125" i="20"/>
  <c r="E123" i="24"/>
  <c r="D123" i="24"/>
  <c r="F123" i="24"/>
  <c r="H123" i="24"/>
  <c r="G123" i="24"/>
  <c r="G123" i="23"/>
  <c r="C124" i="13"/>
  <c r="E124" i="13" s="1"/>
  <c r="B125" i="13"/>
  <c r="A124" i="13"/>
  <c r="D123" i="25"/>
  <c r="I122" i="25"/>
  <c r="C124" i="24"/>
  <c r="H124" i="24" s="1"/>
  <c r="B125" i="24"/>
  <c r="A124" i="24"/>
  <c r="F123" i="19"/>
  <c r="F124" i="27"/>
  <c r="B126" i="27"/>
  <c r="A125" i="27"/>
  <c r="C125" i="27"/>
  <c r="M61" i="3"/>
  <c r="M62" i="31"/>
  <c r="N61" i="31"/>
  <c r="N61" i="3" s="1"/>
  <c r="O59" i="3"/>
  <c r="O60" i="31"/>
  <c r="P59" i="31"/>
  <c r="H127" i="3" l="1"/>
  <c r="I126" i="31"/>
  <c r="B129" i="3"/>
  <c r="A128" i="3"/>
  <c r="C128" i="3"/>
  <c r="H128" i="3" s="1"/>
  <c r="F127" i="31"/>
  <c r="G127" i="31"/>
  <c r="H127" i="31"/>
  <c r="E127" i="31"/>
  <c r="D127" i="31"/>
  <c r="C128" i="31"/>
  <c r="B129" i="31"/>
  <c r="A128" i="31"/>
  <c r="E127" i="3"/>
  <c r="D127" i="3"/>
  <c r="G127" i="3"/>
  <c r="I126" i="3"/>
  <c r="K60" i="3"/>
  <c r="K61" i="31"/>
  <c r="L61" i="31" s="1"/>
  <c r="L61" i="3" s="1"/>
  <c r="I124" i="20"/>
  <c r="I123" i="19"/>
  <c r="I123" i="23"/>
  <c r="F124" i="24"/>
  <c r="D124" i="25"/>
  <c r="I123" i="13"/>
  <c r="H124" i="25"/>
  <c r="A126" i="22"/>
  <c r="C126" i="22"/>
  <c r="D126" i="22" s="1"/>
  <c r="B127" i="22"/>
  <c r="I123" i="26"/>
  <c r="I123" i="25"/>
  <c r="H124" i="19"/>
  <c r="I123" i="21"/>
  <c r="C125" i="13"/>
  <c r="F125" i="13" s="1"/>
  <c r="B126" i="13"/>
  <c r="A125" i="13"/>
  <c r="I124" i="22"/>
  <c r="G124" i="13"/>
  <c r="D124" i="19"/>
  <c r="A125" i="25"/>
  <c r="B126" i="25"/>
  <c r="C125" i="25"/>
  <c r="F124" i="23"/>
  <c r="I124" i="27"/>
  <c r="C125" i="23"/>
  <c r="H125" i="23" s="1"/>
  <c r="B126" i="23"/>
  <c r="A125" i="23"/>
  <c r="C126" i="27"/>
  <c r="H126" i="27" s="1"/>
  <c r="B127" i="27"/>
  <c r="A126" i="27"/>
  <c r="B127" i="20"/>
  <c r="A126" i="20"/>
  <c r="C126" i="20"/>
  <c r="F126" i="20" s="1"/>
  <c r="G124" i="19"/>
  <c r="D124" i="24"/>
  <c r="E124" i="24"/>
  <c r="D124" i="13"/>
  <c r="E125" i="20"/>
  <c r="F125" i="20"/>
  <c r="G125" i="20"/>
  <c r="H125" i="20"/>
  <c r="D125" i="20"/>
  <c r="F124" i="19"/>
  <c r="F124" i="25"/>
  <c r="E124" i="25"/>
  <c r="F124" i="21"/>
  <c r="G124" i="21"/>
  <c r="E124" i="21"/>
  <c r="D124" i="21"/>
  <c r="G124" i="23"/>
  <c r="D124" i="26"/>
  <c r="G124" i="26"/>
  <c r="F124" i="26"/>
  <c r="E124" i="26"/>
  <c r="C125" i="24"/>
  <c r="E125" i="24" s="1"/>
  <c r="B126" i="24"/>
  <c r="A125" i="24"/>
  <c r="H124" i="13"/>
  <c r="B126" i="21"/>
  <c r="C125" i="21"/>
  <c r="A125" i="21"/>
  <c r="E124" i="23"/>
  <c r="E125" i="27"/>
  <c r="D125" i="27"/>
  <c r="H125" i="27"/>
  <c r="G125" i="27"/>
  <c r="F125" i="27"/>
  <c r="F124" i="13"/>
  <c r="I123" i="24"/>
  <c r="E125" i="22"/>
  <c r="G125" i="22"/>
  <c r="F125" i="22"/>
  <c r="H125" i="22"/>
  <c r="D125" i="22"/>
  <c r="A125" i="19"/>
  <c r="B126" i="19"/>
  <c r="C125" i="19"/>
  <c r="D125" i="19" s="1"/>
  <c r="D124" i="23"/>
  <c r="A125" i="26"/>
  <c r="C125" i="26"/>
  <c r="B126" i="26"/>
  <c r="G124" i="24"/>
  <c r="O60" i="3"/>
  <c r="O61" i="31"/>
  <c r="M62" i="3"/>
  <c r="M63" i="31"/>
  <c r="P59" i="3"/>
  <c r="J59" i="3" s="1"/>
  <c r="P60" i="31"/>
  <c r="P60" i="3" s="1"/>
  <c r="N62" i="31"/>
  <c r="J59" i="31"/>
  <c r="Q63" i="31"/>
  <c r="Q63" i="3" s="1"/>
  <c r="F128" i="3" l="1"/>
  <c r="I127" i="3"/>
  <c r="I127" i="31"/>
  <c r="F128" i="31"/>
  <c r="E128" i="31"/>
  <c r="G128" i="31"/>
  <c r="H128" i="31"/>
  <c r="D128" i="31"/>
  <c r="A129" i="3"/>
  <c r="B130" i="3"/>
  <c r="C129" i="3"/>
  <c r="E129" i="3" s="1"/>
  <c r="A129" i="31"/>
  <c r="C129" i="31"/>
  <c r="B130" i="31"/>
  <c r="D128" i="3"/>
  <c r="E128" i="3"/>
  <c r="G128" i="3"/>
  <c r="E126" i="20"/>
  <c r="D126" i="27"/>
  <c r="H126" i="22"/>
  <c r="K61" i="3"/>
  <c r="K62" i="31"/>
  <c r="L62" i="31" s="1"/>
  <c r="L62" i="3" s="1"/>
  <c r="G126" i="22"/>
  <c r="F126" i="22"/>
  <c r="I125" i="22"/>
  <c r="D125" i="23"/>
  <c r="E126" i="22"/>
  <c r="F125" i="23"/>
  <c r="E125" i="23"/>
  <c r="I124" i="21"/>
  <c r="G125" i="23"/>
  <c r="H125" i="26"/>
  <c r="D125" i="26"/>
  <c r="E125" i="26"/>
  <c r="F125" i="26"/>
  <c r="G125" i="26"/>
  <c r="C126" i="19"/>
  <c r="D126" i="19" s="1"/>
  <c r="B127" i="19"/>
  <c r="A126" i="19"/>
  <c r="E125" i="25"/>
  <c r="G125" i="25"/>
  <c r="F125" i="25"/>
  <c r="H125" i="25"/>
  <c r="D125" i="25"/>
  <c r="D126" i="20"/>
  <c r="H126" i="20"/>
  <c r="G126" i="20"/>
  <c r="B127" i="25"/>
  <c r="C126" i="25"/>
  <c r="A126" i="25"/>
  <c r="C126" i="26"/>
  <c r="G126" i="26" s="1"/>
  <c r="B127" i="26"/>
  <c r="A126" i="26"/>
  <c r="I124" i="23"/>
  <c r="F125" i="21"/>
  <c r="D125" i="21"/>
  <c r="H125" i="21"/>
  <c r="G125" i="21"/>
  <c r="H125" i="13"/>
  <c r="A127" i="22"/>
  <c r="B128" i="22"/>
  <c r="C127" i="22"/>
  <c r="G127" i="22" s="1"/>
  <c r="F125" i="19"/>
  <c r="B127" i="21"/>
  <c r="C126" i="21"/>
  <c r="A126" i="21"/>
  <c r="I124" i="25"/>
  <c r="I124" i="13"/>
  <c r="A127" i="20"/>
  <c r="B128" i="20"/>
  <c r="C127" i="20"/>
  <c r="I124" i="19"/>
  <c r="G125" i="13"/>
  <c r="H125" i="24"/>
  <c r="D125" i="24"/>
  <c r="F125" i="24"/>
  <c r="E125" i="13"/>
  <c r="G125" i="19"/>
  <c r="I124" i="26"/>
  <c r="I124" i="24"/>
  <c r="C127" i="27"/>
  <c r="A127" i="27"/>
  <c r="B128" i="27"/>
  <c r="D125" i="13"/>
  <c r="G125" i="24"/>
  <c r="H125" i="19"/>
  <c r="I125" i="27"/>
  <c r="C126" i="23"/>
  <c r="F126" i="23" s="1"/>
  <c r="B127" i="23"/>
  <c r="A126" i="23"/>
  <c r="E125" i="19"/>
  <c r="B127" i="24"/>
  <c r="A126" i="24"/>
  <c r="C126" i="24"/>
  <c r="I125" i="20"/>
  <c r="E126" i="27"/>
  <c r="F126" i="27"/>
  <c r="G126" i="27"/>
  <c r="B127" i="13"/>
  <c r="C126" i="13"/>
  <c r="D126" i="13" s="1"/>
  <c r="A126" i="13"/>
  <c r="E125" i="21"/>
  <c r="N63" i="31"/>
  <c r="N63" i="3" s="1"/>
  <c r="J60" i="3"/>
  <c r="P61" i="31"/>
  <c r="P61" i="3" s="1"/>
  <c r="N62" i="3"/>
  <c r="O61" i="3"/>
  <c r="O62" i="31"/>
  <c r="O62" i="3" s="1"/>
  <c r="M63" i="3"/>
  <c r="M64" i="31"/>
  <c r="J60" i="31"/>
  <c r="Q64" i="31"/>
  <c r="Q64" i="3" s="1"/>
  <c r="I128" i="31" l="1"/>
  <c r="D129" i="3"/>
  <c r="H129" i="31"/>
  <c r="E129" i="31"/>
  <c r="D129" i="31"/>
  <c r="G129" i="31"/>
  <c r="F129" i="31"/>
  <c r="I128" i="3"/>
  <c r="G129" i="3"/>
  <c r="F129" i="3"/>
  <c r="C130" i="3"/>
  <c r="H130" i="3" s="1"/>
  <c r="A130" i="3"/>
  <c r="B131" i="3"/>
  <c r="A130" i="31"/>
  <c r="B131" i="31"/>
  <c r="C130" i="31"/>
  <c r="H129" i="3"/>
  <c r="K63" i="31"/>
  <c r="L63" i="31" s="1"/>
  <c r="L63" i="3" s="1"/>
  <c r="K62" i="3"/>
  <c r="D126" i="26"/>
  <c r="I126" i="22"/>
  <c r="D127" i="22"/>
  <c r="I125" i="19"/>
  <c r="I125" i="23"/>
  <c r="B128" i="13"/>
  <c r="C127" i="13"/>
  <c r="G127" i="13" s="1"/>
  <c r="A127" i="13"/>
  <c r="A128" i="20"/>
  <c r="B129" i="20"/>
  <c r="C128" i="20"/>
  <c r="F128" i="20" s="1"/>
  <c r="C127" i="25"/>
  <c r="G127" i="25" s="1"/>
  <c r="B128" i="25"/>
  <c r="A127" i="25"/>
  <c r="G126" i="13"/>
  <c r="A128" i="27"/>
  <c r="C128" i="27"/>
  <c r="G128" i="27" s="1"/>
  <c r="B129" i="27"/>
  <c r="I125" i="24"/>
  <c r="A128" i="22"/>
  <c r="B129" i="22"/>
  <c r="C128" i="22"/>
  <c r="F126" i="19"/>
  <c r="A127" i="24"/>
  <c r="B128" i="24"/>
  <c r="C127" i="24"/>
  <c r="E127" i="24" s="1"/>
  <c r="C127" i="23"/>
  <c r="D127" i="23" s="1"/>
  <c r="A127" i="23"/>
  <c r="B128" i="23"/>
  <c r="F127" i="22"/>
  <c r="E127" i="22"/>
  <c r="E126" i="19"/>
  <c r="F126" i="13"/>
  <c r="I126" i="27"/>
  <c r="H126" i="23"/>
  <c r="I126" i="20"/>
  <c r="G126" i="19"/>
  <c r="I125" i="26"/>
  <c r="E127" i="20"/>
  <c r="H127" i="20"/>
  <c r="G127" i="20"/>
  <c r="F127" i="20"/>
  <c r="D127" i="20"/>
  <c r="H126" i="13"/>
  <c r="G127" i="27"/>
  <c r="E127" i="27"/>
  <c r="D127" i="27"/>
  <c r="F127" i="27"/>
  <c r="H127" i="27"/>
  <c r="C127" i="26"/>
  <c r="F127" i="26" s="1"/>
  <c r="B128" i="26"/>
  <c r="A127" i="26"/>
  <c r="I125" i="25"/>
  <c r="H126" i="19"/>
  <c r="E126" i="13"/>
  <c r="F126" i="24"/>
  <c r="G126" i="24"/>
  <c r="H126" i="24"/>
  <c r="E126" i="24"/>
  <c r="D126" i="24"/>
  <c r="E126" i="23"/>
  <c r="H126" i="21"/>
  <c r="E126" i="21"/>
  <c r="G126" i="21"/>
  <c r="D126" i="21"/>
  <c r="F126" i="21"/>
  <c r="F126" i="26"/>
  <c r="E126" i="26"/>
  <c r="H126" i="26"/>
  <c r="E126" i="25"/>
  <c r="F126" i="25"/>
  <c r="H126" i="25"/>
  <c r="D126" i="25"/>
  <c r="G126" i="25"/>
  <c r="I125" i="21"/>
  <c r="I125" i="13"/>
  <c r="G126" i="23"/>
  <c r="D126" i="23"/>
  <c r="B128" i="21"/>
  <c r="A127" i="21"/>
  <c r="C127" i="21"/>
  <c r="B128" i="19"/>
  <c r="C127" i="19"/>
  <c r="D127" i="19" s="1"/>
  <c r="A127" i="19"/>
  <c r="H127" i="22"/>
  <c r="M64" i="3"/>
  <c r="M65" i="31"/>
  <c r="J61" i="31"/>
  <c r="N64" i="31"/>
  <c r="P62" i="31"/>
  <c r="O63" i="31"/>
  <c r="J61" i="3"/>
  <c r="Q65" i="31"/>
  <c r="R65" i="31" s="1"/>
  <c r="R65" i="3" s="1"/>
  <c r="I129" i="3" l="1"/>
  <c r="G130" i="3"/>
  <c r="I129" i="31"/>
  <c r="D130" i="3"/>
  <c r="F130" i="3"/>
  <c r="A131" i="3"/>
  <c r="B132" i="3"/>
  <c r="C131" i="3"/>
  <c r="H130" i="31"/>
  <c r="G130" i="31"/>
  <c r="E130" i="31"/>
  <c r="D130" i="31"/>
  <c r="F130" i="31"/>
  <c r="A131" i="31"/>
  <c r="B132" i="31"/>
  <c r="C131" i="31"/>
  <c r="F131" i="31" s="1"/>
  <c r="E130" i="3"/>
  <c r="D127" i="25"/>
  <c r="K63" i="3"/>
  <c r="K64" i="31"/>
  <c r="L64" i="31" s="1"/>
  <c r="L64" i="3" s="1"/>
  <c r="D128" i="20"/>
  <c r="E128" i="20"/>
  <c r="E127" i="13"/>
  <c r="H127" i="24"/>
  <c r="H127" i="19"/>
  <c r="D127" i="24"/>
  <c r="H127" i="13"/>
  <c r="D127" i="13"/>
  <c r="I126" i="19"/>
  <c r="I127" i="27"/>
  <c r="I126" i="13"/>
  <c r="I126" i="21"/>
  <c r="F127" i="19"/>
  <c r="I126" i="26"/>
  <c r="G127" i="19"/>
  <c r="A128" i="19"/>
  <c r="C128" i="19"/>
  <c r="F128" i="19" s="1"/>
  <c r="B129" i="19"/>
  <c r="A128" i="26"/>
  <c r="C128" i="26"/>
  <c r="F128" i="26" s="1"/>
  <c r="B129" i="26"/>
  <c r="I127" i="22"/>
  <c r="A128" i="25"/>
  <c r="C128" i="25"/>
  <c r="G128" i="25" s="1"/>
  <c r="B129" i="25"/>
  <c r="D127" i="26"/>
  <c r="G127" i="26"/>
  <c r="H127" i="26"/>
  <c r="E127" i="26"/>
  <c r="I127" i="20"/>
  <c r="F127" i="24"/>
  <c r="G127" i="24"/>
  <c r="C129" i="27"/>
  <c r="A129" i="27"/>
  <c r="B130" i="27"/>
  <c r="H127" i="25"/>
  <c r="E127" i="25"/>
  <c r="E127" i="21"/>
  <c r="G127" i="21"/>
  <c r="F127" i="21"/>
  <c r="H127" i="21"/>
  <c r="D127" i="21"/>
  <c r="B129" i="21"/>
  <c r="A128" i="21"/>
  <c r="C128" i="21"/>
  <c r="E128" i="21" s="1"/>
  <c r="F127" i="23"/>
  <c r="A128" i="24"/>
  <c r="B129" i="24"/>
  <c r="C128" i="24"/>
  <c r="D128" i="24" s="1"/>
  <c r="E128" i="27"/>
  <c r="H128" i="27"/>
  <c r="F128" i="27"/>
  <c r="D128" i="27"/>
  <c r="E127" i="19"/>
  <c r="E127" i="23"/>
  <c r="B130" i="20"/>
  <c r="C129" i="20"/>
  <c r="A129" i="20"/>
  <c r="F127" i="13"/>
  <c r="H127" i="23"/>
  <c r="H128" i="20"/>
  <c r="G127" i="23"/>
  <c r="D128" i="22"/>
  <c r="F128" i="22"/>
  <c r="E128" i="22"/>
  <c r="G128" i="22"/>
  <c r="H128" i="22"/>
  <c r="F127" i="25"/>
  <c r="I126" i="23"/>
  <c r="I126" i="24"/>
  <c r="I126" i="25"/>
  <c r="C128" i="23"/>
  <c r="E128" i="23" s="1"/>
  <c r="A128" i="23"/>
  <c r="B129" i="23"/>
  <c r="B130" i="22"/>
  <c r="A129" i="22"/>
  <c r="C129" i="22"/>
  <c r="G128" i="20"/>
  <c r="B129" i="13"/>
  <c r="C128" i="13"/>
  <c r="E128" i="13" s="1"/>
  <c r="A128" i="13"/>
  <c r="N65" i="31"/>
  <c r="N65" i="3" s="1"/>
  <c r="N64" i="3"/>
  <c r="M65" i="3"/>
  <c r="M66" i="31"/>
  <c r="O63" i="3"/>
  <c r="O64" i="31"/>
  <c r="O64" i="3" s="1"/>
  <c r="Q62" i="31"/>
  <c r="P62" i="3"/>
  <c r="P63" i="31"/>
  <c r="P63" i="3" s="1"/>
  <c r="Q66" i="31"/>
  <c r="Q66" i="3" s="1"/>
  <c r="Q65" i="3"/>
  <c r="E131" i="31" l="1"/>
  <c r="I130" i="31"/>
  <c r="H131" i="31"/>
  <c r="I130" i="3"/>
  <c r="F131" i="3"/>
  <c r="E131" i="3"/>
  <c r="H131" i="3"/>
  <c r="D131" i="3"/>
  <c r="G131" i="3"/>
  <c r="C132" i="31"/>
  <c r="G132" i="31" s="1"/>
  <c r="B133" i="31"/>
  <c r="A132" i="31"/>
  <c r="G131" i="31"/>
  <c r="B133" i="3"/>
  <c r="C132" i="3"/>
  <c r="A132" i="3"/>
  <c r="D131" i="31"/>
  <c r="J62" i="31"/>
  <c r="Q62" i="3"/>
  <c r="J62" i="3" s="1"/>
  <c r="D128" i="13"/>
  <c r="K65" i="31"/>
  <c r="L65" i="31" s="1"/>
  <c r="L65" i="3" s="1"/>
  <c r="K64" i="3"/>
  <c r="I127" i="13"/>
  <c r="G128" i="13"/>
  <c r="G128" i="19"/>
  <c r="I127" i="19"/>
  <c r="F128" i="13"/>
  <c r="H128" i="26"/>
  <c r="I127" i="23"/>
  <c r="E128" i="26"/>
  <c r="I127" i="24"/>
  <c r="H128" i="21"/>
  <c r="G128" i="26"/>
  <c r="D128" i="26"/>
  <c r="D128" i="19"/>
  <c r="H128" i="19"/>
  <c r="A130" i="20"/>
  <c r="C130" i="20"/>
  <c r="D130" i="20" s="1"/>
  <c r="B131" i="20"/>
  <c r="B130" i="21"/>
  <c r="C129" i="21"/>
  <c r="G129" i="21" s="1"/>
  <c r="A129" i="21"/>
  <c r="A130" i="27"/>
  <c r="C130" i="27"/>
  <c r="E130" i="27" s="1"/>
  <c r="B131" i="27"/>
  <c r="H128" i="13"/>
  <c r="C130" i="22"/>
  <c r="G130" i="22" s="1"/>
  <c r="B131" i="22"/>
  <c r="A130" i="22"/>
  <c r="I127" i="21"/>
  <c r="I127" i="26"/>
  <c r="F129" i="20"/>
  <c r="H129" i="20"/>
  <c r="D129" i="20"/>
  <c r="G129" i="20"/>
  <c r="E129" i="20"/>
  <c r="H128" i="23"/>
  <c r="H128" i="24"/>
  <c r="F128" i="24"/>
  <c r="F129" i="27"/>
  <c r="H129" i="27"/>
  <c r="E129" i="27"/>
  <c r="D129" i="27"/>
  <c r="G129" i="27"/>
  <c r="B130" i="26"/>
  <c r="C129" i="26"/>
  <c r="G129" i="26" s="1"/>
  <c r="A129" i="26"/>
  <c r="C129" i="19"/>
  <c r="E129" i="19" s="1"/>
  <c r="A129" i="19"/>
  <c r="B130" i="19"/>
  <c r="D128" i="23"/>
  <c r="E128" i="24"/>
  <c r="A129" i="24"/>
  <c r="C129" i="24"/>
  <c r="B130" i="24"/>
  <c r="G128" i="23"/>
  <c r="A129" i="13"/>
  <c r="B130" i="13"/>
  <c r="C129" i="13"/>
  <c r="D129" i="13" s="1"/>
  <c r="F128" i="23"/>
  <c r="I128" i="22"/>
  <c r="G128" i="24"/>
  <c r="H129" i="22"/>
  <c r="E129" i="22"/>
  <c r="F129" i="22"/>
  <c r="D129" i="22"/>
  <c r="G129" i="22"/>
  <c r="I128" i="20"/>
  <c r="A129" i="23"/>
  <c r="C129" i="23"/>
  <c r="D129" i="23" s="1"/>
  <c r="B130" i="23"/>
  <c r="I128" i="27"/>
  <c r="F128" i="21"/>
  <c r="D128" i="21"/>
  <c r="I127" i="25"/>
  <c r="C129" i="25"/>
  <c r="A129" i="25"/>
  <c r="B130" i="25"/>
  <c r="G128" i="21"/>
  <c r="D128" i="25"/>
  <c r="F128" i="25"/>
  <c r="H128" i="25"/>
  <c r="E128" i="25"/>
  <c r="E128" i="19"/>
  <c r="N66" i="31"/>
  <c r="N66" i="3" s="1"/>
  <c r="P64" i="31"/>
  <c r="P64" i="3" s="1"/>
  <c r="J63" i="31"/>
  <c r="O65" i="31"/>
  <c r="O65" i="3" s="1"/>
  <c r="P65" i="31"/>
  <c r="P66" i="31" s="1"/>
  <c r="P66" i="3" s="1"/>
  <c r="J63" i="3"/>
  <c r="M66" i="3"/>
  <c r="M67" i="31"/>
  <c r="R66" i="31"/>
  <c r="Q67" i="31"/>
  <c r="F129" i="26" l="1"/>
  <c r="I131" i="31"/>
  <c r="I131" i="3"/>
  <c r="B134" i="31"/>
  <c r="C133" i="31"/>
  <c r="A133" i="31"/>
  <c r="F132" i="3"/>
  <c r="D132" i="3"/>
  <c r="G132" i="3"/>
  <c r="H132" i="3"/>
  <c r="E132" i="3"/>
  <c r="A133" i="3"/>
  <c r="B134" i="3"/>
  <c r="C133" i="3"/>
  <c r="D132" i="31"/>
  <c r="F132" i="31"/>
  <c r="H132" i="31"/>
  <c r="E132" i="31"/>
  <c r="J64" i="3"/>
  <c r="K66" i="31"/>
  <c r="L66" i="31" s="1"/>
  <c r="L66" i="3" s="1"/>
  <c r="K65" i="3"/>
  <c r="F130" i="20"/>
  <c r="E129" i="26"/>
  <c r="H129" i="19"/>
  <c r="G129" i="19"/>
  <c r="I128" i="13"/>
  <c r="I128" i="26"/>
  <c r="F129" i="13"/>
  <c r="E129" i="13"/>
  <c r="I129" i="27"/>
  <c r="I128" i="19"/>
  <c r="H129" i="13"/>
  <c r="I128" i="21"/>
  <c r="I128" i="24"/>
  <c r="D129" i="26"/>
  <c r="I128" i="23"/>
  <c r="C130" i="19"/>
  <c r="D130" i="19" s="1"/>
  <c r="A130" i="19"/>
  <c r="B131" i="19"/>
  <c r="E130" i="22"/>
  <c r="H130" i="20"/>
  <c r="E130" i="20"/>
  <c r="E129" i="23"/>
  <c r="G129" i="13"/>
  <c r="G130" i="20"/>
  <c r="A131" i="27"/>
  <c r="C131" i="27"/>
  <c r="B132" i="27"/>
  <c r="I129" i="20"/>
  <c r="B131" i="25"/>
  <c r="A130" i="25"/>
  <c r="C130" i="25"/>
  <c r="F130" i="25" s="1"/>
  <c r="H129" i="23"/>
  <c r="D130" i="27"/>
  <c r="F130" i="27"/>
  <c r="G130" i="27"/>
  <c r="H130" i="27"/>
  <c r="F129" i="23"/>
  <c r="A130" i="13"/>
  <c r="C130" i="13"/>
  <c r="F130" i="13" s="1"/>
  <c r="B131" i="13"/>
  <c r="A130" i="24"/>
  <c r="B131" i="24"/>
  <c r="C130" i="24"/>
  <c r="A130" i="21"/>
  <c r="C130" i="21"/>
  <c r="F130" i="21" s="1"/>
  <c r="B131" i="21"/>
  <c r="A131" i="20"/>
  <c r="C131" i="20"/>
  <c r="E131" i="20" s="1"/>
  <c r="B132" i="20"/>
  <c r="I128" i="25"/>
  <c r="D129" i="25"/>
  <c r="F129" i="25"/>
  <c r="E129" i="25"/>
  <c r="H129" i="25"/>
  <c r="G129" i="25"/>
  <c r="G129" i="23"/>
  <c r="I129" i="22"/>
  <c r="D129" i="24"/>
  <c r="G129" i="24"/>
  <c r="F129" i="24"/>
  <c r="H129" i="24"/>
  <c r="E129" i="24"/>
  <c r="F129" i="19"/>
  <c r="C130" i="26"/>
  <c r="B131" i="26"/>
  <c r="A130" i="26"/>
  <c r="H130" i="22"/>
  <c r="F130" i="22"/>
  <c r="D130" i="22"/>
  <c r="C130" i="23"/>
  <c r="F130" i="23" s="1"/>
  <c r="B131" i="23"/>
  <c r="A130" i="23"/>
  <c r="H129" i="26"/>
  <c r="D129" i="19"/>
  <c r="A131" i="22"/>
  <c r="B132" i="22"/>
  <c r="C131" i="22"/>
  <c r="E129" i="21"/>
  <c r="D129" i="21"/>
  <c r="F129" i="21"/>
  <c r="H129" i="21"/>
  <c r="N67" i="31"/>
  <c r="N67" i="3" s="1"/>
  <c r="O66" i="31"/>
  <c r="J64" i="31"/>
  <c r="M67" i="3"/>
  <c r="M68" i="31"/>
  <c r="P65" i="3"/>
  <c r="J65" i="31"/>
  <c r="P67" i="31"/>
  <c r="P67" i="3" s="1"/>
  <c r="R67" i="31"/>
  <c r="R67" i="3" s="1"/>
  <c r="R66" i="3"/>
  <c r="Q67" i="3"/>
  <c r="Q68" i="31"/>
  <c r="R68" i="31" s="1"/>
  <c r="I132" i="3" l="1"/>
  <c r="A134" i="3"/>
  <c r="B135" i="3"/>
  <c r="C134" i="3"/>
  <c r="D133" i="31"/>
  <c r="E133" i="31"/>
  <c r="F133" i="31"/>
  <c r="H133" i="31"/>
  <c r="G133" i="31"/>
  <c r="E133" i="3"/>
  <c r="D133" i="3"/>
  <c r="H133" i="3"/>
  <c r="F133" i="3"/>
  <c r="G133" i="3"/>
  <c r="A134" i="31"/>
  <c r="C134" i="31"/>
  <c r="B135" i="31"/>
  <c r="I132" i="31"/>
  <c r="J65" i="3"/>
  <c r="J66" i="31"/>
  <c r="K67" i="31"/>
  <c r="L67" i="31" s="1"/>
  <c r="L67" i="3" s="1"/>
  <c r="K66" i="3"/>
  <c r="H131" i="20"/>
  <c r="I129" i="13"/>
  <c r="I129" i="19"/>
  <c r="H130" i="19"/>
  <c r="D130" i="25"/>
  <c r="I129" i="26"/>
  <c r="I129" i="23"/>
  <c r="D130" i="21"/>
  <c r="I130" i="20"/>
  <c r="C131" i="24"/>
  <c r="D131" i="24" s="1"/>
  <c r="A131" i="24"/>
  <c r="B132" i="24"/>
  <c r="D130" i="23"/>
  <c r="G131" i="20"/>
  <c r="F131" i="20"/>
  <c r="E130" i="13"/>
  <c r="C132" i="20"/>
  <c r="G132" i="20" s="1"/>
  <c r="B133" i="20"/>
  <c r="A132" i="20"/>
  <c r="D131" i="27"/>
  <c r="E131" i="27"/>
  <c r="F131" i="27"/>
  <c r="G131" i="27"/>
  <c r="H131" i="27"/>
  <c r="I129" i="21"/>
  <c r="G130" i="23"/>
  <c r="I130" i="22"/>
  <c r="H130" i="13"/>
  <c r="H130" i="25"/>
  <c r="E130" i="25"/>
  <c r="A131" i="19"/>
  <c r="C131" i="19"/>
  <c r="G131" i="19" s="1"/>
  <c r="B132" i="19"/>
  <c r="H130" i="23"/>
  <c r="B132" i="21"/>
  <c r="A131" i="21"/>
  <c r="C131" i="21"/>
  <c r="F131" i="21" s="1"/>
  <c r="D130" i="13"/>
  <c r="G131" i="22"/>
  <c r="E131" i="22"/>
  <c r="F131" i="22"/>
  <c r="H131" i="22"/>
  <c r="D131" i="22"/>
  <c r="E130" i="23"/>
  <c r="I129" i="25"/>
  <c r="G130" i="13"/>
  <c r="A131" i="25"/>
  <c r="B132" i="25"/>
  <c r="C131" i="25"/>
  <c r="E130" i="19"/>
  <c r="G130" i="25"/>
  <c r="B132" i="23"/>
  <c r="A131" i="23"/>
  <c r="C131" i="23"/>
  <c r="E131" i="23" s="1"/>
  <c r="A131" i="26"/>
  <c r="C131" i="26"/>
  <c r="E131" i="26" s="1"/>
  <c r="B132" i="26"/>
  <c r="E130" i="24"/>
  <c r="D130" i="24"/>
  <c r="F130" i="24"/>
  <c r="H130" i="24"/>
  <c r="G130" i="24"/>
  <c r="H130" i="26"/>
  <c r="G130" i="26"/>
  <c r="D130" i="26"/>
  <c r="F130" i="26"/>
  <c r="E130" i="26"/>
  <c r="C132" i="27"/>
  <c r="B133" i="27"/>
  <c r="A132" i="27"/>
  <c r="A132" i="22"/>
  <c r="C132" i="22"/>
  <c r="B133" i="22"/>
  <c r="I129" i="24"/>
  <c r="A131" i="13"/>
  <c r="B132" i="13"/>
  <c r="C131" i="13"/>
  <c r="F131" i="13" s="1"/>
  <c r="I130" i="27"/>
  <c r="G130" i="21"/>
  <c r="H130" i="21"/>
  <c r="F130" i="19"/>
  <c r="D131" i="20"/>
  <c r="G130" i="19"/>
  <c r="E130" i="21"/>
  <c r="O67" i="31"/>
  <c r="O67" i="3" s="1"/>
  <c r="O66" i="3"/>
  <c r="M68" i="3"/>
  <c r="M69" i="31"/>
  <c r="N68" i="31"/>
  <c r="N68" i="3" s="1"/>
  <c r="R68" i="3"/>
  <c r="Q68" i="3"/>
  <c r="Q69" i="31"/>
  <c r="R69" i="31" s="1"/>
  <c r="I133" i="3" l="1"/>
  <c r="D134" i="3"/>
  <c r="G134" i="3"/>
  <c r="E134" i="3"/>
  <c r="F134" i="3"/>
  <c r="H134" i="3"/>
  <c r="A135" i="31"/>
  <c r="C135" i="31"/>
  <c r="F135" i="31" s="1"/>
  <c r="B136" i="31"/>
  <c r="I133" i="31"/>
  <c r="B136" i="3"/>
  <c r="A135" i="3"/>
  <c r="C135" i="3"/>
  <c r="G135" i="3" s="1"/>
  <c r="H134" i="31"/>
  <c r="E134" i="31"/>
  <c r="D134" i="31"/>
  <c r="F134" i="31"/>
  <c r="G134" i="31"/>
  <c r="G131" i="24"/>
  <c r="D131" i="19"/>
  <c r="E132" i="20"/>
  <c r="F131" i="19"/>
  <c r="J66" i="3"/>
  <c r="K67" i="3"/>
  <c r="J67" i="3" s="1"/>
  <c r="K68" i="31"/>
  <c r="L68" i="31" s="1"/>
  <c r="L68" i="3" s="1"/>
  <c r="E131" i="19"/>
  <c r="D131" i="13"/>
  <c r="H131" i="21"/>
  <c r="G131" i="21"/>
  <c r="H131" i="19"/>
  <c r="H132" i="20"/>
  <c r="I130" i="25"/>
  <c r="I130" i="23"/>
  <c r="I130" i="24"/>
  <c r="I130" i="21"/>
  <c r="H131" i="24"/>
  <c r="D131" i="23"/>
  <c r="F131" i="26"/>
  <c r="I131" i="20"/>
  <c r="I130" i="26"/>
  <c r="B133" i="24"/>
  <c r="C132" i="24"/>
  <c r="F132" i="24" s="1"/>
  <c r="A132" i="24"/>
  <c r="I130" i="13"/>
  <c r="D131" i="26"/>
  <c r="I131" i="22"/>
  <c r="D131" i="21"/>
  <c r="E131" i="21"/>
  <c r="E131" i="24"/>
  <c r="F131" i="24"/>
  <c r="B133" i="26"/>
  <c r="A132" i="26"/>
  <c r="C132" i="26"/>
  <c r="H132" i="26" s="1"/>
  <c r="B133" i="23"/>
  <c r="C132" i="23"/>
  <c r="D132" i="23" s="1"/>
  <c r="A132" i="23"/>
  <c r="G131" i="13"/>
  <c r="B134" i="22"/>
  <c r="A133" i="22"/>
  <c r="C133" i="22"/>
  <c r="F133" i="22" s="1"/>
  <c r="F131" i="23"/>
  <c r="I130" i="19"/>
  <c r="B134" i="20"/>
  <c r="C133" i="20"/>
  <c r="A133" i="20"/>
  <c r="G131" i="26"/>
  <c r="A132" i="13"/>
  <c r="C132" i="13"/>
  <c r="G132" i="13" s="1"/>
  <c r="B133" i="13"/>
  <c r="I131" i="27"/>
  <c r="E131" i="13"/>
  <c r="D132" i="22"/>
  <c r="H132" i="22"/>
  <c r="F132" i="22"/>
  <c r="G132" i="22"/>
  <c r="E132" i="22"/>
  <c r="B134" i="27"/>
  <c r="A133" i="27"/>
  <c r="C133" i="27"/>
  <c r="G131" i="23"/>
  <c r="E131" i="25"/>
  <c r="G131" i="25"/>
  <c r="H131" i="25"/>
  <c r="F131" i="25"/>
  <c r="D131" i="25"/>
  <c r="C132" i="21"/>
  <c r="B133" i="21"/>
  <c r="A132" i="21"/>
  <c r="C132" i="19"/>
  <c r="F132" i="19" s="1"/>
  <c r="A132" i="19"/>
  <c r="B133" i="19"/>
  <c r="D132" i="20"/>
  <c r="F132" i="20"/>
  <c r="H131" i="26"/>
  <c r="H131" i="13"/>
  <c r="G132" i="27"/>
  <c r="E132" i="27"/>
  <c r="H132" i="27"/>
  <c r="H131" i="23"/>
  <c r="A132" i="25"/>
  <c r="C132" i="25"/>
  <c r="B133" i="25"/>
  <c r="F132" i="27"/>
  <c r="D132" i="27"/>
  <c r="J67" i="31"/>
  <c r="M69" i="3"/>
  <c r="M70" i="31"/>
  <c r="N69" i="31"/>
  <c r="O68" i="31"/>
  <c r="O68" i="3" s="1"/>
  <c r="R69" i="3"/>
  <c r="Q69" i="3"/>
  <c r="Q70" i="31"/>
  <c r="R70" i="31" s="1"/>
  <c r="G135" i="31" l="1"/>
  <c r="H135" i="31"/>
  <c r="D135" i="3"/>
  <c r="B137" i="31"/>
  <c r="A136" i="31"/>
  <c r="C136" i="31"/>
  <c r="F136" i="31" s="1"/>
  <c r="I134" i="31"/>
  <c r="D135" i="31"/>
  <c r="E135" i="31"/>
  <c r="E135" i="3"/>
  <c r="H135" i="3"/>
  <c r="C136" i="3"/>
  <c r="A136" i="3"/>
  <c r="B137" i="3"/>
  <c r="I134" i="3"/>
  <c r="F135" i="3"/>
  <c r="E132" i="26"/>
  <c r="K68" i="3"/>
  <c r="K69" i="31"/>
  <c r="L69" i="31" s="1"/>
  <c r="L69" i="3" s="1"/>
  <c r="I131" i="19"/>
  <c r="I131" i="13"/>
  <c r="I131" i="23"/>
  <c r="I132" i="20"/>
  <c r="I132" i="22"/>
  <c r="F132" i="26"/>
  <c r="I131" i="26"/>
  <c r="H132" i="19"/>
  <c r="E132" i="19"/>
  <c r="I131" i="25"/>
  <c r="H132" i="23"/>
  <c r="G132" i="19"/>
  <c r="F132" i="23"/>
  <c r="D132" i="19"/>
  <c r="F132" i="13"/>
  <c r="E132" i="23"/>
  <c r="I131" i="24"/>
  <c r="F132" i="21"/>
  <c r="G132" i="21"/>
  <c r="E132" i="21"/>
  <c r="H132" i="21"/>
  <c r="D132" i="21"/>
  <c r="A134" i="27"/>
  <c r="C134" i="27"/>
  <c r="D134" i="27" s="1"/>
  <c r="B135" i="27"/>
  <c r="A133" i="25"/>
  <c r="C133" i="25"/>
  <c r="G133" i="25" s="1"/>
  <c r="B134" i="25"/>
  <c r="A134" i="22"/>
  <c r="C134" i="22"/>
  <c r="B135" i="22"/>
  <c r="B134" i="24"/>
  <c r="A133" i="24"/>
  <c r="C133" i="24"/>
  <c r="B134" i="26"/>
  <c r="C133" i="26"/>
  <c r="F133" i="26" s="1"/>
  <c r="A133" i="26"/>
  <c r="A133" i="21"/>
  <c r="C133" i="21"/>
  <c r="G133" i="21" s="1"/>
  <c r="B134" i="21"/>
  <c r="D132" i="24"/>
  <c r="G132" i="24"/>
  <c r="E132" i="24"/>
  <c r="G132" i="25"/>
  <c r="D132" i="25"/>
  <c r="E132" i="25"/>
  <c r="H132" i="25"/>
  <c r="F132" i="25"/>
  <c r="C133" i="19"/>
  <c r="G133" i="19" s="1"/>
  <c r="B134" i="19"/>
  <c r="A133" i="19"/>
  <c r="E132" i="13"/>
  <c r="C133" i="23"/>
  <c r="E133" i="23" s="1"/>
  <c r="B134" i="23"/>
  <c r="A133" i="23"/>
  <c r="I132" i="27"/>
  <c r="H132" i="13"/>
  <c r="E133" i="20"/>
  <c r="H133" i="20"/>
  <c r="F133" i="20"/>
  <c r="G133" i="20"/>
  <c r="D133" i="20"/>
  <c r="H132" i="24"/>
  <c r="D132" i="26"/>
  <c r="G132" i="26"/>
  <c r="I131" i="21"/>
  <c r="E133" i="27"/>
  <c r="G133" i="27"/>
  <c r="F133" i="27"/>
  <c r="D133" i="27"/>
  <c r="H133" i="27"/>
  <c r="C133" i="13"/>
  <c r="E133" i="13" s="1"/>
  <c r="A133" i="13"/>
  <c r="B134" i="13"/>
  <c r="D133" i="22"/>
  <c r="E133" i="22"/>
  <c r="G133" i="22"/>
  <c r="H133" i="22"/>
  <c r="D132" i="13"/>
  <c r="B135" i="20"/>
  <c r="C134" i="20"/>
  <c r="A134" i="20"/>
  <c r="G132" i="23"/>
  <c r="P68" i="31"/>
  <c r="P68" i="3" s="1"/>
  <c r="O69" i="31"/>
  <c r="O69" i="3" s="1"/>
  <c r="N69" i="3"/>
  <c r="M70" i="3"/>
  <c r="M71" i="31"/>
  <c r="N70" i="31"/>
  <c r="R70" i="3"/>
  <c r="Q70" i="3"/>
  <c r="Q71" i="31"/>
  <c r="R71" i="31" s="1"/>
  <c r="I135" i="3" l="1"/>
  <c r="D136" i="31"/>
  <c r="E136" i="31"/>
  <c r="F136" i="3"/>
  <c r="H136" i="3"/>
  <c r="E136" i="3"/>
  <c r="G136" i="3"/>
  <c r="D136" i="3"/>
  <c r="H136" i="31"/>
  <c r="G136" i="31"/>
  <c r="B138" i="31"/>
  <c r="A137" i="31"/>
  <c r="C137" i="31"/>
  <c r="F137" i="31" s="1"/>
  <c r="A137" i="3"/>
  <c r="C137" i="3"/>
  <c r="F137" i="3" s="1"/>
  <c r="B138" i="3"/>
  <c r="I135" i="31"/>
  <c r="D133" i="23"/>
  <c r="H133" i="23"/>
  <c r="J68" i="3"/>
  <c r="K69" i="3"/>
  <c r="K70" i="31"/>
  <c r="L70" i="31" s="1"/>
  <c r="L70" i="3" s="1"/>
  <c r="F133" i="19"/>
  <c r="D133" i="19"/>
  <c r="I132" i="19"/>
  <c r="F133" i="21"/>
  <c r="I132" i="23"/>
  <c r="G134" i="27"/>
  <c r="D133" i="13"/>
  <c r="D133" i="26"/>
  <c r="G133" i="13"/>
  <c r="F133" i="23"/>
  <c r="E133" i="19"/>
  <c r="E134" i="27"/>
  <c r="H133" i="13"/>
  <c r="I132" i="21"/>
  <c r="I132" i="13"/>
  <c r="F133" i="13"/>
  <c r="G133" i="23"/>
  <c r="H133" i="19"/>
  <c r="B135" i="25"/>
  <c r="C134" i="25"/>
  <c r="F134" i="25" s="1"/>
  <c r="A134" i="25"/>
  <c r="E133" i="24"/>
  <c r="D133" i="24"/>
  <c r="G133" i="24"/>
  <c r="F133" i="24"/>
  <c r="H133" i="24"/>
  <c r="A134" i="13"/>
  <c r="B135" i="13"/>
  <c r="C134" i="13"/>
  <c r="H134" i="13" s="1"/>
  <c r="I132" i="25"/>
  <c r="I132" i="24"/>
  <c r="I132" i="26"/>
  <c r="H133" i="21"/>
  <c r="E133" i="21"/>
  <c r="D133" i="21"/>
  <c r="C135" i="22"/>
  <c r="B136" i="22"/>
  <c r="A135" i="22"/>
  <c r="F134" i="27"/>
  <c r="H134" i="27"/>
  <c r="E133" i="26"/>
  <c r="H133" i="26"/>
  <c r="B135" i="26"/>
  <c r="A134" i="26"/>
  <c r="C134" i="26"/>
  <c r="H134" i="26" s="1"/>
  <c r="B135" i="21"/>
  <c r="C134" i="21"/>
  <c r="H134" i="21" s="1"/>
  <c r="A134" i="21"/>
  <c r="B136" i="27"/>
  <c r="A135" i="27"/>
  <c r="C135" i="27"/>
  <c r="G135" i="27" s="1"/>
  <c r="H134" i="20"/>
  <c r="G134" i="20"/>
  <c r="F134" i="20"/>
  <c r="E134" i="20"/>
  <c r="D134" i="20"/>
  <c r="I133" i="22"/>
  <c r="F133" i="25"/>
  <c r="B135" i="23"/>
  <c r="C134" i="23"/>
  <c r="H134" i="23" s="1"/>
  <c r="A134" i="23"/>
  <c r="B135" i="19"/>
  <c r="A134" i="19"/>
  <c r="C134" i="19"/>
  <c r="D134" i="19" s="1"/>
  <c r="G133" i="26"/>
  <c r="G134" i="22"/>
  <c r="H134" i="22"/>
  <c r="E134" i="22"/>
  <c r="D134" i="22"/>
  <c r="F134" i="22"/>
  <c r="B135" i="24"/>
  <c r="A134" i="24"/>
  <c r="C134" i="24"/>
  <c r="F134" i="24" s="1"/>
  <c r="C135" i="20"/>
  <c r="B136" i="20"/>
  <c r="A135" i="20"/>
  <c r="I133" i="27"/>
  <c r="I133" i="20"/>
  <c r="E133" i="25"/>
  <c r="D133" i="25"/>
  <c r="H133" i="25"/>
  <c r="J68" i="31"/>
  <c r="N71" i="31"/>
  <c r="N71" i="3" s="1"/>
  <c r="P69" i="31"/>
  <c r="P69" i="3" s="1"/>
  <c r="O70" i="31"/>
  <c r="O70" i="3" s="1"/>
  <c r="M71" i="3"/>
  <c r="M72" i="31"/>
  <c r="N72" i="31" s="1"/>
  <c r="N72" i="3" s="1"/>
  <c r="N70" i="3"/>
  <c r="R71" i="3"/>
  <c r="Q71" i="3"/>
  <c r="Q72" i="31"/>
  <c r="R72" i="31" s="1"/>
  <c r="D137" i="31" l="1"/>
  <c r="I136" i="31"/>
  <c r="H137" i="3"/>
  <c r="I136" i="3"/>
  <c r="C138" i="3"/>
  <c r="A138" i="3"/>
  <c r="B139" i="3"/>
  <c r="H137" i="31"/>
  <c r="G137" i="31"/>
  <c r="B139" i="31"/>
  <c r="A138" i="31"/>
  <c r="C138" i="31"/>
  <c r="D138" i="31" s="1"/>
  <c r="E137" i="3"/>
  <c r="G137" i="3"/>
  <c r="D137" i="3"/>
  <c r="E137" i="31"/>
  <c r="G134" i="25"/>
  <c r="J69" i="3"/>
  <c r="K71" i="31"/>
  <c r="L71" i="31" s="1"/>
  <c r="L71" i="3" s="1"/>
  <c r="K70" i="3"/>
  <c r="F134" i="23"/>
  <c r="D134" i="26"/>
  <c r="D134" i="23"/>
  <c r="E134" i="25"/>
  <c r="D134" i="25"/>
  <c r="I133" i="23"/>
  <c r="I133" i="19"/>
  <c r="I133" i="25"/>
  <c r="H134" i="25"/>
  <c r="E134" i="19"/>
  <c r="F134" i="26"/>
  <c r="F134" i="19"/>
  <c r="H134" i="24"/>
  <c r="H134" i="19"/>
  <c r="I133" i="21"/>
  <c r="I133" i="24"/>
  <c r="I133" i="26"/>
  <c r="I133" i="13"/>
  <c r="E134" i="21"/>
  <c r="I134" i="27"/>
  <c r="A136" i="20"/>
  <c r="C136" i="20"/>
  <c r="F136" i="20" s="1"/>
  <c r="B137" i="20"/>
  <c r="C135" i="23"/>
  <c r="E135" i="23" s="1"/>
  <c r="B136" i="23"/>
  <c r="A135" i="23"/>
  <c r="H135" i="22"/>
  <c r="D135" i="22"/>
  <c r="G135" i="22"/>
  <c r="F135" i="22"/>
  <c r="E135" i="22"/>
  <c r="D134" i="13"/>
  <c r="F134" i="21"/>
  <c r="B136" i="21"/>
  <c r="C135" i="21"/>
  <c r="E135" i="21" s="1"/>
  <c r="A135" i="21"/>
  <c r="E135" i="20"/>
  <c r="H135" i="20"/>
  <c r="F135" i="20"/>
  <c r="G135" i="20"/>
  <c r="D135" i="20"/>
  <c r="G134" i="26"/>
  <c r="B136" i="19"/>
  <c r="A135" i="19"/>
  <c r="C135" i="19"/>
  <c r="G135" i="19" s="1"/>
  <c r="H135" i="27"/>
  <c r="D135" i="27"/>
  <c r="E135" i="27"/>
  <c r="F135" i="27"/>
  <c r="A135" i="26"/>
  <c r="B136" i="26"/>
  <c r="C135" i="26"/>
  <c r="G134" i="13"/>
  <c r="A135" i="25"/>
  <c r="C135" i="25"/>
  <c r="B136" i="25"/>
  <c r="B136" i="24"/>
  <c r="C135" i="24"/>
  <c r="A135" i="24"/>
  <c r="C136" i="22"/>
  <c r="F136" i="22" s="1"/>
  <c r="A136" i="22"/>
  <c r="B137" i="22"/>
  <c r="G134" i="23"/>
  <c r="E134" i="13"/>
  <c r="E134" i="24"/>
  <c r="D134" i="24"/>
  <c r="D134" i="21"/>
  <c r="G134" i="21"/>
  <c r="I134" i="22"/>
  <c r="G134" i="19"/>
  <c r="E134" i="23"/>
  <c r="I134" i="20"/>
  <c r="B137" i="27"/>
  <c r="C136" i="27"/>
  <c r="A136" i="27"/>
  <c r="F134" i="13"/>
  <c r="G134" i="24"/>
  <c r="C135" i="13"/>
  <c r="H135" i="13" s="1"/>
  <c r="B136" i="13"/>
  <c r="A135" i="13"/>
  <c r="E134" i="26"/>
  <c r="J69" i="31"/>
  <c r="O71" i="31"/>
  <c r="O71" i="3" s="1"/>
  <c r="P70" i="31"/>
  <c r="P70" i="3" s="1"/>
  <c r="P71" i="31"/>
  <c r="M72" i="3"/>
  <c r="M73" i="31"/>
  <c r="R72" i="3"/>
  <c r="Q72" i="3"/>
  <c r="Q73" i="31"/>
  <c r="R73" i="31" s="1"/>
  <c r="I137" i="31" l="1"/>
  <c r="E138" i="3"/>
  <c r="H138" i="3"/>
  <c r="G138" i="3"/>
  <c r="C139" i="31"/>
  <c r="H139" i="31" s="1"/>
  <c r="A139" i="31"/>
  <c r="B140" i="31"/>
  <c r="I137" i="3"/>
  <c r="F138" i="3"/>
  <c r="D138" i="3"/>
  <c r="A139" i="3"/>
  <c r="C139" i="3"/>
  <c r="F139" i="3" s="1"/>
  <c r="B140" i="3"/>
  <c r="E138" i="31"/>
  <c r="G138" i="31"/>
  <c r="F138" i="31"/>
  <c r="H138" i="31"/>
  <c r="E135" i="19"/>
  <c r="H135" i="21"/>
  <c r="H135" i="19"/>
  <c r="E136" i="20"/>
  <c r="H136" i="20"/>
  <c r="J70" i="3"/>
  <c r="H40" i="2" s="1"/>
  <c r="K72" i="31"/>
  <c r="L72" i="31" s="1"/>
  <c r="L72" i="3" s="1"/>
  <c r="K71" i="3"/>
  <c r="I134" i="25"/>
  <c r="D136" i="22"/>
  <c r="G135" i="13"/>
  <c r="D135" i="13"/>
  <c r="G136" i="22"/>
  <c r="F135" i="13"/>
  <c r="I134" i="13"/>
  <c r="I134" i="26"/>
  <c r="I134" i="24"/>
  <c r="I134" i="23"/>
  <c r="F135" i="23"/>
  <c r="I134" i="19"/>
  <c r="D135" i="19"/>
  <c r="G135" i="23"/>
  <c r="D135" i="24"/>
  <c r="H135" i="24"/>
  <c r="G135" i="24"/>
  <c r="A136" i="24"/>
  <c r="C136" i="24"/>
  <c r="G136" i="24" s="1"/>
  <c r="B137" i="24"/>
  <c r="B137" i="13"/>
  <c r="A136" i="13"/>
  <c r="C136" i="13"/>
  <c r="D136" i="13" s="1"/>
  <c r="C136" i="25"/>
  <c r="G136" i="25" s="1"/>
  <c r="B137" i="25"/>
  <c r="A136" i="25"/>
  <c r="A136" i="23"/>
  <c r="C136" i="23"/>
  <c r="E136" i="23" s="1"/>
  <c r="B137" i="23"/>
  <c r="I134" i="21"/>
  <c r="B138" i="22"/>
  <c r="A137" i="22"/>
  <c r="C137" i="22"/>
  <c r="H135" i="25"/>
  <c r="E135" i="25"/>
  <c r="G135" i="25"/>
  <c r="D135" i="25"/>
  <c r="F135" i="25"/>
  <c r="I135" i="27"/>
  <c r="A136" i="19"/>
  <c r="B137" i="19"/>
  <c r="C136" i="19"/>
  <c r="F136" i="19" s="1"/>
  <c r="I135" i="22"/>
  <c r="C137" i="27"/>
  <c r="F137" i="27" s="1"/>
  <c r="B138" i="27"/>
  <c r="A137" i="27"/>
  <c r="E135" i="24"/>
  <c r="D135" i="21"/>
  <c r="G135" i="21"/>
  <c r="F135" i="21"/>
  <c r="C137" i="20"/>
  <c r="B138" i="20"/>
  <c r="A137" i="20"/>
  <c r="E135" i="26"/>
  <c r="D135" i="26"/>
  <c r="F135" i="26"/>
  <c r="G135" i="26"/>
  <c r="H135" i="26"/>
  <c r="H136" i="27"/>
  <c r="F136" i="27"/>
  <c r="D136" i="27"/>
  <c r="G136" i="27"/>
  <c r="E136" i="27"/>
  <c r="B137" i="26"/>
  <c r="C136" i="26"/>
  <c r="D136" i="26" s="1"/>
  <c r="A136" i="26"/>
  <c r="E135" i="13"/>
  <c r="E136" i="22"/>
  <c r="H136" i="22"/>
  <c r="F135" i="19"/>
  <c r="I135" i="20"/>
  <c r="C136" i="21"/>
  <c r="B137" i="21"/>
  <c r="A136" i="21"/>
  <c r="H135" i="23"/>
  <c r="D136" i="20"/>
  <c r="G136" i="20"/>
  <c r="F135" i="24"/>
  <c r="D135" i="23"/>
  <c r="O72" i="31"/>
  <c r="O72" i="3" s="1"/>
  <c r="J70" i="31"/>
  <c r="N73" i="31"/>
  <c r="N73" i="3" s="1"/>
  <c r="P71" i="3"/>
  <c r="J71" i="31"/>
  <c r="M73" i="3"/>
  <c r="M74" i="31"/>
  <c r="R73" i="3"/>
  <c r="Q73" i="3"/>
  <c r="Q74" i="31"/>
  <c r="Q74" i="3" s="1"/>
  <c r="D139" i="3" l="1"/>
  <c r="E139" i="3"/>
  <c r="A140" i="31"/>
  <c r="C140" i="31"/>
  <c r="B141" i="31"/>
  <c r="G139" i="3"/>
  <c r="F139" i="31"/>
  <c r="G139" i="31"/>
  <c r="E139" i="31"/>
  <c r="B141" i="3"/>
  <c r="C140" i="3"/>
  <c r="H140" i="3" s="1"/>
  <c r="A140" i="3"/>
  <c r="D139" i="31"/>
  <c r="I138" i="31"/>
  <c r="I138" i="3"/>
  <c r="H139" i="3"/>
  <c r="D136" i="25"/>
  <c r="J71" i="3"/>
  <c r="K72" i="3"/>
  <c r="K73" i="31"/>
  <c r="L73" i="31" s="1"/>
  <c r="L73" i="3" s="1"/>
  <c r="D136" i="19"/>
  <c r="H136" i="13"/>
  <c r="G136" i="23"/>
  <c r="F136" i="13"/>
  <c r="I135" i="13"/>
  <c r="G136" i="19"/>
  <c r="I136" i="27"/>
  <c r="I135" i="23"/>
  <c r="I135" i="19"/>
  <c r="I135" i="25"/>
  <c r="I136" i="22"/>
  <c r="E136" i="19"/>
  <c r="G137" i="27"/>
  <c r="I135" i="21"/>
  <c r="D137" i="27"/>
  <c r="E136" i="13"/>
  <c r="A137" i="21"/>
  <c r="C137" i="21"/>
  <c r="E137" i="21" s="1"/>
  <c r="B138" i="21"/>
  <c r="D137" i="20"/>
  <c r="E137" i="20"/>
  <c r="G137" i="20"/>
  <c r="F137" i="20"/>
  <c r="H137" i="20"/>
  <c r="C137" i="23"/>
  <c r="G137" i="23" s="1"/>
  <c r="A137" i="23"/>
  <c r="B138" i="23"/>
  <c r="D136" i="24"/>
  <c r="E136" i="24"/>
  <c r="H136" i="24"/>
  <c r="A138" i="27"/>
  <c r="C138" i="27"/>
  <c r="B139" i="27"/>
  <c r="A137" i="19"/>
  <c r="B138" i="19"/>
  <c r="C137" i="19"/>
  <c r="H137" i="19" s="1"/>
  <c r="E137" i="22"/>
  <c r="G137" i="22"/>
  <c r="H137" i="22"/>
  <c r="D137" i="22"/>
  <c r="F137" i="22"/>
  <c r="E137" i="27"/>
  <c r="H137" i="27"/>
  <c r="I136" i="20"/>
  <c r="I135" i="26"/>
  <c r="B139" i="22"/>
  <c r="A138" i="22"/>
  <c r="C138" i="22"/>
  <c r="F136" i="23"/>
  <c r="C137" i="25"/>
  <c r="B138" i="25"/>
  <c r="A137" i="25"/>
  <c r="B138" i="13"/>
  <c r="A137" i="13"/>
  <c r="C137" i="13"/>
  <c r="D137" i="13" s="1"/>
  <c r="I135" i="24"/>
  <c r="C138" i="20"/>
  <c r="D138" i="20" s="1"/>
  <c r="B139" i="20"/>
  <c r="A138" i="20"/>
  <c r="C137" i="24"/>
  <c r="D137" i="24" s="1"/>
  <c r="A137" i="24"/>
  <c r="B138" i="24"/>
  <c r="G136" i="21"/>
  <c r="H136" i="21"/>
  <c r="F136" i="21"/>
  <c r="E136" i="21"/>
  <c r="D136" i="21"/>
  <c r="B138" i="26"/>
  <c r="A137" i="26"/>
  <c r="C137" i="26"/>
  <c r="F136" i="24"/>
  <c r="H136" i="19"/>
  <c r="E136" i="26"/>
  <c r="D136" i="23"/>
  <c r="E136" i="25"/>
  <c r="F136" i="25"/>
  <c r="H136" i="25"/>
  <c r="F136" i="26"/>
  <c r="H136" i="26"/>
  <c r="H136" i="23"/>
  <c r="G136" i="13"/>
  <c r="G136" i="26"/>
  <c r="N74" i="31"/>
  <c r="N74" i="3" s="1"/>
  <c r="P72" i="31"/>
  <c r="P72" i="3" s="1"/>
  <c r="O73" i="31"/>
  <c r="O73" i="3" s="1"/>
  <c r="M74" i="3"/>
  <c r="M75" i="31"/>
  <c r="R74" i="31"/>
  <c r="Q75" i="31"/>
  <c r="I139" i="3" l="1"/>
  <c r="E140" i="31"/>
  <c r="H140" i="31"/>
  <c r="F140" i="31"/>
  <c r="G140" i="31"/>
  <c r="A141" i="3"/>
  <c r="C141" i="3"/>
  <c r="B142" i="3"/>
  <c r="E140" i="3"/>
  <c r="I139" i="31"/>
  <c r="G140" i="3"/>
  <c r="D140" i="3"/>
  <c r="F140" i="3"/>
  <c r="D140" i="31"/>
  <c r="C141" i="31"/>
  <c r="B142" i="31"/>
  <c r="A141" i="31"/>
  <c r="H137" i="13"/>
  <c r="J72" i="3"/>
  <c r="K73" i="3"/>
  <c r="K74" i="31"/>
  <c r="L74" i="31" s="1"/>
  <c r="L74" i="3" s="1"/>
  <c r="E138" i="20"/>
  <c r="F137" i="13"/>
  <c r="I136" i="19"/>
  <c r="I136" i="25"/>
  <c r="I136" i="13"/>
  <c r="D137" i="19"/>
  <c r="E137" i="19"/>
  <c r="G137" i="13"/>
  <c r="F137" i="23"/>
  <c r="I137" i="20"/>
  <c r="I136" i="23"/>
  <c r="E137" i="13"/>
  <c r="I137" i="22"/>
  <c r="A138" i="13"/>
  <c r="B139" i="13"/>
  <c r="C138" i="13"/>
  <c r="G138" i="13" s="1"/>
  <c r="E137" i="26"/>
  <c r="D137" i="26"/>
  <c r="G137" i="26"/>
  <c r="F137" i="26"/>
  <c r="C138" i="23"/>
  <c r="D138" i="23" s="1"/>
  <c r="A138" i="23"/>
  <c r="B139" i="23"/>
  <c r="A138" i="21"/>
  <c r="B139" i="21"/>
  <c r="C138" i="21"/>
  <c r="G138" i="21" s="1"/>
  <c r="A138" i="25"/>
  <c r="C138" i="25"/>
  <c r="B139" i="25"/>
  <c r="G137" i="19"/>
  <c r="H137" i="21"/>
  <c r="D137" i="21"/>
  <c r="G137" i="21"/>
  <c r="H138" i="20"/>
  <c r="G138" i="20"/>
  <c r="A138" i="26"/>
  <c r="B139" i="26"/>
  <c r="C138" i="26"/>
  <c r="D138" i="26" s="1"/>
  <c r="E137" i="25"/>
  <c r="G137" i="25"/>
  <c r="F137" i="25"/>
  <c r="H137" i="25"/>
  <c r="D137" i="25"/>
  <c r="I136" i="26"/>
  <c r="F138" i="20"/>
  <c r="C138" i="19"/>
  <c r="H138" i="19" s="1"/>
  <c r="A138" i="19"/>
  <c r="B139" i="19"/>
  <c r="I136" i="24"/>
  <c r="A139" i="27"/>
  <c r="B140" i="27"/>
  <c r="C139" i="27"/>
  <c r="E137" i="23"/>
  <c r="H137" i="26"/>
  <c r="B139" i="24"/>
  <c r="A138" i="24"/>
  <c r="C138" i="24"/>
  <c r="E138" i="24" s="1"/>
  <c r="I136" i="21"/>
  <c r="G137" i="24"/>
  <c r="H137" i="24"/>
  <c r="E137" i="24"/>
  <c r="D138" i="22"/>
  <c r="G138" i="22"/>
  <c r="H138" i="22"/>
  <c r="E138" i="22"/>
  <c r="F138" i="22"/>
  <c r="D137" i="23"/>
  <c r="C139" i="20"/>
  <c r="B140" i="20"/>
  <c r="A139" i="20"/>
  <c r="A139" i="22"/>
  <c r="C139" i="22"/>
  <c r="B140" i="22"/>
  <c r="I137" i="27"/>
  <c r="F137" i="19"/>
  <c r="E138" i="27"/>
  <c r="H138" i="27"/>
  <c r="F138" i="27"/>
  <c r="D138" i="27"/>
  <c r="G138" i="27"/>
  <c r="H137" i="23"/>
  <c r="F137" i="21"/>
  <c r="F137" i="24"/>
  <c r="N75" i="31"/>
  <c r="N75" i="3" s="1"/>
  <c r="P73" i="31"/>
  <c r="P73" i="3" s="1"/>
  <c r="J72" i="31"/>
  <c r="O74" i="31"/>
  <c r="O74" i="3" s="1"/>
  <c r="M75" i="3"/>
  <c r="M76" i="31"/>
  <c r="R74" i="3"/>
  <c r="R75" i="31"/>
  <c r="Q75" i="3"/>
  <c r="Q76" i="31"/>
  <c r="I140" i="3" l="1"/>
  <c r="H141" i="3"/>
  <c r="G141" i="3"/>
  <c r="D141" i="3"/>
  <c r="B143" i="3"/>
  <c r="C142" i="3"/>
  <c r="D142" i="3" s="1"/>
  <c r="A142" i="3"/>
  <c r="A142" i="31"/>
  <c r="C142" i="31"/>
  <c r="F142" i="31" s="1"/>
  <c r="B143" i="31"/>
  <c r="E141" i="3"/>
  <c r="F141" i="31"/>
  <c r="E141" i="31"/>
  <c r="H141" i="31"/>
  <c r="D141" i="31"/>
  <c r="G141" i="31"/>
  <c r="I140" i="31"/>
  <c r="F141" i="3"/>
  <c r="J73" i="3"/>
  <c r="K74" i="3"/>
  <c r="K75" i="31"/>
  <c r="L75" i="31" s="1"/>
  <c r="L75" i="3" s="1"/>
  <c r="E138" i="26"/>
  <c r="I137" i="19"/>
  <c r="I137" i="13"/>
  <c r="I137" i="24"/>
  <c r="H138" i="23"/>
  <c r="D138" i="13"/>
  <c r="F138" i="24"/>
  <c r="I138" i="20"/>
  <c r="G138" i="24"/>
  <c r="I137" i="21"/>
  <c r="H138" i="21"/>
  <c r="D138" i="21"/>
  <c r="F138" i="21"/>
  <c r="G139" i="27"/>
  <c r="F139" i="27"/>
  <c r="H139" i="27"/>
  <c r="E139" i="27"/>
  <c r="D139" i="27"/>
  <c r="B140" i="21"/>
  <c r="C139" i="21"/>
  <c r="A139" i="21"/>
  <c r="E138" i="13"/>
  <c r="A140" i="20"/>
  <c r="C140" i="20"/>
  <c r="B141" i="20"/>
  <c r="C140" i="27"/>
  <c r="H140" i="27" s="1"/>
  <c r="B141" i="27"/>
  <c r="A140" i="27"/>
  <c r="D138" i="19"/>
  <c r="H138" i="26"/>
  <c r="F138" i="26"/>
  <c r="G138" i="26"/>
  <c r="G139" i="20"/>
  <c r="D139" i="20"/>
  <c r="H139" i="20"/>
  <c r="E139" i="20"/>
  <c r="F139" i="20"/>
  <c r="G138" i="19"/>
  <c r="C139" i="26"/>
  <c r="B140" i="26"/>
  <c r="A139" i="26"/>
  <c r="A139" i="25"/>
  <c r="B140" i="25"/>
  <c r="C139" i="25"/>
  <c r="E138" i="23"/>
  <c r="B140" i="13"/>
  <c r="A139" i="13"/>
  <c r="C139" i="13"/>
  <c r="E139" i="13" s="1"/>
  <c r="D139" i="22"/>
  <c r="H139" i="22"/>
  <c r="F139" i="22"/>
  <c r="E139" i="22"/>
  <c r="G139" i="22"/>
  <c r="I138" i="27"/>
  <c r="E138" i="19"/>
  <c r="I137" i="26"/>
  <c r="I137" i="23"/>
  <c r="C139" i="24"/>
  <c r="B140" i="24"/>
  <c r="A139" i="24"/>
  <c r="F138" i="19"/>
  <c r="I137" i="25"/>
  <c r="F138" i="23"/>
  <c r="H138" i="25"/>
  <c r="D138" i="25"/>
  <c r="G138" i="25"/>
  <c r="E138" i="25"/>
  <c r="F138" i="25"/>
  <c r="B141" i="22"/>
  <c r="C140" i="22"/>
  <c r="A140" i="22"/>
  <c r="I138" i="22"/>
  <c r="E138" i="21"/>
  <c r="C139" i="19"/>
  <c r="G139" i="19" s="1"/>
  <c r="B140" i="19"/>
  <c r="A139" i="19"/>
  <c r="H138" i="24"/>
  <c r="G138" i="23"/>
  <c r="F138" i="13"/>
  <c r="D138" i="24"/>
  <c r="B140" i="23"/>
  <c r="C139" i="23"/>
  <c r="E139" i="23" s="1"/>
  <c r="A139" i="23"/>
  <c r="H138" i="13"/>
  <c r="N76" i="31"/>
  <c r="N76" i="3" s="1"/>
  <c r="J73" i="31"/>
  <c r="O75" i="31"/>
  <c r="O75" i="3" s="1"/>
  <c r="P74" i="31"/>
  <c r="P74" i="3" s="1"/>
  <c r="O76" i="31"/>
  <c r="O76" i="3" s="1"/>
  <c r="M76" i="3"/>
  <c r="M77" i="31"/>
  <c r="N77" i="31" s="1"/>
  <c r="N77" i="3" s="1"/>
  <c r="R75" i="3"/>
  <c r="R76" i="31"/>
  <c r="Q76" i="3"/>
  <c r="Q77" i="31"/>
  <c r="E142" i="3" l="1"/>
  <c r="G142" i="3"/>
  <c r="I141" i="3"/>
  <c r="I141" i="31"/>
  <c r="H142" i="3"/>
  <c r="F142" i="3"/>
  <c r="C143" i="31"/>
  <c r="A143" i="31"/>
  <c r="B144" i="31"/>
  <c r="A143" i="3"/>
  <c r="B144" i="3"/>
  <c r="C143" i="3"/>
  <c r="D142" i="31"/>
  <c r="G142" i="31"/>
  <c r="E142" i="31"/>
  <c r="H142" i="31"/>
  <c r="D139" i="13"/>
  <c r="J74" i="3"/>
  <c r="K76" i="31"/>
  <c r="L76" i="31" s="1"/>
  <c r="L76" i="3" s="1"/>
  <c r="K75" i="3"/>
  <c r="E139" i="19"/>
  <c r="H139" i="19"/>
  <c r="E140" i="27"/>
  <c r="I138" i="13"/>
  <c r="I138" i="26"/>
  <c r="D139" i="23"/>
  <c r="F139" i="23"/>
  <c r="F139" i="19"/>
  <c r="H139" i="23"/>
  <c r="D139" i="19"/>
  <c r="B142" i="20"/>
  <c r="C141" i="20"/>
  <c r="D141" i="20" s="1"/>
  <c r="A141" i="20"/>
  <c r="C140" i="26"/>
  <c r="B141" i="26"/>
  <c r="A140" i="26"/>
  <c r="E140" i="20"/>
  <c r="H140" i="20"/>
  <c r="D140" i="20"/>
  <c r="I138" i="25"/>
  <c r="B141" i="24"/>
  <c r="A140" i="24"/>
  <c r="C140" i="24"/>
  <c r="H140" i="24" s="1"/>
  <c r="D140" i="22"/>
  <c r="E140" i="22"/>
  <c r="H140" i="22"/>
  <c r="G140" i="22"/>
  <c r="F140" i="22"/>
  <c r="F139" i="24"/>
  <c r="E139" i="24"/>
  <c r="H139" i="24"/>
  <c r="D139" i="24"/>
  <c r="G139" i="24"/>
  <c r="B141" i="13"/>
  <c r="C140" i="13"/>
  <c r="H140" i="13" s="1"/>
  <c r="A140" i="13"/>
  <c r="D139" i="26"/>
  <c r="E139" i="26"/>
  <c r="H139" i="26"/>
  <c r="F139" i="26"/>
  <c r="G139" i="26"/>
  <c r="B141" i="23"/>
  <c r="C140" i="23"/>
  <c r="E140" i="23" s="1"/>
  <c r="A140" i="23"/>
  <c r="C141" i="22"/>
  <c r="B142" i="22"/>
  <c r="A141" i="22"/>
  <c r="G140" i="20"/>
  <c r="I139" i="22"/>
  <c r="I138" i="23"/>
  <c r="I138" i="19"/>
  <c r="I138" i="21"/>
  <c r="I138" i="24"/>
  <c r="H139" i="13"/>
  <c r="D139" i="25"/>
  <c r="G139" i="25"/>
  <c r="H139" i="25"/>
  <c r="E139" i="25"/>
  <c r="F139" i="25"/>
  <c r="H139" i="21"/>
  <c r="D139" i="21"/>
  <c r="E139" i="21"/>
  <c r="F139" i="21"/>
  <c r="G139" i="21"/>
  <c r="A140" i="19"/>
  <c r="B141" i="19"/>
  <c r="C140" i="19"/>
  <c r="F140" i="19" s="1"/>
  <c r="F140" i="20"/>
  <c r="F139" i="13"/>
  <c r="B141" i="25"/>
  <c r="A140" i="25"/>
  <c r="C140" i="25"/>
  <c r="D140" i="25" s="1"/>
  <c r="A141" i="27"/>
  <c r="B142" i="27"/>
  <c r="C141" i="27"/>
  <c r="B141" i="21"/>
  <c r="A140" i="21"/>
  <c r="C140" i="21"/>
  <c r="D140" i="21" s="1"/>
  <c r="G139" i="23"/>
  <c r="G139" i="13"/>
  <c r="I139" i="20"/>
  <c r="D140" i="27"/>
  <c r="G140" i="27"/>
  <c r="I139" i="27"/>
  <c r="F140" i="27"/>
  <c r="P75" i="31"/>
  <c r="P75" i="3" s="1"/>
  <c r="J74" i="31"/>
  <c r="O77" i="31"/>
  <c r="O77" i="3" s="1"/>
  <c r="M77" i="3"/>
  <c r="M78" i="31"/>
  <c r="N78" i="31" s="1"/>
  <c r="R76" i="3"/>
  <c r="R77" i="31"/>
  <c r="Q77" i="3"/>
  <c r="Q78" i="31"/>
  <c r="I142" i="3" l="1"/>
  <c r="C144" i="3"/>
  <c r="F144" i="3" s="1"/>
  <c r="B145" i="3"/>
  <c r="A144" i="3"/>
  <c r="H143" i="31"/>
  <c r="D143" i="31"/>
  <c r="E143" i="31"/>
  <c r="F143" i="31"/>
  <c r="G143" i="31"/>
  <c r="I142" i="31"/>
  <c r="A144" i="31"/>
  <c r="B145" i="31"/>
  <c r="C144" i="31"/>
  <c r="F144" i="31" s="1"/>
  <c r="E143" i="3"/>
  <c r="D143" i="3"/>
  <c r="H143" i="3"/>
  <c r="G143" i="3"/>
  <c r="F143" i="3"/>
  <c r="G141" i="20"/>
  <c r="J75" i="3"/>
  <c r="K77" i="31"/>
  <c r="L77" i="31" s="1"/>
  <c r="L77" i="3" s="1"/>
  <c r="K76" i="3"/>
  <c r="I139" i="23"/>
  <c r="I139" i="19"/>
  <c r="H141" i="20"/>
  <c r="I139" i="13"/>
  <c r="I139" i="26"/>
  <c r="F140" i="26"/>
  <c r="G140" i="26"/>
  <c r="I140" i="27"/>
  <c r="F141" i="27"/>
  <c r="H141" i="27"/>
  <c r="E141" i="27"/>
  <c r="D141" i="27"/>
  <c r="E140" i="19"/>
  <c r="F140" i="23"/>
  <c r="D140" i="13"/>
  <c r="I139" i="24"/>
  <c r="I140" i="22"/>
  <c r="H140" i="25"/>
  <c r="E141" i="20"/>
  <c r="F141" i="20"/>
  <c r="A141" i="19"/>
  <c r="C141" i="19"/>
  <c r="D141" i="19" s="1"/>
  <c r="B142" i="19"/>
  <c r="A141" i="26"/>
  <c r="C141" i="26"/>
  <c r="F141" i="26" s="1"/>
  <c r="B142" i="26"/>
  <c r="B143" i="27"/>
  <c r="C142" i="27"/>
  <c r="A142" i="27"/>
  <c r="D140" i="19"/>
  <c r="I139" i="25"/>
  <c r="G140" i="23"/>
  <c r="G140" i="13"/>
  <c r="I140" i="20"/>
  <c r="C142" i="20"/>
  <c r="B143" i="20"/>
  <c r="A142" i="20"/>
  <c r="G141" i="27"/>
  <c r="E140" i="24"/>
  <c r="F140" i="24"/>
  <c r="E140" i="21"/>
  <c r="F140" i="21"/>
  <c r="H140" i="21"/>
  <c r="G140" i="21"/>
  <c r="B142" i="23"/>
  <c r="A141" i="23"/>
  <c r="C141" i="23"/>
  <c r="E141" i="23" s="1"/>
  <c r="E140" i="26"/>
  <c r="D140" i="24"/>
  <c r="D140" i="26"/>
  <c r="H140" i="19"/>
  <c r="D140" i="23"/>
  <c r="E140" i="13"/>
  <c r="H140" i="26"/>
  <c r="C141" i="25"/>
  <c r="A141" i="25"/>
  <c r="B142" i="25"/>
  <c r="G140" i="24"/>
  <c r="C142" i="22"/>
  <c r="E142" i="22" s="1"/>
  <c r="A142" i="22"/>
  <c r="B143" i="22"/>
  <c r="A141" i="13"/>
  <c r="B142" i="13"/>
  <c r="C141" i="13"/>
  <c r="D141" i="13" s="1"/>
  <c r="B142" i="24"/>
  <c r="A141" i="24"/>
  <c r="C141" i="24"/>
  <c r="C141" i="21"/>
  <c r="H141" i="21" s="1"/>
  <c r="B142" i="21"/>
  <c r="A141" i="21"/>
  <c r="E141" i="22"/>
  <c r="D141" i="22"/>
  <c r="G141" i="22"/>
  <c r="H141" i="22"/>
  <c r="F141" i="22"/>
  <c r="E140" i="25"/>
  <c r="G140" i="25"/>
  <c r="G140" i="19"/>
  <c r="I139" i="21"/>
  <c r="H140" i="23"/>
  <c r="F140" i="13"/>
  <c r="F140" i="25"/>
  <c r="J75" i="31"/>
  <c r="P76" i="31"/>
  <c r="J76" i="31" s="1"/>
  <c r="N78" i="3"/>
  <c r="O78" i="31"/>
  <c r="O78" i="3" s="1"/>
  <c r="M78" i="3"/>
  <c r="M79" i="31"/>
  <c r="N79" i="31" s="1"/>
  <c r="P77" i="31"/>
  <c r="P77" i="3" s="1"/>
  <c r="R77" i="3"/>
  <c r="R78" i="31"/>
  <c r="Q78" i="3"/>
  <c r="Q79" i="31"/>
  <c r="G144" i="3" l="1"/>
  <c r="H144" i="3"/>
  <c r="G144" i="31"/>
  <c r="A145" i="3"/>
  <c r="B146" i="3"/>
  <c r="C145" i="3"/>
  <c r="H145" i="3" s="1"/>
  <c r="I143" i="31"/>
  <c r="H144" i="31"/>
  <c r="A145" i="31"/>
  <c r="B146" i="31"/>
  <c r="C145" i="31"/>
  <c r="F145" i="31" s="1"/>
  <c r="I143" i="3"/>
  <c r="E144" i="31"/>
  <c r="E144" i="3"/>
  <c r="D144" i="3"/>
  <c r="D144" i="31"/>
  <c r="P76" i="3"/>
  <c r="J76" i="3" s="1"/>
  <c r="H141" i="13"/>
  <c r="H141" i="23"/>
  <c r="K78" i="31"/>
  <c r="K77" i="3"/>
  <c r="J77" i="3" s="1"/>
  <c r="G141" i="19"/>
  <c r="H141" i="26"/>
  <c r="I140" i="25"/>
  <c r="I140" i="24"/>
  <c r="I140" i="21"/>
  <c r="I141" i="20"/>
  <c r="E141" i="19"/>
  <c r="I140" i="26"/>
  <c r="D141" i="21"/>
  <c r="I140" i="19"/>
  <c r="F141" i="19"/>
  <c r="A142" i="23"/>
  <c r="C142" i="23"/>
  <c r="H142" i="23" s="1"/>
  <c r="B143" i="23"/>
  <c r="B143" i="24"/>
  <c r="C142" i="24"/>
  <c r="A142" i="24"/>
  <c r="B144" i="22"/>
  <c r="C143" i="22"/>
  <c r="G143" i="22" s="1"/>
  <c r="A143" i="22"/>
  <c r="B144" i="20"/>
  <c r="A143" i="20"/>
  <c r="C143" i="20"/>
  <c r="I140" i="23"/>
  <c r="G141" i="23"/>
  <c r="G142" i="20"/>
  <c r="F142" i="20"/>
  <c r="D142" i="20"/>
  <c r="E142" i="20"/>
  <c r="H142" i="20"/>
  <c r="B144" i="27"/>
  <c r="C143" i="27"/>
  <c r="A143" i="27"/>
  <c r="D141" i="25"/>
  <c r="G141" i="25"/>
  <c r="I141" i="27"/>
  <c r="D142" i="27"/>
  <c r="E142" i="27"/>
  <c r="G142" i="27"/>
  <c r="F142" i="27"/>
  <c r="H142" i="27"/>
  <c r="I141" i="22"/>
  <c r="E141" i="13"/>
  <c r="F141" i="13"/>
  <c r="G142" i="22"/>
  <c r="D142" i="22"/>
  <c r="H142" i="22"/>
  <c r="F141" i="23"/>
  <c r="H141" i="19"/>
  <c r="F141" i="25"/>
  <c r="E141" i="24"/>
  <c r="F141" i="24"/>
  <c r="D141" i="24"/>
  <c r="H141" i="25"/>
  <c r="H141" i="24"/>
  <c r="I140" i="13"/>
  <c r="G141" i="24"/>
  <c r="B143" i="21"/>
  <c r="A142" i="21"/>
  <c r="C142" i="21"/>
  <c r="G141" i="13"/>
  <c r="B143" i="25"/>
  <c r="A142" i="25"/>
  <c r="C142" i="25"/>
  <c r="D141" i="23"/>
  <c r="A142" i="26"/>
  <c r="C142" i="26"/>
  <c r="B143" i="26"/>
  <c r="F142" i="22"/>
  <c r="B143" i="13"/>
  <c r="A142" i="13"/>
  <c r="C142" i="13"/>
  <c r="G142" i="13" s="1"/>
  <c r="A142" i="19"/>
  <c r="C142" i="19"/>
  <c r="E142" i="19" s="1"/>
  <c r="B143" i="19"/>
  <c r="E141" i="25"/>
  <c r="F141" i="21"/>
  <c r="E141" i="21"/>
  <c r="G141" i="21"/>
  <c r="D141" i="26"/>
  <c r="E141" i="26"/>
  <c r="G141" i="26"/>
  <c r="J77" i="31"/>
  <c r="N79" i="3"/>
  <c r="M79" i="3"/>
  <c r="M80" i="31"/>
  <c r="N80" i="31" s="1"/>
  <c r="N80" i="3" s="1"/>
  <c r="O79" i="31"/>
  <c r="O79" i="3" s="1"/>
  <c r="P78" i="31"/>
  <c r="R78" i="3"/>
  <c r="R79" i="31"/>
  <c r="Q79" i="3"/>
  <c r="Q80" i="31"/>
  <c r="I144" i="31" l="1"/>
  <c r="E145" i="3"/>
  <c r="I144" i="3"/>
  <c r="F145" i="3"/>
  <c r="D145" i="3"/>
  <c r="G145" i="3"/>
  <c r="C146" i="3"/>
  <c r="E146" i="3" s="1"/>
  <c r="A146" i="3"/>
  <c r="B147" i="3"/>
  <c r="H145" i="31"/>
  <c r="E145" i="31"/>
  <c r="G145" i="31"/>
  <c r="A146" i="31"/>
  <c r="B147" i="31"/>
  <c r="C146" i="31"/>
  <c r="H146" i="31" s="1"/>
  <c r="D145" i="31"/>
  <c r="L78" i="31"/>
  <c r="L78" i="3" s="1"/>
  <c r="K78" i="3"/>
  <c r="K79" i="31"/>
  <c r="H142" i="13"/>
  <c r="G142" i="19"/>
  <c r="H142" i="19"/>
  <c r="D142" i="19"/>
  <c r="F142" i="13"/>
  <c r="F142" i="19"/>
  <c r="I141" i="19"/>
  <c r="I141" i="24"/>
  <c r="I141" i="26"/>
  <c r="I141" i="21"/>
  <c r="I141" i="13"/>
  <c r="F142" i="26"/>
  <c r="H142" i="26"/>
  <c r="E142" i="26"/>
  <c r="D142" i="26"/>
  <c r="G142" i="26"/>
  <c r="H142" i="24"/>
  <c r="D142" i="24"/>
  <c r="E142" i="13"/>
  <c r="B144" i="21"/>
  <c r="A143" i="21"/>
  <c r="C143" i="21"/>
  <c r="E142" i="24"/>
  <c r="B145" i="27"/>
  <c r="A144" i="27"/>
  <c r="C144" i="27"/>
  <c r="H144" i="27" s="1"/>
  <c r="D143" i="20"/>
  <c r="E143" i="20"/>
  <c r="G143" i="20"/>
  <c r="H143" i="20"/>
  <c r="A143" i="24"/>
  <c r="C143" i="24"/>
  <c r="B144" i="24"/>
  <c r="I142" i="22"/>
  <c r="A143" i="26"/>
  <c r="B144" i="26"/>
  <c r="C143" i="26"/>
  <c r="E143" i="26" s="1"/>
  <c r="F143" i="27"/>
  <c r="H143" i="27"/>
  <c r="D143" i="27"/>
  <c r="G143" i="27"/>
  <c r="E143" i="27"/>
  <c r="D142" i="13"/>
  <c r="I141" i="23"/>
  <c r="F142" i="24"/>
  <c r="F143" i="20"/>
  <c r="E142" i="23"/>
  <c r="G142" i="25"/>
  <c r="E142" i="25"/>
  <c r="F142" i="25"/>
  <c r="H142" i="25"/>
  <c r="D142" i="25"/>
  <c r="I142" i="27"/>
  <c r="B145" i="20"/>
  <c r="A144" i="20"/>
  <c r="C144" i="20"/>
  <c r="F142" i="23"/>
  <c r="C143" i="19"/>
  <c r="F143" i="19" s="1"/>
  <c r="A143" i="19"/>
  <c r="B144" i="19"/>
  <c r="I142" i="20"/>
  <c r="D142" i="23"/>
  <c r="I141" i="25"/>
  <c r="F142" i="21"/>
  <c r="E142" i="21"/>
  <c r="H142" i="21"/>
  <c r="D142" i="21"/>
  <c r="G142" i="21"/>
  <c r="A143" i="13"/>
  <c r="B144" i="13"/>
  <c r="C143" i="13"/>
  <c r="H143" i="13" s="1"/>
  <c r="B144" i="25"/>
  <c r="C143" i="25"/>
  <c r="D143" i="25" s="1"/>
  <c r="A143" i="25"/>
  <c r="G142" i="24"/>
  <c r="F143" i="22"/>
  <c r="E143" i="22"/>
  <c r="H143" i="22"/>
  <c r="D143" i="22"/>
  <c r="G142" i="23"/>
  <c r="B145" i="22"/>
  <c r="A144" i="22"/>
  <c r="C144" i="22"/>
  <c r="D144" i="22" s="1"/>
  <c r="B144" i="23"/>
  <c r="C143" i="23"/>
  <c r="H143" i="23" s="1"/>
  <c r="A143" i="23"/>
  <c r="P78" i="3"/>
  <c r="P79" i="31"/>
  <c r="P79" i="3" s="1"/>
  <c r="M80" i="3"/>
  <c r="M81" i="31"/>
  <c r="O80" i="31"/>
  <c r="O80" i="3" s="1"/>
  <c r="R79" i="3"/>
  <c r="R80" i="31"/>
  <c r="Q80" i="3"/>
  <c r="Q81" i="31"/>
  <c r="F146" i="31" l="1"/>
  <c r="G146" i="31"/>
  <c r="I145" i="3"/>
  <c r="B148" i="31"/>
  <c r="A147" i="31"/>
  <c r="C147" i="31"/>
  <c r="D146" i="3"/>
  <c r="F146" i="3"/>
  <c r="H146" i="3"/>
  <c r="E146" i="31"/>
  <c r="A147" i="3"/>
  <c r="C147" i="3"/>
  <c r="F147" i="3" s="1"/>
  <c r="B148" i="3"/>
  <c r="I145" i="31"/>
  <c r="G146" i="3"/>
  <c r="D146" i="31"/>
  <c r="J78" i="3"/>
  <c r="J78" i="31"/>
  <c r="L79" i="31"/>
  <c r="L79" i="3" s="1"/>
  <c r="K79" i="3"/>
  <c r="K80" i="31"/>
  <c r="D143" i="13"/>
  <c r="G143" i="13"/>
  <c r="F143" i="13"/>
  <c r="I142" i="19"/>
  <c r="I142" i="13"/>
  <c r="I142" i="25"/>
  <c r="G143" i="26"/>
  <c r="F144" i="22"/>
  <c r="I142" i="21"/>
  <c r="D143" i="23"/>
  <c r="F143" i="26"/>
  <c r="G143" i="23"/>
  <c r="F143" i="23"/>
  <c r="I143" i="22"/>
  <c r="C144" i="24"/>
  <c r="D144" i="24" s="1"/>
  <c r="A144" i="24"/>
  <c r="B145" i="24"/>
  <c r="H143" i="24"/>
  <c r="G143" i="24"/>
  <c r="D143" i="24"/>
  <c r="E143" i="24"/>
  <c r="F143" i="24"/>
  <c r="I142" i="26"/>
  <c r="D143" i="19"/>
  <c r="H144" i="22"/>
  <c r="H143" i="21"/>
  <c r="F143" i="21"/>
  <c r="D143" i="21"/>
  <c r="G143" i="21"/>
  <c r="E143" i="21"/>
  <c r="B146" i="27"/>
  <c r="A145" i="27"/>
  <c r="C145" i="27"/>
  <c r="H145" i="27" s="1"/>
  <c r="E143" i="13"/>
  <c r="G143" i="19"/>
  <c r="H144" i="20"/>
  <c r="F144" i="20"/>
  <c r="D144" i="20"/>
  <c r="E144" i="22"/>
  <c r="C144" i="26"/>
  <c r="A144" i="26"/>
  <c r="B145" i="26"/>
  <c r="C144" i="21"/>
  <c r="A144" i="21"/>
  <c r="B145" i="21"/>
  <c r="I142" i="23"/>
  <c r="I143" i="27"/>
  <c r="E143" i="19"/>
  <c r="E144" i="20"/>
  <c r="I143" i="20"/>
  <c r="G144" i="20"/>
  <c r="C144" i="25"/>
  <c r="H144" i="25" s="1"/>
  <c r="A144" i="25"/>
  <c r="B145" i="25"/>
  <c r="A144" i="23"/>
  <c r="B145" i="23"/>
  <c r="C144" i="23"/>
  <c r="G144" i="23" s="1"/>
  <c r="H143" i="19"/>
  <c r="H143" i="26"/>
  <c r="D143" i="26"/>
  <c r="E143" i="23"/>
  <c r="A145" i="22"/>
  <c r="C145" i="22"/>
  <c r="B146" i="22"/>
  <c r="E143" i="25"/>
  <c r="H143" i="25"/>
  <c r="G143" i="25"/>
  <c r="F143" i="25"/>
  <c r="C144" i="13"/>
  <c r="E144" i="13" s="1"/>
  <c r="B145" i="13"/>
  <c r="A144" i="13"/>
  <c r="B145" i="19"/>
  <c r="C144" i="19"/>
  <c r="H144" i="19" s="1"/>
  <c r="A144" i="19"/>
  <c r="A145" i="20"/>
  <c r="C145" i="20"/>
  <c r="B146" i="20"/>
  <c r="F144" i="27"/>
  <c r="D144" i="27"/>
  <c r="G144" i="27"/>
  <c r="E144" i="27"/>
  <c r="I142" i="24"/>
  <c r="G144" i="22"/>
  <c r="M81" i="3"/>
  <c r="M82" i="31"/>
  <c r="P80" i="31"/>
  <c r="P80" i="3" s="1"/>
  <c r="N81" i="31"/>
  <c r="N82" i="31" s="1"/>
  <c r="R80" i="3"/>
  <c r="R81" i="31"/>
  <c r="Q81" i="3"/>
  <c r="Q82" i="31"/>
  <c r="G147" i="3" l="1"/>
  <c r="H147" i="3"/>
  <c r="I146" i="3"/>
  <c r="E147" i="31"/>
  <c r="F147" i="31"/>
  <c r="D147" i="31"/>
  <c r="H147" i="31"/>
  <c r="C148" i="3"/>
  <c r="G148" i="3" s="1"/>
  <c r="B149" i="3"/>
  <c r="A148" i="3"/>
  <c r="B149" i="31"/>
  <c r="A148" i="31"/>
  <c r="C148" i="31"/>
  <c r="H148" i="31" s="1"/>
  <c r="G147" i="31"/>
  <c r="I146" i="31"/>
  <c r="E147" i="3"/>
  <c r="D147" i="3"/>
  <c r="G145" i="27"/>
  <c r="D145" i="27"/>
  <c r="I143" i="13"/>
  <c r="J79" i="3"/>
  <c r="J79" i="31"/>
  <c r="L80" i="31"/>
  <c r="L80" i="3" s="1"/>
  <c r="K80" i="3"/>
  <c r="K81" i="31"/>
  <c r="H144" i="23"/>
  <c r="I143" i="23"/>
  <c r="D144" i="25"/>
  <c r="E144" i="24"/>
  <c r="H144" i="24"/>
  <c r="I143" i="24"/>
  <c r="I143" i="25"/>
  <c r="F144" i="25"/>
  <c r="F144" i="23"/>
  <c r="H145" i="20"/>
  <c r="D145" i="20"/>
  <c r="E145" i="20"/>
  <c r="F145" i="20"/>
  <c r="G145" i="20"/>
  <c r="C145" i="19"/>
  <c r="E145" i="19" s="1"/>
  <c r="A145" i="19"/>
  <c r="B146" i="19"/>
  <c r="G144" i="13"/>
  <c r="I143" i="26"/>
  <c r="C145" i="23"/>
  <c r="G145" i="23" s="1"/>
  <c r="A145" i="23"/>
  <c r="B146" i="23"/>
  <c r="D144" i="21"/>
  <c r="E144" i="21"/>
  <c r="H144" i="21"/>
  <c r="F144" i="21"/>
  <c r="G144" i="21"/>
  <c r="A145" i="24"/>
  <c r="C145" i="24"/>
  <c r="B146" i="24"/>
  <c r="A145" i="21"/>
  <c r="C145" i="21"/>
  <c r="H145" i="21" s="1"/>
  <c r="B146" i="21"/>
  <c r="E144" i="19"/>
  <c r="F144" i="13"/>
  <c r="B146" i="26"/>
  <c r="C145" i="26"/>
  <c r="F145" i="26" s="1"/>
  <c r="A145" i="26"/>
  <c r="I143" i="21"/>
  <c r="G144" i="19"/>
  <c r="D144" i="13"/>
  <c r="F144" i="24"/>
  <c r="G144" i="24"/>
  <c r="C146" i="20"/>
  <c r="E146" i="20" s="1"/>
  <c r="A146" i="20"/>
  <c r="B147" i="20"/>
  <c r="H144" i="13"/>
  <c r="G144" i="26"/>
  <c r="D144" i="26"/>
  <c r="H144" i="26"/>
  <c r="F144" i="26"/>
  <c r="E144" i="26"/>
  <c r="I144" i="27"/>
  <c r="F144" i="19"/>
  <c r="E145" i="22"/>
  <c r="D145" i="22"/>
  <c r="G145" i="22"/>
  <c r="H145" i="22"/>
  <c r="F145" i="22"/>
  <c r="D144" i="23"/>
  <c r="I144" i="22"/>
  <c r="E145" i="27"/>
  <c r="F145" i="27"/>
  <c r="D144" i="19"/>
  <c r="C146" i="22"/>
  <c r="E146" i="22" s="1"/>
  <c r="A146" i="22"/>
  <c r="B147" i="22"/>
  <c r="A145" i="25"/>
  <c r="C145" i="25"/>
  <c r="B146" i="25"/>
  <c r="B146" i="13"/>
  <c r="C145" i="13"/>
  <c r="D145" i="13" s="1"/>
  <c r="A145" i="13"/>
  <c r="E144" i="23"/>
  <c r="I144" i="20"/>
  <c r="I143" i="19"/>
  <c r="C146" i="27"/>
  <c r="F146" i="27" s="1"/>
  <c r="B147" i="27"/>
  <c r="A146" i="27"/>
  <c r="G144" i="25"/>
  <c r="E144" i="25"/>
  <c r="N82" i="3"/>
  <c r="N81" i="3"/>
  <c r="O81" i="31"/>
  <c r="O81" i="3" s="1"/>
  <c r="M82" i="3"/>
  <c r="R81" i="3"/>
  <c r="R82" i="31"/>
  <c r="Q82" i="3"/>
  <c r="I147" i="31" l="1"/>
  <c r="H148" i="3"/>
  <c r="D148" i="3"/>
  <c r="E148" i="3"/>
  <c r="B150" i="3"/>
  <c r="A149" i="3"/>
  <c r="C149" i="3"/>
  <c r="B150" i="31"/>
  <c r="A149" i="31"/>
  <c r="C149" i="31"/>
  <c r="D149" i="31" s="1"/>
  <c r="F148" i="3"/>
  <c r="E148" i="31"/>
  <c r="D148" i="31"/>
  <c r="G148" i="31"/>
  <c r="I147" i="3"/>
  <c r="F148" i="31"/>
  <c r="G146" i="20"/>
  <c r="J80" i="3"/>
  <c r="J80" i="31"/>
  <c r="G146" i="27"/>
  <c r="L81" i="31"/>
  <c r="L81" i="3" s="1"/>
  <c r="K81" i="3"/>
  <c r="K82" i="31"/>
  <c r="K83" i="31" s="1"/>
  <c r="H146" i="20"/>
  <c r="E146" i="27"/>
  <c r="F145" i="13"/>
  <c r="F145" i="21"/>
  <c r="D146" i="20"/>
  <c r="I145" i="22"/>
  <c r="I144" i="13"/>
  <c r="H145" i="13"/>
  <c r="G145" i="19"/>
  <c r="I145" i="20"/>
  <c r="E145" i="13"/>
  <c r="D145" i="19"/>
  <c r="G145" i="13"/>
  <c r="D146" i="27"/>
  <c r="H145" i="19"/>
  <c r="C146" i="25"/>
  <c r="A146" i="25"/>
  <c r="B147" i="25"/>
  <c r="I145" i="27"/>
  <c r="I144" i="21"/>
  <c r="A146" i="24"/>
  <c r="C146" i="24"/>
  <c r="B147" i="24"/>
  <c r="H145" i="23"/>
  <c r="H146" i="27"/>
  <c r="I144" i="24"/>
  <c r="B148" i="27"/>
  <c r="A147" i="27"/>
  <c r="C147" i="27"/>
  <c r="E147" i="27" s="1"/>
  <c r="H145" i="25"/>
  <c r="G145" i="25"/>
  <c r="I144" i="26"/>
  <c r="A146" i="26"/>
  <c r="C146" i="26"/>
  <c r="H146" i="26" s="1"/>
  <c r="B147" i="26"/>
  <c r="A146" i="19"/>
  <c r="C146" i="19"/>
  <c r="G146" i="19" s="1"/>
  <c r="B147" i="19"/>
  <c r="C147" i="22"/>
  <c r="B148" i="22"/>
  <c r="A147" i="22"/>
  <c r="I144" i="23"/>
  <c r="D145" i="25"/>
  <c r="F145" i="24"/>
  <c r="D145" i="24"/>
  <c r="H145" i="24"/>
  <c r="G145" i="24"/>
  <c r="E145" i="24"/>
  <c r="F145" i="23"/>
  <c r="F146" i="22"/>
  <c r="F146" i="20"/>
  <c r="D145" i="21"/>
  <c r="D145" i="23"/>
  <c r="F145" i="25"/>
  <c r="G145" i="26"/>
  <c r="H146" i="22"/>
  <c r="G146" i="22"/>
  <c r="E145" i="21"/>
  <c r="E145" i="23"/>
  <c r="D145" i="26"/>
  <c r="H145" i="26"/>
  <c r="E145" i="26"/>
  <c r="B147" i="13"/>
  <c r="A146" i="13"/>
  <c r="C146" i="13"/>
  <c r="G146" i="13" s="1"/>
  <c r="A147" i="20"/>
  <c r="C147" i="20"/>
  <c r="B148" i="20"/>
  <c r="G145" i="21"/>
  <c r="I144" i="25"/>
  <c r="I144" i="19"/>
  <c r="B147" i="21"/>
  <c r="A146" i="21"/>
  <c r="C146" i="21"/>
  <c r="B147" i="23"/>
  <c r="A146" i="23"/>
  <c r="C146" i="23"/>
  <c r="H146" i="23" s="1"/>
  <c r="F145" i="19"/>
  <c r="D146" i="22"/>
  <c r="E145" i="25"/>
  <c r="P81" i="31"/>
  <c r="P81" i="3" s="1"/>
  <c r="O82" i="31"/>
  <c r="R82" i="3"/>
  <c r="G149" i="31" l="1"/>
  <c r="F149" i="31"/>
  <c r="H149" i="31"/>
  <c r="B151" i="31"/>
  <c r="A150" i="31"/>
  <c r="C150" i="31"/>
  <c r="A150" i="3"/>
  <c r="C150" i="3"/>
  <c r="F150" i="3" s="1"/>
  <c r="B151" i="3"/>
  <c r="E149" i="3"/>
  <c r="G149" i="3"/>
  <c r="D149" i="3"/>
  <c r="H149" i="3"/>
  <c r="F149" i="3"/>
  <c r="I148" i="31"/>
  <c r="I148" i="3"/>
  <c r="E149" i="31"/>
  <c r="J81" i="3"/>
  <c r="G146" i="23"/>
  <c r="D146" i="26"/>
  <c r="K83" i="3"/>
  <c r="K84" i="31"/>
  <c r="E146" i="13"/>
  <c r="L82" i="31"/>
  <c r="L82" i="3" s="1"/>
  <c r="K82" i="3"/>
  <c r="F146" i="13"/>
  <c r="D147" i="27"/>
  <c r="H146" i="13"/>
  <c r="D146" i="19"/>
  <c r="E146" i="19"/>
  <c r="H147" i="27"/>
  <c r="H146" i="19"/>
  <c r="I145" i="13"/>
  <c r="I146" i="20"/>
  <c r="I146" i="27"/>
  <c r="I145" i="19"/>
  <c r="F146" i="23"/>
  <c r="F146" i="19"/>
  <c r="I145" i="21"/>
  <c r="A148" i="27"/>
  <c r="C148" i="27"/>
  <c r="H148" i="27" s="1"/>
  <c r="B149" i="27"/>
  <c r="C148" i="22"/>
  <c r="E148" i="22" s="1"/>
  <c r="A148" i="22"/>
  <c r="B149" i="22"/>
  <c r="A147" i="25"/>
  <c r="C147" i="25"/>
  <c r="E147" i="25" s="1"/>
  <c r="B148" i="25"/>
  <c r="I146" i="22"/>
  <c r="I145" i="23"/>
  <c r="F147" i="22"/>
  <c r="D147" i="22"/>
  <c r="G147" i="22"/>
  <c r="E147" i="22"/>
  <c r="H147" i="22"/>
  <c r="A147" i="26"/>
  <c r="C147" i="26"/>
  <c r="G147" i="26" s="1"/>
  <c r="B148" i="26"/>
  <c r="I145" i="26"/>
  <c r="A147" i="23"/>
  <c r="C147" i="23"/>
  <c r="D147" i="23" s="1"/>
  <c r="B148" i="23"/>
  <c r="C147" i="24"/>
  <c r="D147" i="24" s="1"/>
  <c r="A147" i="24"/>
  <c r="B148" i="24"/>
  <c r="D146" i="25"/>
  <c r="G146" i="25"/>
  <c r="E146" i="23"/>
  <c r="F146" i="21"/>
  <c r="D146" i="21"/>
  <c r="G146" i="21"/>
  <c r="E146" i="21"/>
  <c r="H146" i="21"/>
  <c r="D147" i="20"/>
  <c r="E147" i="20"/>
  <c r="G147" i="20"/>
  <c r="B148" i="13"/>
  <c r="A147" i="13"/>
  <c r="C147" i="13"/>
  <c r="G147" i="13" s="1"/>
  <c r="I145" i="24"/>
  <c r="F146" i="26"/>
  <c r="B148" i="19"/>
  <c r="C147" i="19"/>
  <c r="F147" i="19" s="1"/>
  <c r="A147" i="19"/>
  <c r="F146" i="24"/>
  <c r="H146" i="24"/>
  <c r="E146" i="24"/>
  <c r="G146" i="24"/>
  <c r="D146" i="24"/>
  <c r="D146" i="23"/>
  <c r="F146" i="25"/>
  <c r="G147" i="27"/>
  <c r="F147" i="27"/>
  <c r="F147" i="20"/>
  <c r="E146" i="26"/>
  <c r="G146" i="26"/>
  <c r="B149" i="20"/>
  <c r="A148" i="20"/>
  <c r="C148" i="20"/>
  <c r="G148" i="20" s="1"/>
  <c r="B148" i="21"/>
  <c r="C147" i="21"/>
  <c r="A147" i="21"/>
  <c r="D146" i="13"/>
  <c r="H146" i="25"/>
  <c r="I145" i="25"/>
  <c r="E146" i="25"/>
  <c r="H147" i="20"/>
  <c r="J81" i="31"/>
  <c r="O82" i="3"/>
  <c r="P82" i="31"/>
  <c r="F148" i="27" l="1"/>
  <c r="D150" i="3"/>
  <c r="I149" i="31"/>
  <c r="G150" i="3"/>
  <c r="A151" i="31"/>
  <c r="B152" i="31"/>
  <c r="C151" i="31"/>
  <c r="F151" i="31" s="1"/>
  <c r="I149" i="3"/>
  <c r="H150" i="31"/>
  <c r="E150" i="31"/>
  <c r="F150" i="31"/>
  <c r="D150" i="31"/>
  <c r="G150" i="31"/>
  <c r="H150" i="3"/>
  <c r="E150" i="3"/>
  <c r="B152" i="3"/>
  <c r="C151" i="3"/>
  <c r="D151" i="3" s="1"/>
  <c r="A151" i="3"/>
  <c r="L83" i="31"/>
  <c r="D148" i="27"/>
  <c r="E147" i="26"/>
  <c r="I146" i="13"/>
  <c r="E147" i="19"/>
  <c r="K85" i="31"/>
  <c r="K84" i="3"/>
  <c r="E147" i="23"/>
  <c r="D147" i="19"/>
  <c r="H148" i="22"/>
  <c r="I146" i="19"/>
  <c r="E147" i="24"/>
  <c r="H147" i="19"/>
  <c r="D147" i="13"/>
  <c r="G147" i="23"/>
  <c r="G148" i="22"/>
  <c r="H147" i="23"/>
  <c r="E147" i="13"/>
  <c r="D148" i="22"/>
  <c r="I146" i="26"/>
  <c r="C149" i="20"/>
  <c r="H149" i="20" s="1"/>
  <c r="A149" i="20"/>
  <c r="B150" i="20"/>
  <c r="B149" i="26"/>
  <c r="A148" i="26"/>
  <c r="C148" i="26"/>
  <c r="G148" i="26" s="1"/>
  <c r="I146" i="23"/>
  <c r="G148" i="27"/>
  <c r="I146" i="24"/>
  <c r="G147" i="19"/>
  <c r="H147" i="13"/>
  <c r="F147" i="23"/>
  <c r="I147" i="20"/>
  <c r="H147" i="26"/>
  <c r="F147" i="26"/>
  <c r="E148" i="27"/>
  <c r="F147" i="13"/>
  <c r="I146" i="25"/>
  <c r="A148" i="23"/>
  <c r="C148" i="23"/>
  <c r="F148" i="23" s="1"/>
  <c r="B149" i="23"/>
  <c r="F148" i="22"/>
  <c r="C149" i="27"/>
  <c r="B150" i="27"/>
  <c r="A149" i="27"/>
  <c r="C148" i="24"/>
  <c r="H148" i="24" s="1"/>
  <c r="B149" i="24"/>
  <c r="A148" i="24"/>
  <c r="H147" i="21"/>
  <c r="D147" i="21"/>
  <c r="E147" i="21"/>
  <c r="F147" i="21"/>
  <c r="G147" i="21"/>
  <c r="H148" i="20"/>
  <c r="F148" i="20"/>
  <c r="D148" i="20"/>
  <c r="C148" i="19"/>
  <c r="H148" i="19" s="1"/>
  <c r="B149" i="19"/>
  <c r="A148" i="19"/>
  <c r="I146" i="21"/>
  <c r="A148" i="25"/>
  <c r="C148" i="25"/>
  <c r="B149" i="25"/>
  <c r="A149" i="22"/>
  <c r="C149" i="22"/>
  <c r="H149" i="22" s="1"/>
  <c r="B150" i="22"/>
  <c r="C148" i="21"/>
  <c r="B149" i="21"/>
  <c r="A148" i="21"/>
  <c r="I147" i="27"/>
  <c r="B149" i="13"/>
  <c r="C148" i="13"/>
  <c r="H148" i="13" s="1"/>
  <c r="A148" i="13"/>
  <c r="G147" i="24"/>
  <c r="H147" i="24"/>
  <c r="F147" i="24"/>
  <c r="D147" i="26"/>
  <c r="I147" i="22"/>
  <c r="D147" i="25"/>
  <c r="F147" i="25"/>
  <c r="H147" i="25"/>
  <c r="G147" i="25"/>
  <c r="E148" i="20"/>
  <c r="P82" i="3"/>
  <c r="J82" i="3" s="1"/>
  <c r="H41" i="2" s="1"/>
  <c r="I41" i="2" s="1"/>
  <c r="A42" i="2" s="1"/>
  <c r="J82" i="31"/>
  <c r="I150" i="3" l="1"/>
  <c r="E151" i="3"/>
  <c r="G151" i="3"/>
  <c r="D151" i="31"/>
  <c r="H151" i="3"/>
  <c r="I150" i="31"/>
  <c r="E151" i="31"/>
  <c r="H151" i="31"/>
  <c r="G151" i="31"/>
  <c r="B153" i="31"/>
  <c r="A152" i="31"/>
  <c r="C152" i="31"/>
  <c r="D152" i="31" s="1"/>
  <c r="F151" i="3"/>
  <c r="C152" i="3"/>
  <c r="A152" i="3"/>
  <c r="B153" i="3"/>
  <c r="L83" i="3"/>
  <c r="M83" i="31"/>
  <c r="L84" i="31"/>
  <c r="H148" i="26"/>
  <c r="K86" i="31"/>
  <c r="K85" i="3"/>
  <c r="I147" i="19"/>
  <c r="G148" i="24"/>
  <c r="F149" i="20"/>
  <c r="F148" i="24"/>
  <c r="F148" i="19"/>
  <c r="F148" i="26"/>
  <c r="D149" i="22"/>
  <c r="E148" i="19"/>
  <c r="G148" i="19"/>
  <c r="D148" i="19"/>
  <c r="I147" i="24"/>
  <c r="I148" i="22"/>
  <c r="I147" i="23"/>
  <c r="I147" i="26"/>
  <c r="G149" i="20"/>
  <c r="I147" i="13"/>
  <c r="I148" i="27"/>
  <c r="I148" i="20"/>
  <c r="B150" i="24"/>
  <c r="C149" i="24"/>
  <c r="A149" i="24"/>
  <c r="H148" i="23"/>
  <c r="F149" i="22"/>
  <c r="D149" i="20"/>
  <c r="E149" i="20"/>
  <c r="C150" i="22"/>
  <c r="D150" i="22" s="1"/>
  <c r="B151" i="22"/>
  <c r="A150" i="22"/>
  <c r="E148" i="13"/>
  <c r="E148" i="23"/>
  <c r="E149" i="27"/>
  <c r="G149" i="27"/>
  <c r="D149" i="27"/>
  <c r="F149" i="27"/>
  <c r="H149" i="27"/>
  <c r="B150" i="13"/>
  <c r="A149" i="13"/>
  <c r="C149" i="13"/>
  <c r="E149" i="13" s="1"/>
  <c r="G148" i="23"/>
  <c r="I147" i="25"/>
  <c r="D148" i="13"/>
  <c r="D148" i="21"/>
  <c r="H148" i="21"/>
  <c r="G148" i="21"/>
  <c r="F148" i="21"/>
  <c r="E148" i="21"/>
  <c r="E148" i="25"/>
  <c r="F148" i="25"/>
  <c r="H148" i="25"/>
  <c r="D148" i="25"/>
  <c r="G148" i="25"/>
  <c r="A149" i="19"/>
  <c r="C149" i="19"/>
  <c r="E149" i="19" s="1"/>
  <c r="B150" i="19"/>
  <c r="I147" i="21"/>
  <c r="E149" i="22"/>
  <c r="D148" i="23"/>
  <c r="E148" i="26"/>
  <c r="D148" i="26"/>
  <c r="G149" i="22"/>
  <c r="B151" i="27"/>
  <c r="A150" i="27"/>
  <c r="C150" i="27"/>
  <c r="H150" i="27" s="1"/>
  <c r="A150" i="20"/>
  <c r="B151" i="20"/>
  <c r="C150" i="20"/>
  <c r="G148" i="13"/>
  <c r="A149" i="21"/>
  <c r="B150" i="21"/>
  <c r="C149" i="21"/>
  <c r="B150" i="25"/>
  <c r="C149" i="25"/>
  <c r="H149" i="25" s="1"/>
  <c r="A149" i="25"/>
  <c r="F148" i="13"/>
  <c r="B150" i="23"/>
  <c r="C149" i="23"/>
  <c r="F149" i="23" s="1"/>
  <c r="A149" i="23"/>
  <c r="D148" i="24"/>
  <c r="C149" i="26"/>
  <c r="B150" i="26"/>
  <c r="A149" i="26"/>
  <c r="E148" i="24"/>
  <c r="G42" i="2"/>
  <c r="F42" i="2"/>
  <c r="C42" i="2"/>
  <c r="D42" i="2"/>
  <c r="E42" i="2"/>
  <c r="B42" i="2"/>
  <c r="I151" i="3" l="1"/>
  <c r="G152" i="31"/>
  <c r="I151" i="31"/>
  <c r="H152" i="31"/>
  <c r="F152" i="31"/>
  <c r="E152" i="31"/>
  <c r="B154" i="3"/>
  <c r="A153" i="3"/>
  <c r="C153" i="3"/>
  <c r="G153" i="3" s="1"/>
  <c r="H152" i="3"/>
  <c r="G152" i="3"/>
  <c r="E152" i="3"/>
  <c r="F152" i="3"/>
  <c r="D152" i="3"/>
  <c r="C153" i="31"/>
  <c r="F153" i="31" s="1"/>
  <c r="A153" i="31"/>
  <c r="B154" i="31"/>
  <c r="M83" i="3"/>
  <c r="N83" i="31"/>
  <c r="L84" i="3"/>
  <c r="M84" i="31"/>
  <c r="L85" i="31"/>
  <c r="E150" i="27"/>
  <c r="K86" i="3"/>
  <c r="K87" i="31"/>
  <c r="G149" i="19"/>
  <c r="E149" i="25"/>
  <c r="I148" i="19"/>
  <c r="H149" i="19"/>
  <c r="I148" i="24"/>
  <c r="I149" i="27"/>
  <c r="I149" i="20"/>
  <c r="I148" i="26"/>
  <c r="F150" i="27"/>
  <c r="E150" i="22"/>
  <c r="I149" i="22"/>
  <c r="C150" i="19"/>
  <c r="F150" i="19" s="1"/>
  <c r="B151" i="19"/>
  <c r="A150" i="19"/>
  <c r="B151" i="13"/>
  <c r="C150" i="13"/>
  <c r="E150" i="13" s="1"/>
  <c r="A150" i="13"/>
  <c r="D149" i="23"/>
  <c r="C151" i="20"/>
  <c r="D151" i="20" s="1"/>
  <c r="B152" i="20"/>
  <c r="A151" i="20"/>
  <c r="I148" i="23"/>
  <c r="C150" i="26"/>
  <c r="D150" i="26" s="1"/>
  <c r="B151" i="26"/>
  <c r="A150" i="26"/>
  <c r="E149" i="26"/>
  <c r="G149" i="26"/>
  <c r="D149" i="26"/>
  <c r="F149" i="26"/>
  <c r="H149" i="26"/>
  <c r="E150" i="20"/>
  <c r="G150" i="20"/>
  <c r="D150" i="20"/>
  <c r="F150" i="20"/>
  <c r="G149" i="23"/>
  <c r="G149" i="25"/>
  <c r="F149" i="25"/>
  <c r="H149" i="13"/>
  <c r="F149" i="24"/>
  <c r="G149" i="24"/>
  <c r="E149" i="24"/>
  <c r="H149" i="24"/>
  <c r="D149" i="24"/>
  <c r="F149" i="13"/>
  <c r="C151" i="22"/>
  <c r="G151" i="22" s="1"/>
  <c r="B152" i="22"/>
  <c r="A151" i="22"/>
  <c r="H150" i="20"/>
  <c r="H149" i="23"/>
  <c r="G149" i="21"/>
  <c r="E149" i="21"/>
  <c r="F149" i="21"/>
  <c r="F149" i="19"/>
  <c r="I148" i="25"/>
  <c r="I148" i="21"/>
  <c r="D149" i="13"/>
  <c r="H150" i="22"/>
  <c r="F150" i="22"/>
  <c r="G150" i="22"/>
  <c r="G150" i="27"/>
  <c r="C150" i="23"/>
  <c r="D150" i="23" s="1"/>
  <c r="B151" i="23"/>
  <c r="A150" i="23"/>
  <c r="E149" i="23"/>
  <c r="A150" i="25"/>
  <c r="C150" i="25"/>
  <c r="E150" i="25" s="1"/>
  <c r="B151" i="25"/>
  <c r="B151" i="24"/>
  <c r="C150" i="24"/>
  <c r="A150" i="24"/>
  <c r="A150" i="21"/>
  <c r="C150" i="21"/>
  <c r="B151" i="21"/>
  <c r="A151" i="27"/>
  <c r="C151" i="27"/>
  <c r="B152" i="27"/>
  <c r="D149" i="19"/>
  <c r="I148" i="13"/>
  <c r="G149" i="13"/>
  <c r="D149" i="21"/>
  <c r="D149" i="25"/>
  <c r="D150" i="27"/>
  <c r="H149" i="21"/>
  <c r="I152" i="31" l="1"/>
  <c r="D153" i="31"/>
  <c r="I152" i="3"/>
  <c r="G153" i="31"/>
  <c r="B155" i="31"/>
  <c r="C154" i="31"/>
  <c r="D154" i="31" s="1"/>
  <c r="A154" i="31"/>
  <c r="E153" i="31"/>
  <c r="H153" i="31"/>
  <c r="H153" i="3"/>
  <c r="F153" i="3"/>
  <c r="D153" i="3"/>
  <c r="A154" i="3"/>
  <c r="B155" i="3"/>
  <c r="C154" i="3"/>
  <c r="E153" i="3"/>
  <c r="N83" i="3"/>
  <c r="O83" i="31"/>
  <c r="O83" i="3" s="1"/>
  <c r="M84" i="3"/>
  <c r="N84" i="31"/>
  <c r="L85" i="3"/>
  <c r="M85" i="31"/>
  <c r="M85" i="3" s="1"/>
  <c r="L86" i="31"/>
  <c r="G150" i="13"/>
  <c r="E150" i="23"/>
  <c r="D150" i="13"/>
  <c r="K87" i="3"/>
  <c r="K88" i="31"/>
  <c r="D150" i="19"/>
  <c r="F150" i="23"/>
  <c r="G150" i="19"/>
  <c r="G150" i="23"/>
  <c r="F150" i="13"/>
  <c r="H150" i="19"/>
  <c r="H150" i="13"/>
  <c r="H150" i="23"/>
  <c r="I149" i="19"/>
  <c r="I149" i="24"/>
  <c r="H150" i="26"/>
  <c r="F151" i="22"/>
  <c r="H151" i="22"/>
  <c r="D151" i="22"/>
  <c r="E151" i="22"/>
  <c r="A151" i="26"/>
  <c r="C151" i="26"/>
  <c r="H151" i="26" s="1"/>
  <c r="B152" i="26"/>
  <c r="D150" i="24"/>
  <c r="G150" i="24"/>
  <c r="E150" i="24"/>
  <c r="F150" i="24"/>
  <c r="H150" i="24"/>
  <c r="I150" i="27"/>
  <c r="A151" i="25"/>
  <c r="C151" i="25"/>
  <c r="B152" i="25"/>
  <c r="I149" i="13"/>
  <c r="I149" i="26"/>
  <c r="C152" i="20"/>
  <c r="A152" i="20"/>
  <c r="B153" i="20"/>
  <c r="B152" i="19"/>
  <c r="C151" i="19"/>
  <c r="E151" i="19" s="1"/>
  <c r="A151" i="19"/>
  <c r="F150" i="26"/>
  <c r="G150" i="26"/>
  <c r="G151" i="27"/>
  <c r="E151" i="27"/>
  <c r="F151" i="27"/>
  <c r="D151" i="27"/>
  <c r="H151" i="27"/>
  <c r="I149" i="25"/>
  <c r="B152" i="21"/>
  <c r="A151" i="21"/>
  <c r="C151" i="21"/>
  <c r="F150" i="25"/>
  <c r="G150" i="25"/>
  <c r="F151" i="20"/>
  <c r="H151" i="20"/>
  <c r="E151" i="20"/>
  <c r="G151" i="20"/>
  <c r="I150" i="22"/>
  <c r="I149" i="21"/>
  <c r="H150" i="21"/>
  <c r="F150" i="21"/>
  <c r="D150" i="21"/>
  <c r="G150" i="21"/>
  <c r="E150" i="21"/>
  <c r="A151" i="23"/>
  <c r="B152" i="23"/>
  <c r="C151" i="23"/>
  <c r="F151" i="23" s="1"/>
  <c r="I149" i="23"/>
  <c r="C151" i="13"/>
  <c r="E151" i="13" s="1"/>
  <c r="B152" i="13"/>
  <c r="A151" i="13"/>
  <c r="E150" i="26"/>
  <c r="C152" i="27"/>
  <c r="H152" i="27" s="1"/>
  <c r="A152" i="27"/>
  <c r="B153" i="27"/>
  <c r="B152" i="24"/>
  <c r="A151" i="24"/>
  <c r="C151" i="24"/>
  <c r="G151" i="24" s="1"/>
  <c r="A152" i="22"/>
  <c r="B153" i="22"/>
  <c r="C152" i="22"/>
  <c r="I150" i="20"/>
  <c r="H150" i="25"/>
  <c r="E150" i="19"/>
  <c r="D150" i="25"/>
  <c r="I153" i="31" l="1"/>
  <c r="I153" i="3"/>
  <c r="B156" i="31"/>
  <c r="C155" i="31"/>
  <c r="F155" i="31" s="1"/>
  <c r="A155" i="31"/>
  <c r="G154" i="31"/>
  <c r="H154" i="31"/>
  <c r="F154" i="31"/>
  <c r="E154" i="31"/>
  <c r="E154" i="3"/>
  <c r="H154" i="3"/>
  <c r="D154" i="3"/>
  <c r="G154" i="3"/>
  <c r="F154" i="3"/>
  <c r="B156" i="3"/>
  <c r="A155" i="3"/>
  <c r="C155" i="3"/>
  <c r="N84" i="3"/>
  <c r="P83" i="31"/>
  <c r="O84" i="31"/>
  <c r="N85" i="31"/>
  <c r="L86" i="3"/>
  <c r="M86" i="31"/>
  <c r="L87" i="31"/>
  <c r="D151" i="13"/>
  <c r="I150" i="23"/>
  <c r="K89" i="31"/>
  <c r="K88" i="3"/>
  <c r="I150" i="13"/>
  <c r="I150" i="19"/>
  <c r="D151" i="26"/>
  <c r="F151" i="26"/>
  <c r="F151" i="13"/>
  <c r="I150" i="26"/>
  <c r="I151" i="20"/>
  <c r="I151" i="22"/>
  <c r="D151" i="19"/>
  <c r="H151" i="19"/>
  <c r="I151" i="27"/>
  <c r="C152" i="13"/>
  <c r="D152" i="13" s="1"/>
  <c r="B153" i="13"/>
  <c r="A152" i="13"/>
  <c r="A152" i="23"/>
  <c r="B153" i="23"/>
  <c r="C152" i="23"/>
  <c r="D152" i="23" s="1"/>
  <c r="D151" i="21"/>
  <c r="F151" i="21"/>
  <c r="E151" i="21"/>
  <c r="H151" i="21"/>
  <c r="I150" i="25"/>
  <c r="E152" i="27"/>
  <c r="F152" i="27"/>
  <c r="D152" i="27"/>
  <c r="C152" i="25"/>
  <c r="A152" i="25"/>
  <c r="B153" i="25"/>
  <c r="C153" i="27"/>
  <c r="H153" i="27" s="1"/>
  <c r="A153" i="27"/>
  <c r="B154" i="27"/>
  <c r="B153" i="21"/>
  <c r="A152" i="21"/>
  <c r="C152" i="21"/>
  <c r="E152" i="21" s="1"/>
  <c r="D151" i="25"/>
  <c r="G151" i="25"/>
  <c r="H151" i="25"/>
  <c r="F151" i="25"/>
  <c r="E151" i="25"/>
  <c r="I150" i="24"/>
  <c r="H151" i="24"/>
  <c r="E151" i="24"/>
  <c r="G151" i="13"/>
  <c r="E151" i="23"/>
  <c r="A152" i="19"/>
  <c r="B153" i="19"/>
  <c r="C152" i="19"/>
  <c r="H152" i="19" s="1"/>
  <c r="C152" i="26"/>
  <c r="A152" i="26"/>
  <c r="B153" i="26"/>
  <c r="G151" i="21"/>
  <c r="H151" i="23"/>
  <c r="E151" i="26"/>
  <c r="G151" i="26"/>
  <c r="E152" i="22"/>
  <c r="D152" i="22"/>
  <c r="F152" i="22"/>
  <c r="H152" i="22"/>
  <c r="G152" i="22"/>
  <c r="C152" i="24"/>
  <c r="A152" i="24"/>
  <c r="B153" i="24"/>
  <c r="H151" i="13"/>
  <c r="D151" i="23"/>
  <c r="D151" i="24"/>
  <c r="F151" i="19"/>
  <c r="F151" i="24"/>
  <c r="I150" i="21"/>
  <c r="B154" i="20"/>
  <c r="A153" i="20"/>
  <c r="C153" i="20"/>
  <c r="F153" i="20" s="1"/>
  <c r="C153" i="22"/>
  <c r="A153" i="22"/>
  <c r="B154" i="22"/>
  <c r="G151" i="23"/>
  <c r="G151" i="19"/>
  <c r="H152" i="20"/>
  <c r="G152" i="20"/>
  <c r="D152" i="20"/>
  <c r="F152" i="20"/>
  <c r="E152" i="20"/>
  <c r="G152" i="27"/>
  <c r="E155" i="31" l="1"/>
  <c r="I154" i="31"/>
  <c r="P84" i="31"/>
  <c r="P84" i="3" s="1"/>
  <c r="B157" i="3"/>
  <c r="C156" i="3"/>
  <c r="E156" i="3" s="1"/>
  <c r="A156" i="3"/>
  <c r="G155" i="31"/>
  <c r="D155" i="31"/>
  <c r="H155" i="31"/>
  <c r="B157" i="31"/>
  <c r="C156" i="31"/>
  <c r="E156" i="31" s="1"/>
  <c r="A156" i="31"/>
  <c r="F155" i="3"/>
  <c r="E155" i="3"/>
  <c r="I154" i="3"/>
  <c r="G155" i="3"/>
  <c r="H155" i="3"/>
  <c r="D155" i="3"/>
  <c r="P83" i="3"/>
  <c r="Q83" i="31"/>
  <c r="N85" i="3"/>
  <c r="M86" i="3"/>
  <c r="O84" i="3"/>
  <c r="O85" i="31"/>
  <c r="N86" i="31"/>
  <c r="L87" i="3"/>
  <c r="M87" i="31"/>
  <c r="E152" i="23"/>
  <c r="L88" i="31"/>
  <c r="K90" i="31"/>
  <c r="K89" i="3"/>
  <c r="F152" i="19"/>
  <c r="D153" i="27"/>
  <c r="I151" i="19"/>
  <c r="I151" i="13"/>
  <c r="I151" i="26"/>
  <c r="E153" i="27"/>
  <c r="G152" i="13"/>
  <c r="E152" i="13"/>
  <c r="F153" i="27"/>
  <c r="H152" i="13"/>
  <c r="B154" i="25"/>
  <c r="C153" i="25"/>
  <c r="F153" i="25" s="1"/>
  <c r="A153" i="25"/>
  <c r="D153" i="22"/>
  <c r="H153" i="22"/>
  <c r="F153" i="22"/>
  <c r="G153" i="22"/>
  <c r="E153" i="22"/>
  <c r="C153" i="26"/>
  <c r="B154" i="26"/>
  <c r="A153" i="26"/>
  <c r="B154" i="19"/>
  <c r="A153" i="19"/>
  <c r="C153" i="19"/>
  <c r="E153" i="19" s="1"/>
  <c r="C153" i="21"/>
  <c r="B154" i="21"/>
  <c r="A153" i="21"/>
  <c r="F152" i="25"/>
  <c r="E152" i="25"/>
  <c r="G152" i="25"/>
  <c r="H152" i="25"/>
  <c r="D152" i="25"/>
  <c r="B154" i="23"/>
  <c r="C153" i="23"/>
  <c r="D153" i="23" s="1"/>
  <c r="A153" i="23"/>
  <c r="E152" i="24"/>
  <c r="H152" i="24"/>
  <c r="G152" i="24"/>
  <c r="D152" i="24"/>
  <c r="F152" i="24"/>
  <c r="I152" i="20"/>
  <c r="I151" i="24"/>
  <c r="I152" i="27"/>
  <c r="A153" i="13"/>
  <c r="C153" i="13"/>
  <c r="H153" i="13" s="1"/>
  <c r="B154" i="13"/>
  <c r="E153" i="20"/>
  <c r="D153" i="20"/>
  <c r="H153" i="20"/>
  <c r="I151" i="23"/>
  <c r="I152" i="22"/>
  <c r="F152" i="26"/>
  <c r="E152" i="26"/>
  <c r="H152" i="26"/>
  <c r="G152" i="26"/>
  <c r="D152" i="26"/>
  <c r="I151" i="21"/>
  <c r="G152" i="19"/>
  <c r="C154" i="27"/>
  <c r="B155" i="27"/>
  <c r="A154" i="27"/>
  <c r="H152" i="23"/>
  <c r="F152" i="13"/>
  <c r="G153" i="27"/>
  <c r="A154" i="22"/>
  <c r="C154" i="22"/>
  <c r="D154" i="22" s="1"/>
  <c r="B155" i="22"/>
  <c r="G152" i="21"/>
  <c r="H152" i="21"/>
  <c r="F152" i="21"/>
  <c r="D152" i="21"/>
  <c r="C154" i="20"/>
  <c r="G154" i="20" s="1"/>
  <c r="A154" i="20"/>
  <c r="B155" i="20"/>
  <c r="C153" i="24"/>
  <c r="D153" i="24" s="1"/>
  <c r="A153" i="24"/>
  <c r="B154" i="24"/>
  <c r="E152" i="19"/>
  <c r="G152" i="23"/>
  <c r="D152" i="19"/>
  <c r="I151" i="25"/>
  <c r="F152" i="23"/>
  <c r="G153" i="20"/>
  <c r="D156" i="3" l="1"/>
  <c r="Q84" i="31"/>
  <c r="A157" i="31"/>
  <c r="B158" i="31"/>
  <c r="C157" i="31"/>
  <c r="F157" i="31" s="1"/>
  <c r="I155" i="3"/>
  <c r="C157" i="3"/>
  <c r="H157" i="3" s="1"/>
  <c r="B158" i="3"/>
  <c r="A157" i="3"/>
  <c r="D156" i="31"/>
  <c r="G156" i="3"/>
  <c r="H156" i="3"/>
  <c r="G156" i="31"/>
  <c r="F156" i="31"/>
  <c r="F156" i="3"/>
  <c r="I155" i="31"/>
  <c r="H156" i="31"/>
  <c r="Q83" i="3"/>
  <c r="R83" i="31"/>
  <c r="S83" i="31" s="1"/>
  <c r="T83" i="31" s="1"/>
  <c r="Q84" i="3"/>
  <c r="P85" i="31"/>
  <c r="P85" i="3" s="1"/>
  <c r="M87" i="3"/>
  <c r="O85" i="3"/>
  <c r="O86" i="31"/>
  <c r="O86" i="3" s="1"/>
  <c r="N86" i="3"/>
  <c r="N87" i="31"/>
  <c r="N87" i="3" s="1"/>
  <c r="L88" i="3"/>
  <c r="M88" i="31"/>
  <c r="L89" i="31"/>
  <c r="F153" i="19"/>
  <c r="G153" i="23"/>
  <c r="K91" i="31"/>
  <c r="K90" i="3"/>
  <c r="H153" i="24"/>
  <c r="I152" i="25"/>
  <c r="I152" i="23"/>
  <c r="I153" i="27"/>
  <c r="H153" i="19"/>
  <c r="I152" i="13"/>
  <c r="G153" i="19"/>
  <c r="E153" i="13"/>
  <c r="E153" i="23"/>
  <c r="D153" i="19"/>
  <c r="G153" i="13"/>
  <c r="F153" i="13"/>
  <c r="D153" i="13"/>
  <c r="A155" i="20"/>
  <c r="C155" i="20"/>
  <c r="F155" i="20" s="1"/>
  <c r="B156" i="20"/>
  <c r="D153" i="25"/>
  <c r="H153" i="25"/>
  <c r="D154" i="20"/>
  <c r="H154" i="20"/>
  <c r="G153" i="25"/>
  <c r="E153" i="25"/>
  <c r="E154" i="22"/>
  <c r="F153" i="23"/>
  <c r="E154" i="27"/>
  <c r="H154" i="27"/>
  <c r="F154" i="27"/>
  <c r="G154" i="27"/>
  <c r="D154" i="27"/>
  <c r="D153" i="26"/>
  <c r="E153" i="26"/>
  <c r="G153" i="26"/>
  <c r="H153" i="26"/>
  <c r="F154" i="20"/>
  <c r="F153" i="26"/>
  <c r="C154" i="25"/>
  <c r="D154" i="25" s="1"/>
  <c r="B155" i="25"/>
  <c r="A154" i="25"/>
  <c r="I152" i="21"/>
  <c r="C154" i="13"/>
  <c r="G154" i="13" s="1"/>
  <c r="B155" i="13"/>
  <c r="A154" i="13"/>
  <c r="H153" i="23"/>
  <c r="A154" i="24"/>
  <c r="C154" i="24"/>
  <c r="B155" i="24"/>
  <c r="I152" i="26"/>
  <c r="I153" i="20"/>
  <c r="I152" i="24"/>
  <c r="E154" i="20"/>
  <c r="B156" i="22"/>
  <c r="C155" i="22"/>
  <c r="E155" i="22" s="1"/>
  <c r="A155" i="22"/>
  <c r="B155" i="26"/>
  <c r="C154" i="26"/>
  <c r="D154" i="26" s="1"/>
  <c r="A154" i="26"/>
  <c r="B155" i="21"/>
  <c r="C154" i="21"/>
  <c r="D154" i="21" s="1"/>
  <c r="A154" i="21"/>
  <c r="C154" i="19"/>
  <c r="G154" i="19" s="1"/>
  <c r="A154" i="19"/>
  <c r="B155" i="19"/>
  <c r="I153" i="22"/>
  <c r="I152" i="19"/>
  <c r="E153" i="24"/>
  <c r="F153" i="24"/>
  <c r="G153" i="24"/>
  <c r="C155" i="27"/>
  <c r="B156" i="27"/>
  <c r="A155" i="27"/>
  <c r="H154" i="22"/>
  <c r="C154" i="23"/>
  <c r="G154" i="23" s="1"/>
  <c r="A154" i="23"/>
  <c r="B155" i="23"/>
  <c r="D153" i="21"/>
  <c r="H153" i="21"/>
  <c r="G153" i="21"/>
  <c r="E153" i="21"/>
  <c r="F153" i="21"/>
  <c r="G154" i="22"/>
  <c r="F154" i="22"/>
  <c r="D157" i="31" l="1"/>
  <c r="I156" i="31"/>
  <c r="I156" i="3"/>
  <c r="T83" i="3"/>
  <c r="T84" i="31"/>
  <c r="B159" i="31"/>
  <c r="A158" i="31"/>
  <c r="C158" i="31"/>
  <c r="S83" i="3"/>
  <c r="C158" i="3"/>
  <c r="B159" i="3"/>
  <c r="A158" i="3"/>
  <c r="E157" i="31"/>
  <c r="G157" i="31"/>
  <c r="H157" i="31"/>
  <c r="G157" i="3"/>
  <c r="E157" i="3"/>
  <c r="F157" i="3"/>
  <c r="D157" i="3"/>
  <c r="Q85" i="31"/>
  <c r="Q85" i="3" s="1"/>
  <c r="R83" i="3"/>
  <c r="R84" i="31"/>
  <c r="S84" i="31" s="1"/>
  <c r="J83" i="31"/>
  <c r="P86" i="31"/>
  <c r="P86" i="3" s="1"/>
  <c r="M88" i="3"/>
  <c r="O87" i="31"/>
  <c r="N88" i="31"/>
  <c r="L89" i="3"/>
  <c r="M89" i="31"/>
  <c r="M89" i="3" s="1"/>
  <c r="L90" i="31"/>
  <c r="K92" i="31"/>
  <c r="K91" i="3"/>
  <c r="H154" i="23"/>
  <c r="D154" i="13"/>
  <c r="F154" i="19"/>
  <c r="D154" i="23"/>
  <c r="H154" i="19"/>
  <c r="E154" i="23"/>
  <c r="H154" i="25"/>
  <c r="F154" i="13"/>
  <c r="E154" i="25"/>
  <c r="H155" i="22"/>
  <c r="I153" i="19"/>
  <c r="I153" i="13"/>
  <c r="I153" i="23"/>
  <c r="F154" i="23"/>
  <c r="H154" i="13"/>
  <c r="I153" i="21"/>
  <c r="I154" i="22"/>
  <c r="E155" i="20"/>
  <c r="C156" i="27"/>
  <c r="A156" i="27"/>
  <c r="B157" i="27"/>
  <c r="B156" i="26"/>
  <c r="A155" i="26"/>
  <c r="C155" i="26"/>
  <c r="G155" i="26" s="1"/>
  <c r="C155" i="24"/>
  <c r="G155" i="24" s="1"/>
  <c r="B156" i="24"/>
  <c r="A155" i="24"/>
  <c r="C155" i="25"/>
  <c r="B156" i="25"/>
  <c r="A155" i="25"/>
  <c r="I153" i="26"/>
  <c r="F154" i="25"/>
  <c r="A155" i="19"/>
  <c r="B156" i="19"/>
  <c r="C155" i="19"/>
  <c r="E155" i="19" s="1"/>
  <c r="E155" i="27"/>
  <c r="H155" i="27"/>
  <c r="D155" i="27"/>
  <c r="F155" i="27"/>
  <c r="G155" i="27"/>
  <c r="D154" i="24"/>
  <c r="H154" i="24"/>
  <c r="G154" i="24"/>
  <c r="F154" i="24"/>
  <c r="I154" i="27"/>
  <c r="I154" i="20"/>
  <c r="F154" i="26"/>
  <c r="E154" i="21"/>
  <c r="H154" i="21"/>
  <c r="G154" i="21"/>
  <c r="D155" i="22"/>
  <c r="F155" i="22"/>
  <c r="B156" i="13"/>
  <c r="A155" i="13"/>
  <c r="C155" i="13"/>
  <c r="G155" i="13" s="1"/>
  <c r="A155" i="23"/>
  <c r="B156" i="23"/>
  <c r="C155" i="23"/>
  <c r="H155" i="23" s="1"/>
  <c r="D154" i="19"/>
  <c r="C155" i="21"/>
  <c r="E155" i="21" s="1"/>
  <c r="B156" i="21"/>
  <c r="A155" i="21"/>
  <c r="A156" i="22"/>
  <c r="C156" i="22"/>
  <c r="B157" i="22"/>
  <c r="G154" i="25"/>
  <c r="I153" i="25"/>
  <c r="F154" i="21"/>
  <c r="I153" i="24"/>
  <c r="H155" i="20"/>
  <c r="E154" i="26"/>
  <c r="D155" i="20"/>
  <c r="G155" i="22"/>
  <c r="E154" i="19"/>
  <c r="G154" i="26"/>
  <c r="E154" i="13"/>
  <c r="H154" i="26"/>
  <c r="G155" i="20"/>
  <c r="B157" i="20"/>
  <c r="A156" i="20"/>
  <c r="C156" i="20"/>
  <c r="E154" i="24"/>
  <c r="T84" i="3" l="1"/>
  <c r="I157" i="31"/>
  <c r="S84" i="3"/>
  <c r="I157" i="3"/>
  <c r="H158" i="31"/>
  <c r="F158" i="31"/>
  <c r="D158" i="31"/>
  <c r="G158" i="31"/>
  <c r="F158" i="3"/>
  <c r="G158" i="3"/>
  <c r="H158" i="3"/>
  <c r="D158" i="3"/>
  <c r="E158" i="3"/>
  <c r="J83" i="3"/>
  <c r="E158" i="31"/>
  <c r="C159" i="3"/>
  <c r="D159" i="3" s="1"/>
  <c r="A159" i="3"/>
  <c r="B160" i="3"/>
  <c r="B160" i="31"/>
  <c r="A159" i="31"/>
  <c r="C159" i="31"/>
  <c r="E159" i="31" s="1"/>
  <c r="R84" i="3"/>
  <c r="R85" i="31"/>
  <c r="S85" i="31" s="1"/>
  <c r="J84" i="31"/>
  <c r="Q86" i="31"/>
  <c r="P87" i="31"/>
  <c r="P87" i="3" s="1"/>
  <c r="O87" i="3"/>
  <c r="O88" i="31"/>
  <c r="N88" i="3"/>
  <c r="N89" i="31"/>
  <c r="L90" i="3"/>
  <c r="M90" i="31"/>
  <c r="L91" i="31"/>
  <c r="G155" i="19"/>
  <c r="I154" i="23"/>
  <c r="K92" i="3"/>
  <c r="K93" i="31"/>
  <c r="F155" i="26"/>
  <c r="I154" i="13"/>
  <c r="H155" i="13"/>
  <c r="I154" i="21"/>
  <c r="I154" i="25"/>
  <c r="I154" i="26"/>
  <c r="H155" i="19"/>
  <c r="C156" i="25"/>
  <c r="D156" i="25" s="1"/>
  <c r="A156" i="25"/>
  <c r="B157" i="25"/>
  <c r="E156" i="20"/>
  <c r="D156" i="20"/>
  <c r="H156" i="20"/>
  <c r="F156" i="20"/>
  <c r="G156" i="20"/>
  <c r="F155" i="21"/>
  <c r="H155" i="21"/>
  <c r="D155" i="21"/>
  <c r="I155" i="27"/>
  <c r="H156" i="27"/>
  <c r="F156" i="27"/>
  <c r="E156" i="27"/>
  <c r="D156" i="27"/>
  <c r="G156" i="27"/>
  <c r="G155" i="21"/>
  <c r="I154" i="19"/>
  <c r="A156" i="13"/>
  <c r="B157" i="13"/>
  <c r="C156" i="13"/>
  <c r="D156" i="13" s="1"/>
  <c r="A156" i="19"/>
  <c r="B157" i="19"/>
  <c r="C156" i="19"/>
  <c r="F156" i="19" s="1"/>
  <c r="C156" i="24"/>
  <c r="A156" i="24"/>
  <c r="B157" i="24"/>
  <c r="A157" i="27"/>
  <c r="C157" i="27"/>
  <c r="F157" i="27" s="1"/>
  <c r="B158" i="27"/>
  <c r="C156" i="23"/>
  <c r="H156" i="23" s="1"/>
  <c r="B157" i="23"/>
  <c r="A156" i="23"/>
  <c r="A157" i="22"/>
  <c r="B158" i="22"/>
  <c r="C157" i="22"/>
  <c r="G155" i="23"/>
  <c r="D155" i="13"/>
  <c r="I155" i="22"/>
  <c r="D155" i="26"/>
  <c r="E155" i="26"/>
  <c r="H155" i="26"/>
  <c r="A157" i="20"/>
  <c r="B158" i="20"/>
  <c r="C157" i="20"/>
  <c r="G157" i="20" s="1"/>
  <c r="I155" i="20"/>
  <c r="H156" i="22"/>
  <c r="G156" i="22"/>
  <c r="F156" i="22"/>
  <c r="D156" i="22"/>
  <c r="E156" i="22"/>
  <c r="E155" i="23"/>
  <c r="F155" i="13"/>
  <c r="D155" i="19"/>
  <c r="C156" i="21"/>
  <c r="D156" i="21" s="1"/>
  <c r="A156" i="21"/>
  <c r="B157" i="21"/>
  <c r="F155" i="25"/>
  <c r="D155" i="25"/>
  <c r="E155" i="25"/>
  <c r="G155" i="25"/>
  <c r="H155" i="25"/>
  <c r="F155" i="23"/>
  <c r="D155" i="24"/>
  <c r="F155" i="24"/>
  <c r="H155" i="24"/>
  <c r="E155" i="24"/>
  <c r="D155" i="23"/>
  <c r="E155" i="13"/>
  <c r="I154" i="24"/>
  <c r="F155" i="19"/>
  <c r="A156" i="26"/>
  <c r="B157" i="26"/>
  <c r="C156" i="26"/>
  <c r="J84" i="3" l="1"/>
  <c r="G159" i="31"/>
  <c r="F159" i="3"/>
  <c r="G159" i="3"/>
  <c r="E159" i="3"/>
  <c r="H159" i="3"/>
  <c r="I158" i="3"/>
  <c r="T85" i="31"/>
  <c r="J85" i="31" s="1"/>
  <c r="S85" i="3"/>
  <c r="I158" i="31"/>
  <c r="B161" i="3"/>
  <c r="A160" i="3"/>
  <c r="C160" i="3"/>
  <c r="G160" i="3" s="1"/>
  <c r="P88" i="31"/>
  <c r="P88" i="3" s="1"/>
  <c r="F159" i="31"/>
  <c r="H159" i="31"/>
  <c r="D159" i="31"/>
  <c r="A160" i="31"/>
  <c r="C160" i="31"/>
  <c r="D160" i="31" s="1"/>
  <c r="B161" i="31"/>
  <c r="R85" i="3"/>
  <c r="R86" i="31"/>
  <c r="Q86" i="3"/>
  <c r="Q87" i="31"/>
  <c r="M90" i="3"/>
  <c r="O88" i="3"/>
  <c r="O89" i="31"/>
  <c r="N89" i="3"/>
  <c r="N90" i="31"/>
  <c r="L91" i="3"/>
  <c r="M91" i="31"/>
  <c r="M91" i="3" s="1"/>
  <c r="L92" i="31"/>
  <c r="E156" i="25"/>
  <c r="G157" i="27"/>
  <c r="F156" i="25"/>
  <c r="K93" i="3"/>
  <c r="K94" i="31"/>
  <c r="F156" i="13"/>
  <c r="E156" i="13"/>
  <c r="H156" i="13"/>
  <c r="I155" i="21"/>
  <c r="I155" i="19"/>
  <c r="H156" i="19"/>
  <c r="E156" i="19"/>
  <c r="E156" i="21"/>
  <c r="H156" i="21"/>
  <c r="D156" i="19"/>
  <c r="G156" i="19"/>
  <c r="I155" i="24"/>
  <c r="A157" i="21"/>
  <c r="B158" i="21"/>
  <c r="C157" i="21"/>
  <c r="F157" i="21" s="1"/>
  <c r="A158" i="22"/>
  <c r="C158" i="22"/>
  <c r="H158" i="22" s="1"/>
  <c r="B159" i="22"/>
  <c r="E156" i="23"/>
  <c r="H156" i="25"/>
  <c r="G156" i="25"/>
  <c r="F156" i="26"/>
  <c r="D156" i="26"/>
  <c r="H156" i="26"/>
  <c r="E156" i="26"/>
  <c r="G156" i="26"/>
  <c r="E157" i="20"/>
  <c r="F157" i="20"/>
  <c r="F156" i="23"/>
  <c r="C157" i="13"/>
  <c r="E157" i="13" s="1"/>
  <c r="B158" i="13"/>
  <c r="A157" i="13"/>
  <c r="B158" i="23"/>
  <c r="C157" i="23"/>
  <c r="H157" i="23" s="1"/>
  <c r="A157" i="23"/>
  <c r="A157" i="25"/>
  <c r="C157" i="25"/>
  <c r="G157" i="25" s="1"/>
  <c r="B158" i="25"/>
  <c r="I155" i="23"/>
  <c r="I155" i="26"/>
  <c r="D157" i="27"/>
  <c r="H157" i="27"/>
  <c r="C157" i="26"/>
  <c r="D157" i="26" s="1"/>
  <c r="A157" i="26"/>
  <c r="B158" i="26"/>
  <c r="D157" i="20"/>
  <c r="H157" i="20"/>
  <c r="I155" i="13"/>
  <c r="D156" i="23"/>
  <c r="A157" i="24"/>
  <c r="C157" i="24"/>
  <c r="B158" i="24"/>
  <c r="B158" i="19"/>
  <c r="A157" i="19"/>
  <c r="C157" i="19"/>
  <c r="H157" i="19" s="1"/>
  <c r="G156" i="21"/>
  <c r="F156" i="21"/>
  <c r="I156" i="27"/>
  <c r="I155" i="25"/>
  <c r="C158" i="20"/>
  <c r="B159" i="20"/>
  <c r="A158" i="20"/>
  <c r="G156" i="23"/>
  <c r="I156" i="20"/>
  <c r="E157" i="27"/>
  <c r="C158" i="27"/>
  <c r="F158" i="27" s="1"/>
  <c r="A158" i="27"/>
  <c r="B159" i="27"/>
  <c r="I156" i="22"/>
  <c r="D157" i="22"/>
  <c r="G157" i="22"/>
  <c r="H157" i="22"/>
  <c r="F157" i="22"/>
  <c r="E157" i="22"/>
  <c r="G156" i="24"/>
  <c r="E156" i="24"/>
  <c r="H156" i="24"/>
  <c r="F156" i="24"/>
  <c r="D156" i="24"/>
  <c r="G156" i="13"/>
  <c r="G160" i="31" l="1"/>
  <c r="I159" i="3"/>
  <c r="D160" i="3"/>
  <c r="E160" i="3"/>
  <c r="T85" i="3"/>
  <c r="J85" i="3" s="1"/>
  <c r="P89" i="31"/>
  <c r="P89" i="3" s="1"/>
  <c r="C161" i="31"/>
  <c r="H161" i="31" s="1"/>
  <c r="A161" i="31"/>
  <c r="B162" i="31"/>
  <c r="C161" i="3"/>
  <c r="A161" i="3"/>
  <c r="B162" i="3"/>
  <c r="H160" i="31"/>
  <c r="E160" i="31"/>
  <c r="F160" i="31"/>
  <c r="I159" i="31"/>
  <c r="F160" i="3"/>
  <c r="H160" i="3"/>
  <c r="S86" i="31"/>
  <c r="T86" i="31" s="1"/>
  <c r="R86" i="3"/>
  <c r="R87" i="31"/>
  <c r="Q87" i="3"/>
  <c r="Q88" i="31"/>
  <c r="N90" i="3"/>
  <c r="O89" i="3"/>
  <c r="O90" i="31"/>
  <c r="N91" i="31"/>
  <c r="L92" i="3"/>
  <c r="M92" i="31"/>
  <c r="L93" i="31"/>
  <c r="E158" i="22"/>
  <c r="E157" i="19"/>
  <c r="G157" i="19"/>
  <c r="K94" i="3"/>
  <c r="K95" i="31"/>
  <c r="I156" i="13"/>
  <c r="D158" i="22"/>
  <c r="E157" i="25"/>
  <c r="G157" i="21"/>
  <c r="D157" i="21"/>
  <c r="D157" i="13"/>
  <c r="H157" i="13"/>
  <c r="I156" i="21"/>
  <c r="I156" i="25"/>
  <c r="I156" i="19"/>
  <c r="F157" i="25"/>
  <c r="E157" i="23"/>
  <c r="I156" i="23"/>
  <c r="D157" i="23"/>
  <c r="F157" i="23"/>
  <c r="D157" i="25"/>
  <c r="I157" i="27"/>
  <c r="G157" i="23"/>
  <c r="F157" i="13"/>
  <c r="C158" i="21"/>
  <c r="B159" i="21"/>
  <c r="A158" i="21"/>
  <c r="I157" i="20"/>
  <c r="H158" i="20"/>
  <c r="F158" i="20"/>
  <c r="G158" i="20"/>
  <c r="E158" i="20"/>
  <c r="D158" i="20"/>
  <c r="A158" i="19"/>
  <c r="B159" i="19"/>
  <c r="C158" i="19"/>
  <c r="H158" i="19" s="1"/>
  <c r="C158" i="26"/>
  <c r="B159" i="26"/>
  <c r="A158" i="26"/>
  <c r="A158" i="13"/>
  <c r="B159" i="13"/>
  <c r="C158" i="13"/>
  <c r="F158" i="13" s="1"/>
  <c r="I156" i="26"/>
  <c r="E157" i="21"/>
  <c r="A159" i="27"/>
  <c r="B160" i="27"/>
  <c r="C159" i="27"/>
  <c r="E159" i="27" s="1"/>
  <c r="A158" i="24"/>
  <c r="B159" i="24"/>
  <c r="C158" i="24"/>
  <c r="G158" i="24" s="1"/>
  <c r="I157" i="22"/>
  <c r="D157" i="19"/>
  <c r="D157" i="24"/>
  <c r="G157" i="24"/>
  <c r="F157" i="24"/>
  <c r="H157" i="24"/>
  <c r="E157" i="24"/>
  <c r="H157" i="26"/>
  <c r="G157" i="26"/>
  <c r="E157" i="26"/>
  <c r="B159" i="23"/>
  <c r="A158" i="23"/>
  <c r="C158" i="23"/>
  <c r="H158" i="23" s="1"/>
  <c r="C159" i="22"/>
  <c r="A159" i="22"/>
  <c r="B160" i="22"/>
  <c r="H157" i="25"/>
  <c r="C159" i="20"/>
  <c r="F159" i="20" s="1"/>
  <c r="A159" i="20"/>
  <c r="B160" i="20"/>
  <c r="I156" i="24"/>
  <c r="G158" i="27"/>
  <c r="D158" i="27"/>
  <c r="A158" i="25"/>
  <c r="C158" i="25"/>
  <c r="E158" i="25" s="1"/>
  <c r="B159" i="25"/>
  <c r="H157" i="21"/>
  <c r="F157" i="19"/>
  <c r="E158" i="27"/>
  <c r="G157" i="13"/>
  <c r="H158" i="27"/>
  <c r="F158" i="22"/>
  <c r="G158" i="22"/>
  <c r="F157" i="26"/>
  <c r="I160" i="31" l="1"/>
  <c r="G161" i="31"/>
  <c r="P90" i="31"/>
  <c r="P90" i="3" s="1"/>
  <c r="I160" i="3"/>
  <c r="T86" i="3"/>
  <c r="E161" i="3"/>
  <c r="H161" i="3"/>
  <c r="C162" i="31"/>
  <c r="E162" i="31" s="1"/>
  <c r="A162" i="31"/>
  <c r="B163" i="31"/>
  <c r="F161" i="31"/>
  <c r="E161" i="31"/>
  <c r="D161" i="31"/>
  <c r="S86" i="3"/>
  <c r="S87" i="31"/>
  <c r="T87" i="31" s="1"/>
  <c r="G161" i="3"/>
  <c r="D161" i="3"/>
  <c r="C162" i="3"/>
  <c r="A162" i="3"/>
  <c r="B163" i="3"/>
  <c r="J86" i="31"/>
  <c r="F161" i="3"/>
  <c r="R87" i="3"/>
  <c r="R88" i="31"/>
  <c r="Q88" i="3"/>
  <c r="Q89" i="31"/>
  <c r="N91" i="3"/>
  <c r="M92" i="3"/>
  <c r="O90" i="3"/>
  <c r="O91" i="31"/>
  <c r="N92" i="31"/>
  <c r="M93" i="31"/>
  <c r="L93" i="3"/>
  <c r="L94" i="31"/>
  <c r="G158" i="13"/>
  <c r="E158" i="23"/>
  <c r="H158" i="13"/>
  <c r="G158" i="23"/>
  <c r="D158" i="13"/>
  <c r="K95" i="3"/>
  <c r="K96" i="31"/>
  <c r="E158" i="13"/>
  <c r="I157" i="23"/>
  <c r="I157" i="25"/>
  <c r="I158" i="22"/>
  <c r="I157" i="21"/>
  <c r="I157" i="13"/>
  <c r="I157" i="26"/>
  <c r="A159" i="21"/>
  <c r="C159" i="21"/>
  <c r="F159" i="21" s="1"/>
  <c r="B160" i="21"/>
  <c r="I158" i="27"/>
  <c r="A160" i="22"/>
  <c r="C160" i="22"/>
  <c r="H160" i="22" s="1"/>
  <c r="B161" i="22"/>
  <c r="D158" i="26"/>
  <c r="F158" i="26"/>
  <c r="E158" i="26"/>
  <c r="G158" i="26"/>
  <c r="H158" i="26"/>
  <c r="I158" i="20"/>
  <c r="F158" i="21"/>
  <c r="G158" i="21"/>
  <c r="H158" i="21"/>
  <c r="E158" i="21"/>
  <c r="D158" i="21"/>
  <c r="C159" i="24"/>
  <c r="F159" i="24" s="1"/>
  <c r="A159" i="24"/>
  <c r="B160" i="24"/>
  <c r="C159" i="19"/>
  <c r="E159" i="19" s="1"/>
  <c r="B160" i="19"/>
  <c r="A159" i="19"/>
  <c r="B160" i="26"/>
  <c r="C159" i="26"/>
  <c r="G159" i="26" s="1"/>
  <c r="A159" i="26"/>
  <c r="C159" i="23"/>
  <c r="E159" i="23" s="1"/>
  <c r="A159" i="23"/>
  <c r="B160" i="23"/>
  <c r="I157" i="24"/>
  <c r="D159" i="27"/>
  <c r="F159" i="27"/>
  <c r="E158" i="19"/>
  <c r="H159" i="27"/>
  <c r="B160" i="25"/>
  <c r="C159" i="25"/>
  <c r="E159" i="25" s="1"/>
  <c r="A159" i="25"/>
  <c r="H158" i="25"/>
  <c r="F158" i="25"/>
  <c r="F158" i="19"/>
  <c r="D158" i="23"/>
  <c r="D158" i="19"/>
  <c r="F158" i="24"/>
  <c r="E158" i="24"/>
  <c r="H158" i="24"/>
  <c r="E159" i="20"/>
  <c r="H159" i="20"/>
  <c r="D159" i="20"/>
  <c r="D159" i="22"/>
  <c r="G159" i="22"/>
  <c r="H159" i="22"/>
  <c r="F159" i="22"/>
  <c r="E159" i="22"/>
  <c r="I157" i="19"/>
  <c r="B161" i="27"/>
  <c r="A160" i="27"/>
  <c r="C160" i="27"/>
  <c r="D160" i="27" s="1"/>
  <c r="G159" i="27"/>
  <c r="A160" i="20"/>
  <c r="C160" i="20"/>
  <c r="B161" i="20"/>
  <c r="F158" i="23"/>
  <c r="D158" i="24"/>
  <c r="B160" i="13"/>
  <c r="A159" i="13"/>
  <c r="C159" i="13"/>
  <c r="H159" i="13" s="1"/>
  <c r="G158" i="19"/>
  <c r="G158" i="25"/>
  <c r="G159" i="20"/>
  <c r="D158" i="25"/>
  <c r="J86" i="3" l="1"/>
  <c r="T87" i="3"/>
  <c r="I161" i="31"/>
  <c r="J87" i="31"/>
  <c r="C163" i="3"/>
  <c r="E163" i="3" s="1"/>
  <c r="A163" i="3"/>
  <c r="B164" i="3"/>
  <c r="H162" i="3"/>
  <c r="G162" i="3"/>
  <c r="F162" i="3"/>
  <c r="D162" i="3"/>
  <c r="E162" i="3"/>
  <c r="C163" i="31"/>
  <c r="G163" i="31" s="1"/>
  <c r="A163" i="31"/>
  <c r="B164" i="31"/>
  <c r="S87" i="3"/>
  <c r="S88" i="31"/>
  <c r="F162" i="31"/>
  <c r="H162" i="31"/>
  <c r="G162" i="31"/>
  <c r="D162" i="31"/>
  <c r="I161" i="3"/>
  <c r="R88" i="3"/>
  <c r="R89" i="31"/>
  <c r="Q89" i="3"/>
  <c r="Q90" i="31"/>
  <c r="N92" i="3"/>
  <c r="P91" i="31"/>
  <c r="O91" i="3"/>
  <c r="O92" i="31"/>
  <c r="O92" i="3" s="1"/>
  <c r="M93" i="3"/>
  <c r="N93" i="31"/>
  <c r="L94" i="3"/>
  <c r="L95" i="31"/>
  <c r="M94" i="31"/>
  <c r="I158" i="13"/>
  <c r="D159" i="21"/>
  <c r="F160" i="27"/>
  <c r="E159" i="21"/>
  <c r="K97" i="31"/>
  <c r="K96" i="3"/>
  <c r="D159" i="13"/>
  <c r="F160" i="22"/>
  <c r="F159" i="19"/>
  <c r="E159" i="26"/>
  <c r="G159" i="13"/>
  <c r="G159" i="19"/>
  <c r="H159" i="25"/>
  <c r="H159" i="19"/>
  <c r="D159" i="25"/>
  <c r="D159" i="19"/>
  <c r="H159" i="26"/>
  <c r="G159" i="25"/>
  <c r="A160" i="24"/>
  <c r="B161" i="24"/>
  <c r="C160" i="24"/>
  <c r="E160" i="24" s="1"/>
  <c r="I158" i="25"/>
  <c r="I158" i="21"/>
  <c r="B161" i="21"/>
  <c r="A160" i="21"/>
  <c r="C160" i="21"/>
  <c r="B162" i="27"/>
  <c r="C161" i="27"/>
  <c r="G161" i="27" s="1"/>
  <c r="A161" i="27"/>
  <c r="C160" i="26"/>
  <c r="B161" i="26"/>
  <c r="A160" i="26"/>
  <c r="I159" i="27"/>
  <c r="H159" i="24"/>
  <c r="E159" i="24"/>
  <c r="B161" i="13"/>
  <c r="C160" i="13"/>
  <c r="F160" i="13" s="1"/>
  <c r="A160" i="13"/>
  <c r="H159" i="23"/>
  <c r="H159" i="21"/>
  <c r="G159" i="21"/>
  <c r="H160" i="20"/>
  <c r="G160" i="20"/>
  <c r="F160" i="20"/>
  <c r="D160" i="20"/>
  <c r="E160" i="20"/>
  <c r="B161" i="23"/>
  <c r="C160" i="23"/>
  <c r="D160" i="23" s="1"/>
  <c r="A160" i="23"/>
  <c r="G159" i="24"/>
  <c r="I158" i="26"/>
  <c r="E159" i="13"/>
  <c r="H160" i="27"/>
  <c r="G160" i="27"/>
  <c r="I159" i="22"/>
  <c r="I158" i="23"/>
  <c r="D159" i="23"/>
  <c r="B161" i="19"/>
  <c r="A160" i="19"/>
  <c r="C160" i="19"/>
  <c r="D160" i="19" s="1"/>
  <c r="A161" i="22"/>
  <c r="C161" i="22"/>
  <c r="B162" i="22"/>
  <c r="I158" i="24"/>
  <c r="I158" i="19"/>
  <c r="A160" i="25"/>
  <c r="C160" i="25"/>
  <c r="D160" i="25" s="1"/>
  <c r="B161" i="25"/>
  <c r="F159" i="23"/>
  <c r="D159" i="24"/>
  <c r="F159" i="13"/>
  <c r="B162" i="20"/>
  <c r="C161" i="20"/>
  <c r="A161" i="20"/>
  <c r="I159" i="20"/>
  <c r="G159" i="23"/>
  <c r="F159" i="26"/>
  <c r="D159" i="26"/>
  <c r="D160" i="22"/>
  <c r="E160" i="22"/>
  <c r="G160" i="22"/>
  <c r="E160" i="27"/>
  <c r="F159" i="25"/>
  <c r="J87" i="3" l="1"/>
  <c r="D163" i="31"/>
  <c r="H163" i="31"/>
  <c r="I162" i="31"/>
  <c r="E163" i="31"/>
  <c r="I162" i="3"/>
  <c r="T88" i="31"/>
  <c r="F163" i="3"/>
  <c r="H163" i="3"/>
  <c r="D163" i="3"/>
  <c r="S88" i="3"/>
  <c r="S89" i="31"/>
  <c r="G163" i="3"/>
  <c r="C164" i="31"/>
  <c r="B165" i="31"/>
  <c r="A164" i="31"/>
  <c r="C164" i="3"/>
  <c r="A164" i="3"/>
  <c r="B165" i="3"/>
  <c r="F163" i="31"/>
  <c r="R89" i="3"/>
  <c r="R90" i="31"/>
  <c r="Q90" i="3"/>
  <c r="Q91" i="31"/>
  <c r="P91" i="3"/>
  <c r="P92" i="31"/>
  <c r="P92" i="3" s="1"/>
  <c r="M94" i="3"/>
  <c r="N93" i="3"/>
  <c r="O93" i="31"/>
  <c r="O93" i="3" s="1"/>
  <c r="N94" i="31"/>
  <c r="L95" i="3"/>
  <c r="L96" i="31"/>
  <c r="M95" i="31"/>
  <c r="G160" i="13"/>
  <c r="D160" i="13"/>
  <c r="G160" i="24"/>
  <c r="E160" i="19"/>
  <c r="E160" i="13"/>
  <c r="K98" i="31"/>
  <c r="K97" i="3"/>
  <c r="H160" i="19"/>
  <c r="H160" i="13"/>
  <c r="D160" i="24"/>
  <c r="H161" i="27"/>
  <c r="I159" i="13"/>
  <c r="I159" i="26"/>
  <c r="F160" i="19"/>
  <c r="E161" i="27"/>
  <c r="D161" i="27"/>
  <c r="I159" i="25"/>
  <c r="I159" i="23"/>
  <c r="I159" i="19"/>
  <c r="I160" i="27"/>
  <c r="G160" i="19"/>
  <c r="B162" i="23"/>
  <c r="A161" i="23"/>
  <c r="C161" i="23"/>
  <c r="G161" i="23" s="1"/>
  <c r="H160" i="23"/>
  <c r="H160" i="24"/>
  <c r="F160" i="24"/>
  <c r="A161" i="13"/>
  <c r="B162" i="13"/>
  <c r="C161" i="13"/>
  <c r="E161" i="13" s="1"/>
  <c r="D160" i="26"/>
  <c r="F160" i="26"/>
  <c r="E160" i="23"/>
  <c r="I159" i="24"/>
  <c r="G160" i="23"/>
  <c r="B163" i="27"/>
  <c r="A162" i="27"/>
  <c r="C162" i="27"/>
  <c r="C161" i="24"/>
  <c r="B162" i="24"/>
  <c r="A161" i="24"/>
  <c r="I160" i="20"/>
  <c r="E160" i="26"/>
  <c r="A162" i="22"/>
  <c r="C162" i="22"/>
  <c r="B163" i="22"/>
  <c r="G160" i="26"/>
  <c r="F160" i="23"/>
  <c r="F160" i="25"/>
  <c r="E160" i="25"/>
  <c r="H160" i="25"/>
  <c r="G161" i="20"/>
  <c r="H161" i="20"/>
  <c r="F161" i="20"/>
  <c r="E161" i="20"/>
  <c r="D161" i="20"/>
  <c r="A162" i="20"/>
  <c r="B163" i="20"/>
  <c r="C162" i="20"/>
  <c r="I160" i="22"/>
  <c r="C161" i="25"/>
  <c r="B162" i="25"/>
  <c r="A161" i="25"/>
  <c r="F161" i="22"/>
  <c r="D161" i="22"/>
  <c r="E161" i="22"/>
  <c r="H161" i="22"/>
  <c r="G161" i="22"/>
  <c r="C161" i="19"/>
  <c r="E161" i="19" s="1"/>
  <c r="B162" i="19"/>
  <c r="A161" i="19"/>
  <c r="H160" i="26"/>
  <c r="I159" i="21"/>
  <c r="F161" i="27"/>
  <c r="D160" i="21"/>
  <c r="G160" i="21"/>
  <c r="E160" i="21"/>
  <c r="F160" i="21"/>
  <c r="H160" i="21"/>
  <c r="G160" i="25"/>
  <c r="C161" i="26"/>
  <c r="B162" i="26"/>
  <c r="A161" i="26"/>
  <c r="C161" i="21"/>
  <c r="B162" i="21"/>
  <c r="A161" i="21"/>
  <c r="I163" i="31" l="1"/>
  <c r="T88" i="3"/>
  <c r="J88" i="3" s="1"/>
  <c r="T89" i="31"/>
  <c r="J89" i="31" s="1"/>
  <c r="J88" i="31"/>
  <c r="I163" i="3"/>
  <c r="C165" i="31"/>
  <c r="G165" i="31" s="1"/>
  <c r="A165" i="31"/>
  <c r="B166" i="31"/>
  <c r="H164" i="31"/>
  <c r="D164" i="31"/>
  <c r="E164" i="3"/>
  <c r="H164" i="3"/>
  <c r="D164" i="3"/>
  <c r="F164" i="3"/>
  <c r="G164" i="3"/>
  <c r="S89" i="3"/>
  <c r="S90" i="31"/>
  <c r="E164" i="31"/>
  <c r="C165" i="3"/>
  <c r="D165" i="3" s="1"/>
  <c r="B166" i="3"/>
  <c r="A165" i="3"/>
  <c r="F164" i="31"/>
  <c r="G164" i="31"/>
  <c r="R90" i="3"/>
  <c r="R91" i="31"/>
  <c r="Q91" i="3"/>
  <c r="Q92" i="31"/>
  <c r="N94" i="3"/>
  <c r="P93" i="31"/>
  <c r="M95" i="3"/>
  <c r="N95" i="31"/>
  <c r="N95" i="3" s="1"/>
  <c r="O94" i="31"/>
  <c r="O94" i="3" s="1"/>
  <c r="M96" i="31"/>
  <c r="L97" i="31"/>
  <c r="L96" i="3"/>
  <c r="I160" i="13"/>
  <c r="K99" i="31"/>
  <c r="K98" i="3"/>
  <c r="F161" i="23"/>
  <c r="D161" i="23"/>
  <c r="I161" i="27"/>
  <c r="I160" i="19"/>
  <c r="I160" i="23"/>
  <c r="I160" i="25"/>
  <c r="C162" i="19"/>
  <c r="G162" i="19" s="1"/>
  <c r="B163" i="19"/>
  <c r="A162" i="19"/>
  <c r="H161" i="26"/>
  <c r="E161" i="26"/>
  <c r="D161" i="26"/>
  <c r="F161" i="26"/>
  <c r="G161" i="26"/>
  <c r="E162" i="22"/>
  <c r="G162" i="22"/>
  <c r="F162" i="22"/>
  <c r="D162" i="22"/>
  <c r="H162" i="22"/>
  <c r="A162" i="13"/>
  <c r="B163" i="13"/>
  <c r="C162" i="13"/>
  <c r="G162" i="13" s="1"/>
  <c r="F161" i="19"/>
  <c r="E162" i="20"/>
  <c r="D162" i="20"/>
  <c r="H162" i="20"/>
  <c r="G162" i="20"/>
  <c r="D162" i="27"/>
  <c r="E162" i="27"/>
  <c r="H162" i="27"/>
  <c r="F162" i="27"/>
  <c r="G162" i="27"/>
  <c r="H161" i="25"/>
  <c r="F161" i="25"/>
  <c r="G161" i="25"/>
  <c r="E161" i="25"/>
  <c r="D161" i="25"/>
  <c r="C163" i="22"/>
  <c r="H163" i="22" s="1"/>
  <c r="B164" i="22"/>
  <c r="A163" i="22"/>
  <c r="C162" i="24"/>
  <c r="F162" i="24" s="1"/>
  <c r="B163" i="24"/>
  <c r="A162" i="24"/>
  <c r="E161" i="24"/>
  <c r="D161" i="24"/>
  <c r="F161" i="24"/>
  <c r="G161" i="24"/>
  <c r="H161" i="24"/>
  <c r="H161" i="19"/>
  <c r="A163" i="20"/>
  <c r="C163" i="20"/>
  <c r="B164" i="20"/>
  <c r="I160" i="26"/>
  <c r="I160" i="24"/>
  <c r="C162" i="25"/>
  <c r="D162" i="25" s="1"/>
  <c r="B163" i="25"/>
  <c r="A162" i="25"/>
  <c r="G161" i="19"/>
  <c r="I161" i="22"/>
  <c r="C163" i="27"/>
  <c r="D163" i="27" s="1"/>
  <c r="A163" i="27"/>
  <c r="B164" i="27"/>
  <c r="F161" i="13"/>
  <c r="C162" i="23"/>
  <c r="D162" i="23" s="1"/>
  <c r="A162" i="23"/>
  <c r="B163" i="23"/>
  <c r="F161" i="21"/>
  <c r="G161" i="21"/>
  <c r="E161" i="21"/>
  <c r="H161" i="21"/>
  <c r="D161" i="21"/>
  <c r="D161" i="19"/>
  <c r="H161" i="13"/>
  <c r="A162" i="26"/>
  <c r="C162" i="26"/>
  <c r="G162" i="26" s="1"/>
  <c r="B163" i="26"/>
  <c r="B163" i="21"/>
  <c r="A162" i="21"/>
  <c r="C162" i="21"/>
  <c r="I160" i="21"/>
  <c r="I161" i="20"/>
  <c r="G161" i="13"/>
  <c r="E161" i="23"/>
  <c r="F162" i="20"/>
  <c r="D161" i="13"/>
  <c r="H161" i="23"/>
  <c r="I164" i="31" l="1"/>
  <c r="T89" i="3"/>
  <c r="J89" i="3" s="1"/>
  <c r="T90" i="31"/>
  <c r="D165" i="31"/>
  <c r="H165" i="31"/>
  <c r="I164" i="3"/>
  <c r="F165" i="3"/>
  <c r="G165" i="3"/>
  <c r="E165" i="31"/>
  <c r="S90" i="3"/>
  <c r="S91" i="31"/>
  <c r="B167" i="3"/>
  <c r="C166" i="3"/>
  <c r="D166" i="3" s="1"/>
  <c r="A166" i="3"/>
  <c r="F165" i="31"/>
  <c r="A166" i="31"/>
  <c r="C166" i="31"/>
  <c r="B167" i="31"/>
  <c r="E165" i="3"/>
  <c r="H165" i="3"/>
  <c r="P93" i="3"/>
  <c r="R91" i="3"/>
  <c r="R92" i="31"/>
  <c r="Q92" i="3"/>
  <c r="Q93" i="31"/>
  <c r="P94" i="31"/>
  <c r="P94" i="3" s="1"/>
  <c r="N96" i="31"/>
  <c r="M96" i="3"/>
  <c r="O95" i="31"/>
  <c r="O95" i="3" s="1"/>
  <c r="L98" i="31"/>
  <c r="M97" i="31"/>
  <c r="M97" i="3" s="1"/>
  <c r="L97" i="3"/>
  <c r="D162" i="24"/>
  <c r="F162" i="25"/>
  <c r="K99" i="3"/>
  <c r="K100" i="31"/>
  <c r="F163" i="27"/>
  <c r="F162" i="13"/>
  <c r="G162" i="23"/>
  <c r="D162" i="13"/>
  <c r="H162" i="13"/>
  <c r="H162" i="23"/>
  <c r="E162" i="13"/>
  <c r="I161" i="13"/>
  <c r="G162" i="24"/>
  <c r="I161" i="23"/>
  <c r="G162" i="25"/>
  <c r="I161" i="25"/>
  <c r="E162" i="25"/>
  <c r="H162" i="25"/>
  <c r="H163" i="20"/>
  <c r="E163" i="20"/>
  <c r="D163" i="20"/>
  <c r="G163" i="20"/>
  <c r="B164" i="13"/>
  <c r="C163" i="13"/>
  <c r="H163" i="13" s="1"/>
  <c r="A163" i="13"/>
  <c r="H162" i="21"/>
  <c r="F162" i="21"/>
  <c r="E162" i="21"/>
  <c r="B164" i="23"/>
  <c r="C163" i="23"/>
  <c r="F163" i="23" s="1"/>
  <c r="A163" i="23"/>
  <c r="I161" i="24"/>
  <c r="G162" i="21"/>
  <c r="A163" i="21"/>
  <c r="C163" i="21"/>
  <c r="D163" i="21" s="1"/>
  <c r="B164" i="21"/>
  <c r="B164" i="25"/>
  <c r="C163" i="25"/>
  <c r="F163" i="25" s="1"/>
  <c r="A163" i="25"/>
  <c r="I162" i="27"/>
  <c r="I162" i="22"/>
  <c r="F162" i="26"/>
  <c r="I161" i="19"/>
  <c r="F163" i="20"/>
  <c r="F162" i="19"/>
  <c r="I161" i="26"/>
  <c r="I161" i="21"/>
  <c r="B165" i="27"/>
  <c r="C164" i="27"/>
  <c r="H164" i="27" s="1"/>
  <c r="A164" i="27"/>
  <c r="D162" i="21"/>
  <c r="F162" i="23"/>
  <c r="E162" i="24"/>
  <c r="H162" i="24"/>
  <c r="I162" i="20"/>
  <c r="H162" i="19"/>
  <c r="C163" i="26"/>
  <c r="D163" i="26" s="1"/>
  <c r="B164" i="26"/>
  <c r="A163" i="26"/>
  <c r="B165" i="22"/>
  <c r="A164" i="22"/>
  <c r="C164" i="22"/>
  <c r="D164" i="22" s="1"/>
  <c r="E163" i="22"/>
  <c r="F163" i="22"/>
  <c r="D163" i="22"/>
  <c r="H162" i="26"/>
  <c r="B164" i="19"/>
  <c r="C163" i="19"/>
  <c r="E163" i="19" s="1"/>
  <c r="A163" i="19"/>
  <c r="A163" i="24"/>
  <c r="B164" i="24"/>
  <c r="C163" i="24"/>
  <c r="D163" i="24" s="1"/>
  <c r="E162" i="19"/>
  <c r="E162" i="26"/>
  <c r="E162" i="23"/>
  <c r="E163" i="27"/>
  <c r="H163" i="27"/>
  <c r="G163" i="27"/>
  <c r="C164" i="20"/>
  <c r="A164" i="20"/>
  <c r="B165" i="20"/>
  <c r="D162" i="19"/>
  <c r="D162" i="26"/>
  <c r="G163" i="22"/>
  <c r="G166" i="3" l="1"/>
  <c r="T90" i="3"/>
  <c r="J90" i="3" s="1"/>
  <c r="T91" i="31"/>
  <c r="J90" i="31"/>
  <c r="C167" i="31"/>
  <c r="G167" i="31" s="1"/>
  <c r="A167" i="31"/>
  <c r="B168" i="31"/>
  <c r="G166" i="31"/>
  <c r="D166" i="31"/>
  <c r="F166" i="31"/>
  <c r="E166" i="31"/>
  <c r="H166" i="31"/>
  <c r="F166" i="3"/>
  <c r="H166" i="3"/>
  <c r="E166" i="3"/>
  <c r="S91" i="3"/>
  <c r="S92" i="31"/>
  <c r="I165" i="3"/>
  <c r="C167" i="3"/>
  <c r="B168" i="3"/>
  <c r="A167" i="3"/>
  <c r="I165" i="31"/>
  <c r="R92" i="3"/>
  <c r="R93" i="31"/>
  <c r="Q93" i="3"/>
  <c r="Q94" i="31"/>
  <c r="Q94" i="3" s="1"/>
  <c r="L99" i="31"/>
  <c r="N96" i="3"/>
  <c r="P95" i="31"/>
  <c r="P95" i="3" s="1"/>
  <c r="N97" i="31"/>
  <c r="O96" i="31"/>
  <c r="M98" i="31"/>
  <c r="L98" i="3"/>
  <c r="D163" i="13"/>
  <c r="D163" i="23"/>
  <c r="G163" i="13"/>
  <c r="K101" i="31"/>
  <c r="K100" i="3"/>
  <c r="I162" i="13"/>
  <c r="E164" i="22"/>
  <c r="F163" i="26"/>
  <c r="E163" i="26"/>
  <c r="H163" i="26"/>
  <c r="F163" i="13"/>
  <c r="I162" i="24"/>
  <c r="I162" i="23"/>
  <c r="F164" i="27"/>
  <c r="E163" i="24"/>
  <c r="I162" i="25"/>
  <c r="E164" i="27"/>
  <c r="G164" i="27"/>
  <c r="I163" i="27"/>
  <c r="E163" i="23"/>
  <c r="F164" i="22"/>
  <c r="I163" i="20"/>
  <c r="F164" i="20"/>
  <c r="H164" i="20"/>
  <c r="G164" i="20"/>
  <c r="D164" i="20"/>
  <c r="E164" i="20"/>
  <c r="H163" i="24"/>
  <c r="F163" i="24"/>
  <c r="F163" i="19"/>
  <c r="I163" i="22"/>
  <c r="I162" i="21"/>
  <c r="B165" i="25"/>
  <c r="C164" i="25"/>
  <c r="A164" i="25"/>
  <c r="A164" i="23"/>
  <c r="C164" i="23"/>
  <c r="G164" i="23" s="1"/>
  <c r="B165" i="23"/>
  <c r="E163" i="13"/>
  <c r="G163" i="26"/>
  <c r="A164" i="26"/>
  <c r="C164" i="26"/>
  <c r="F164" i="26" s="1"/>
  <c r="B165" i="26"/>
  <c r="H163" i="25"/>
  <c r="E163" i="25"/>
  <c r="D163" i="25"/>
  <c r="G163" i="25"/>
  <c r="A164" i="24"/>
  <c r="B165" i="24"/>
  <c r="C164" i="24"/>
  <c r="H163" i="19"/>
  <c r="H163" i="23"/>
  <c r="A165" i="20"/>
  <c r="B166" i="20"/>
  <c r="C165" i="20"/>
  <c r="D165" i="20" s="1"/>
  <c r="B166" i="22"/>
  <c r="C165" i="22"/>
  <c r="E165" i="22" s="1"/>
  <c r="A165" i="22"/>
  <c r="I162" i="26"/>
  <c r="G163" i="19"/>
  <c r="A164" i="21"/>
  <c r="B165" i="21"/>
  <c r="C164" i="21"/>
  <c r="G163" i="23"/>
  <c r="C164" i="19"/>
  <c r="D164" i="19" s="1"/>
  <c r="B165" i="19"/>
  <c r="A164" i="19"/>
  <c r="I162" i="19"/>
  <c r="D163" i="19"/>
  <c r="H164" i="22"/>
  <c r="G164" i="22"/>
  <c r="C165" i="27"/>
  <c r="A165" i="27"/>
  <c r="B166" i="27"/>
  <c r="F163" i="21"/>
  <c r="H163" i="21"/>
  <c r="G163" i="21"/>
  <c r="E163" i="21"/>
  <c r="C164" i="13"/>
  <c r="H164" i="13" s="1"/>
  <c r="A164" i="13"/>
  <c r="B165" i="13"/>
  <c r="D164" i="27"/>
  <c r="G163" i="24"/>
  <c r="F167" i="31" l="1"/>
  <c r="E167" i="31"/>
  <c r="D167" i="31"/>
  <c r="H167" i="31"/>
  <c r="T91" i="3"/>
  <c r="J91" i="3" s="1"/>
  <c r="T92" i="31"/>
  <c r="J92" i="31" s="1"/>
  <c r="J91" i="31"/>
  <c r="L99" i="3"/>
  <c r="D167" i="3"/>
  <c r="E167" i="3"/>
  <c r="G167" i="3"/>
  <c r="F167" i="3"/>
  <c r="H167" i="3"/>
  <c r="L100" i="31"/>
  <c r="L101" i="31" s="1"/>
  <c r="B169" i="31"/>
  <c r="A168" i="31"/>
  <c r="C168" i="31"/>
  <c r="B169" i="3"/>
  <c r="C168" i="3"/>
  <c r="F168" i="3" s="1"/>
  <c r="A168" i="3"/>
  <c r="I166" i="3"/>
  <c r="I166" i="31"/>
  <c r="S92" i="3"/>
  <c r="S93" i="31"/>
  <c r="P96" i="31"/>
  <c r="P96" i="3" s="1"/>
  <c r="Q95" i="31"/>
  <c r="R93" i="3"/>
  <c r="R94" i="31"/>
  <c r="N97" i="3"/>
  <c r="M98" i="3"/>
  <c r="O96" i="3"/>
  <c r="O97" i="31"/>
  <c r="M99" i="31"/>
  <c r="M99" i="3" s="1"/>
  <c r="N98" i="31"/>
  <c r="F164" i="13"/>
  <c r="D164" i="13"/>
  <c r="G164" i="13"/>
  <c r="K102" i="31"/>
  <c r="K101" i="3"/>
  <c r="I163" i="26"/>
  <c r="I163" i="13"/>
  <c r="H165" i="22"/>
  <c r="F164" i="23"/>
  <c r="H164" i="23"/>
  <c r="F165" i="22"/>
  <c r="D164" i="23"/>
  <c r="G164" i="26"/>
  <c r="E165" i="20"/>
  <c r="I164" i="22"/>
  <c r="I164" i="27"/>
  <c r="I163" i="23"/>
  <c r="H164" i="19"/>
  <c r="G165" i="22"/>
  <c r="D165" i="22"/>
  <c r="H165" i="27"/>
  <c r="D165" i="27"/>
  <c r="G165" i="27"/>
  <c r="F165" i="27"/>
  <c r="E165" i="27"/>
  <c r="F164" i="19"/>
  <c r="D164" i="21"/>
  <c r="E164" i="21"/>
  <c r="F164" i="21"/>
  <c r="H164" i="21"/>
  <c r="G164" i="21"/>
  <c r="A166" i="22"/>
  <c r="C166" i="22"/>
  <c r="D166" i="22" s="1"/>
  <c r="B167" i="22"/>
  <c r="A165" i="24"/>
  <c r="C165" i="24"/>
  <c r="B166" i="24"/>
  <c r="H164" i="26"/>
  <c r="E164" i="26"/>
  <c r="D164" i="26"/>
  <c r="C165" i="23"/>
  <c r="D165" i="23" s="1"/>
  <c r="B166" i="23"/>
  <c r="A165" i="23"/>
  <c r="B166" i="13"/>
  <c r="A165" i="13"/>
  <c r="C165" i="13"/>
  <c r="F165" i="13" s="1"/>
  <c r="H164" i="24"/>
  <c r="E164" i="24"/>
  <c r="G164" i="24"/>
  <c r="D164" i="24"/>
  <c r="F164" i="24"/>
  <c r="C165" i="26"/>
  <c r="G165" i="26" s="1"/>
  <c r="A165" i="26"/>
  <c r="B166" i="26"/>
  <c r="E164" i="19"/>
  <c r="B166" i="21"/>
  <c r="A165" i="21"/>
  <c r="C165" i="21"/>
  <c r="H165" i="20"/>
  <c r="I163" i="24"/>
  <c r="B167" i="27"/>
  <c r="C166" i="27"/>
  <c r="A166" i="27"/>
  <c r="I163" i="21"/>
  <c r="I163" i="19"/>
  <c r="B167" i="20"/>
  <c r="A166" i="20"/>
  <c r="C166" i="20"/>
  <c r="B166" i="25"/>
  <c r="C165" i="25"/>
  <c r="E165" i="25" s="1"/>
  <c r="A165" i="25"/>
  <c r="G164" i="19"/>
  <c r="G165" i="20"/>
  <c r="F165" i="20"/>
  <c r="E164" i="13"/>
  <c r="B166" i="19"/>
  <c r="A165" i="19"/>
  <c r="C165" i="19"/>
  <c r="F165" i="19" s="1"/>
  <c r="I163" i="25"/>
  <c r="E164" i="23"/>
  <c r="G164" i="25"/>
  <c r="H164" i="25"/>
  <c r="D164" i="25"/>
  <c r="F164" i="25"/>
  <c r="E164" i="25"/>
  <c r="I164" i="20"/>
  <c r="I167" i="31" l="1"/>
  <c r="L100" i="3"/>
  <c r="T92" i="3"/>
  <c r="J92" i="3" s="1"/>
  <c r="T93" i="31"/>
  <c r="G168" i="31"/>
  <c r="E168" i="31"/>
  <c r="H168" i="31"/>
  <c r="F168" i="31"/>
  <c r="D168" i="3"/>
  <c r="H168" i="3"/>
  <c r="E168" i="3"/>
  <c r="G168" i="3"/>
  <c r="I167" i="3"/>
  <c r="B170" i="31"/>
  <c r="A169" i="31"/>
  <c r="C169" i="31"/>
  <c r="F169" i="31" s="1"/>
  <c r="S93" i="3"/>
  <c r="S94" i="31"/>
  <c r="D168" i="31"/>
  <c r="C169" i="3"/>
  <c r="H169" i="3" s="1"/>
  <c r="A169" i="3"/>
  <c r="B170" i="3"/>
  <c r="R94" i="3"/>
  <c r="R95" i="31"/>
  <c r="P97" i="31"/>
  <c r="P97" i="3" s="1"/>
  <c r="Q96" i="31"/>
  <c r="Q97" i="31" s="1"/>
  <c r="Q97" i="3" s="1"/>
  <c r="Q95" i="3"/>
  <c r="N98" i="3"/>
  <c r="M100" i="31"/>
  <c r="N99" i="31"/>
  <c r="O97" i="3"/>
  <c r="O98" i="31"/>
  <c r="L101" i="3"/>
  <c r="L102" i="31"/>
  <c r="L102" i="3" s="1"/>
  <c r="I164" i="13"/>
  <c r="I164" i="23"/>
  <c r="K103" i="31"/>
  <c r="K102" i="3"/>
  <c r="D165" i="19"/>
  <c r="G165" i="19"/>
  <c r="F165" i="26"/>
  <c r="I165" i="22"/>
  <c r="I164" i="19"/>
  <c r="H165" i="19"/>
  <c r="G166" i="22"/>
  <c r="D165" i="13"/>
  <c r="I164" i="26"/>
  <c r="E165" i="13"/>
  <c r="E165" i="19"/>
  <c r="I165" i="20"/>
  <c r="G165" i="13"/>
  <c r="C166" i="13"/>
  <c r="E166" i="13" s="1"/>
  <c r="A166" i="13"/>
  <c r="B167" i="13"/>
  <c r="H166" i="27"/>
  <c r="F166" i="27"/>
  <c r="C166" i="26"/>
  <c r="H166" i="26" s="1"/>
  <c r="B167" i="26"/>
  <c r="A166" i="26"/>
  <c r="D166" i="27"/>
  <c r="I164" i="25"/>
  <c r="B168" i="27"/>
  <c r="C167" i="27"/>
  <c r="G167" i="27" s="1"/>
  <c r="A167" i="27"/>
  <c r="G165" i="23"/>
  <c r="I165" i="27"/>
  <c r="H166" i="20"/>
  <c r="F166" i="20"/>
  <c r="G166" i="20"/>
  <c r="E166" i="20"/>
  <c r="D166" i="20"/>
  <c r="H165" i="23"/>
  <c r="A167" i="20"/>
  <c r="C167" i="20"/>
  <c r="B168" i="20"/>
  <c r="D165" i="26"/>
  <c r="E165" i="26"/>
  <c r="H165" i="13"/>
  <c r="E165" i="23"/>
  <c r="A166" i="24"/>
  <c r="B167" i="24"/>
  <c r="C166" i="24"/>
  <c r="H165" i="26"/>
  <c r="B167" i="25"/>
  <c r="C166" i="25"/>
  <c r="E166" i="25" s="1"/>
  <c r="A166" i="25"/>
  <c r="D165" i="25"/>
  <c r="F165" i="23"/>
  <c r="G165" i="24"/>
  <c r="D165" i="24"/>
  <c r="H165" i="24"/>
  <c r="E165" i="24"/>
  <c r="F165" i="24"/>
  <c r="G165" i="25"/>
  <c r="A166" i="19"/>
  <c r="B167" i="19"/>
  <c r="C166" i="19"/>
  <c r="F166" i="19" s="1"/>
  <c r="G166" i="27"/>
  <c r="E165" i="21"/>
  <c r="G165" i="21"/>
  <c r="D165" i="21"/>
  <c r="F165" i="21"/>
  <c r="H165" i="21"/>
  <c r="I164" i="24"/>
  <c r="I164" i="21"/>
  <c r="B167" i="21"/>
  <c r="A166" i="21"/>
  <c r="C166" i="21"/>
  <c r="G166" i="21" s="1"/>
  <c r="E166" i="22"/>
  <c r="F166" i="22"/>
  <c r="H166" i="22"/>
  <c r="H165" i="25"/>
  <c r="A166" i="23"/>
  <c r="B167" i="23"/>
  <c r="C166" i="23"/>
  <c r="D166" i="23" s="1"/>
  <c r="B168" i="22"/>
  <c r="C167" i="22"/>
  <c r="A167" i="22"/>
  <c r="F165" i="25"/>
  <c r="E166" i="27"/>
  <c r="F169" i="3" l="1"/>
  <c r="Q96" i="3"/>
  <c r="D169" i="31"/>
  <c r="T93" i="3"/>
  <c r="J93" i="3" s="1"/>
  <c r="T94" i="31"/>
  <c r="J93" i="31"/>
  <c r="H169" i="31"/>
  <c r="C170" i="3"/>
  <c r="D170" i="3" s="1"/>
  <c r="B171" i="3"/>
  <c r="A170" i="3"/>
  <c r="I168" i="31"/>
  <c r="C170" i="31"/>
  <c r="G170" i="31" s="1"/>
  <c r="A170" i="31"/>
  <c r="B171" i="31"/>
  <c r="S94" i="3"/>
  <c r="S95" i="31"/>
  <c r="E169" i="3"/>
  <c r="D169" i="3"/>
  <c r="G169" i="3"/>
  <c r="E169" i="31"/>
  <c r="I168" i="3"/>
  <c r="G169" i="31"/>
  <c r="R95" i="3"/>
  <c r="R96" i="31"/>
  <c r="M101" i="31"/>
  <c r="P98" i="31"/>
  <c r="P98" i="3" s="1"/>
  <c r="N99" i="3"/>
  <c r="O98" i="3"/>
  <c r="O99" i="31"/>
  <c r="M100" i="3"/>
  <c r="N100" i="31"/>
  <c r="L103" i="31"/>
  <c r="K104" i="31"/>
  <c r="K103" i="3"/>
  <c r="D166" i="25"/>
  <c r="G166" i="26"/>
  <c r="F166" i="13"/>
  <c r="G166" i="13"/>
  <c r="I166" i="20"/>
  <c r="I165" i="19"/>
  <c r="I166" i="22"/>
  <c r="I165" i="21"/>
  <c r="I165" i="23"/>
  <c r="I165" i="13"/>
  <c r="E166" i="19"/>
  <c r="I166" i="27"/>
  <c r="I165" i="24"/>
  <c r="G167" i="22"/>
  <c r="D167" i="22"/>
  <c r="E167" i="22"/>
  <c r="F167" i="22"/>
  <c r="H167" i="22"/>
  <c r="C167" i="26"/>
  <c r="D167" i="26" s="1"/>
  <c r="B168" i="26"/>
  <c r="A167" i="26"/>
  <c r="B169" i="22"/>
  <c r="C168" i="22"/>
  <c r="F168" i="22" s="1"/>
  <c r="A168" i="22"/>
  <c r="A167" i="21"/>
  <c r="C167" i="21"/>
  <c r="F167" i="21" s="1"/>
  <c r="B168" i="21"/>
  <c r="C168" i="20"/>
  <c r="B169" i="20"/>
  <c r="A168" i="20"/>
  <c r="F167" i="27"/>
  <c r="D167" i="27"/>
  <c r="E167" i="27"/>
  <c r="H167" i="27"/>
  <c r="F166" i="26"/>
  <c r="E166" i="26"/>
  <c r="A167" i="13"/>
  <c r="C167" i="13"/>
  <c r="D167" i="13" s="1"/>
  <c r="B168" i="13"/>
  <c r="A167" i="23"/>
  <c r="B168" i="23"/>
  <c r="C167" i="23"/>
  <c r="F167" i="23" s="1"/>
  <c r="C167" i="19"/>
  <c r="D167" i="19" s="1"/>
  <c r="B168" i="19"/>
  <c r="A167" i="19"/>
  <c r="I165" i="26"/>
  <c r="F166" i="23"/>
  <c r="G166" i="19"/>
  <c r="I165" i="25"/>
  <c r="E166" i="24"/>
  <c r="G166" i="24"/>
  <c r="F166" i="24"/>
  <c r="H166" i="24"/>
  <c r="D166" i="24"/>
  <c r="F167" i="20"/>
  <c r="H167" i="20"/>
  <c r="D167" i="20"/>
  <c r="G167" i="20"/>
  <c r="E167" i="20"/>
  <c r="A168" i="27"/>
  <c r="B169" i="27"/>
  <c r="C168" i="27"/>
  <c r="A167" i="25"/>
  <c r="B168" i="25"/>
  <c r="C167" i="25"/>
  <c r="F167" i="25" s="1"/>
  <c r="H166" i="23"/>
  <c r="H166" i="19"/>
  <c r="B168" i="24"/>
  <c r="C167" i="24"/>
  <c r="E167" i="24" s="1"/>
  <c r="A167" i="24"/>
  <c r="G166" i="23"/>
  <c r="D166" i="19"/>
  <c r="D166" i="26"/>
  <c r="D166" i="21"/>
  <c r="H166" i="21"/>
  <c r="E166" i="23"/>
  <c r="G166" i="25"/>
  <c r="H166" i="25"/>
  <c r="E166" i="21"/>
  <c r="F166" i="21"/>
  <c r="D166" i="13"/>
  <c r="H166" i="13"/>
  <c r="F166" i="25"/>
  <c r="H170" i="31" l="1"/>
  <c r="G170" i="3"/>
  <c r="D170" i="31"/>
  <c r="F170" i="3"/>
  <c r="H170" i="3"/>
  <c r="E170" i="3"/>
  <c r="I169" i="3"/>
  <c r="T94" i="3"/>
  <c r="J94" i="3" s="1"/>
  <c r="H42" i="2" s="1"/>
  <c r="I42" i="2" s="1"/>
  <c r="A43" i="2" s="1"/>
  <c r="T95" i="31"/>
  <c r="J94" i="31"/>
  <c r="M102" i="31"/>
  <c r="M102" i="3" s="1"/>
  <c r="I169" i="31"/>
  <c r="B172" i="31"/>
  <c r="C171" i="31"/>
  <c r="E171" i="31" s="1"/>
  <c r="A171" i="31"/>
  <c r="F170" i="31"/>
  <c r="S95" i="3"/>
  <c r="S96" i="31"/>
  <c r="E170" i="31"/>
  <c r="C171" i="3"/>
  <c r="A171" i="3"/>
  <c r="B172" i="3"/>
  <c r="R96" i="3"/>
  <c r="R97" i="31"/>
  <c r="N101" i="31"/>
  <c r="L103" i="3"/>
  <c r="Q98" i="31"/>
  <c r="O99" i="3"/>
  <c r="M101" i="3"/>
  <c r="P99" i="31"/>
  <c r="O100" i="31"/>
  <c r="N100" i="3"/>
  <c r="L104" i="31"/>
  <c r="E167" i="23"/>
  <c r="K104" i="3"/>
  <c r="K105" i="31"/>
  <c r="F167" i="24"/>
  <c r="F167" i="26"/>
  <c r="D167" i="23"/>
  <c r="E167" i="19"/>
  <c r="F167" i="19"/>
  <c r="G167" i="13"/>
  <c r="I166" i="26"/>
  <c r="I166" i="25"/>
  <c r="I166" i="23"/>
  <c r="I167" i="27"/>
  <c r="G167" i="21"/>
  <c r="H167" i="19"/>
  <c r="G167" i="19"/>
  <c r="B170" i="22"/>
  <c r="C169" i="22"/>
  <c r="F169" i="22" s="1"/>
  <c r="A169" i="22"/>
  <c r="I167" i="22"/>
  <c r="I166" i="21"/>
  <c r="A168" i="23"/>
  <c r="C168" i="23"/>
  <c r="F168" i="23" s="1"/>
  <c r="B169" i="23"/>
  <c r="C169" i="20"/>
  <c r="B170" i="20"/>
  <c r="A169" i="20"/>
  <c r="D167" i="25"/>
  <c r="H167" i="25"/>
  <c r="D167" i="24"/>
  <c r="G167" i="24"/>
  <c r="A168" i="19"/>
  <c r="C168" i="19"/>
  <c r="G168" i="19" s="1"/>
  <c r="B169" i="19"/>
  <c r="I166" i="19"/>
  <c r="A168" i="24"/>
  <c r="C168" i="24"/>
  <c r="B169" i="24"/>
  <c r="A169" i="27"/>
  <c r="C169" i="27"/>
  <c r="B170" i="27"/>
  <c r="F167" i="13"/>
  <c r="B169" i="21"/>
  <c r="C168" i="21"/>
  <c r="A168" i="21"/>
  <c r="C168" i="26"/>
  <c r="A168" i="26"/>
  <c r="B169" i="26"/>
  <c r="H167" i="24"/>
  <c r="B169" i="13"/>
  <c r="C168" i="13"/>
  <c r="E168" i="13" s="1"/>
  <c r="A168" i="13"/>
  <c r="A168" i="25"/>
  <c r="C168" i="25"/>
  <c r="B169" i="25"/>
  <c r="E168" i="27"/>
  <c r="G168" i="27"/>
  <c r="D168" i="27"/>
  <c r="F168" i="27"/>
  <c r="H168" i="27"/>
  <c r="H168" i="20"/>
  <c r="E168" i="20"/>
  <c r="D168" i="20"/>
  <c r="F168" i="20"/>
  <c r="G168" i="20"/>
  <c r="H167" i="23"/>
  <c r="H167" i="13"/>
  <c r="D167" i="21"/>
  <c r="E167" i="21"/>
  <c r="H167" i="21"/>
  <c r="E167" i="26"/>
  <c r="H167" i="26"/>
  <c r="G167" i="26"/>
  <c r="G167" i="25"/>
  <c r="I167" i="20"/>
  <c r="G168" i="22"/>
  <c r="H168" i="22"/>
  <c r="D168" i="22"/>
  <c r="I166" i="24"/>
  <c r="I166" i="13"/>
  <c r="E168" i="22"/>
  <c r="E167" i="25"/>
  <c r="G167" i="23"/>
  <c r="E167" i="13"/>
  <c r="I170" i="3" l="1"/>
  <c r="M103" i="31"/>
  <c r="N102" i="31"/>
  <c r="N102" i="3" s="1"/>
  <c r="I170" i="31"/>
  <c r="E43" i="2"/>
  <c r="B43" i="2"/>
  <c r="D43" i="2"/>
  <c r="F43" i="2"/>
  <c r="G43" i="2"/>
  <c r="C43" i="2"/>
  <c r="N101" i="3"/>
  <c r="T95" i="3"/>
  <c r="J95" i="3" s="1"/>
  <c r="T96" i="31"/>
  <c r="J96" i="31" s="1"/>
  <c r="J95" i="31"/>
  <c r="H171" i="31"/>
  <c r="F171" i="31"/>
  <c r="G171" i="31"/>
  <c r="D171" i="31"/>
  <c r="G171" i="3"/>
  <c r="E171" i="3"/>
  <c r="H171" i="3"/>
  <c r="F171" i="3"/>
  <c r="A172" i="31"/>
  <c r="B173" i="31"/>
  <c r="C172" i="31"/>
  <c r="D172" i="31" s="1"/>
  <c r="B173" i="3"/>
  <c r="A172" i="3"/>
  <c r="C172" i="3"/>
  <c r="E172" i="3" s="1"/>
  <c r="D171" i="3"/>
  <c r="S96" i="3"/>
  <c r="S97" i="31"/>
  <c r="R97" i="3"/>
  <c r="R98" i="31"/>
  <c r="Q98" i="3"/>
  <c r="Q99" i="31"/>
  <c r="L104" i="3"/>
  <c r="P99" i="3"/>
  <c r="P100" i="31"/>
  <c r="P100" i="3" s="1"/>
  <c r="O100" i="3"/>
  <c r="O101" i="31"/>
  <c r="M103" i="3"/>
  <c r="M104" i="31"/>
  <c r="L105" i="31"/>
  <c r="H168" i="13"/>
  <c r="H168" i="23"/>
  <c r="G168" i="23"/>
  <c r="K106" i="31"/>
  <c r="K105" i="3"/>
  <c r="I167" i="19"/>
  <c r="I167" i="23"/>
  <c r="I167" i="21"/>
  <c r="H168" i="19"/>
  <c r="I167" i="13"/>
  <c r="F168" i="13"/>
  <c r="D168" i="19"/>
  <c r="D168" i="13"/>
  <c r="E168" i="19"/>
  <c r="I167" i="26"/>
  <c r="G169" i="22"/>
  <c r="E169" i="22"/>
  <c r="G168" i="13"/>
  <c r="F168" i="19"/>
  <c r="I168" i="27"/>
  <c r="H168" i="26"/>
  <c r="E168" i="26"/>
  <c r="G168" i="26"/>
  <c r="D168" i="26"/>
  <c r="F168" i="26"/>
  <c r="C169" i="24"/>
  <c r="D169" i="24" s="1"/>
  <c r="A169" i="24"/>
  <c r="B170" i="24"/>
  <c r="I167" i="25"/>
  <c r="B170" i="23"/>
  <c r="C169" i="23"/>
  <c r="H169" i="23" s="1"/>
  <c r="A169" i="23"/>
  <c r="I167" i="24"/>
  <c r="F168" i="24"/>
  <c r="E168" i="24"/>
  <c r="G168" i="24"/>
  <c r="H168" i="24"/>
  <c r="D168" i="24"/>
  <c r="C170" i="22"/>
  <c r="B171" i="22"/>
  <c r="A170" i="22"/>
  <c r="E169" i="27"/>
  <c r="H169" i="27"/>
  <c r="G169" i="27"/>
  <c r="F169" i="27"/>
  <c r="D169" i="27"/>
  <c r="B170" i="19"/>
  <c r="C169" i="19"/>
  <c r="H169" i="19" s="1"/>
  <c r="A169" i="19"/>
  <c r="A170" i="20"/>
  <c r="B171" i="20"/>
  <c r="C170" i="20"/>
  <c r="D170" i="20" s="1"/>
  <c r="I168" i="22"/>
  <c r="I168" i="20"/>
  <c r="A169" i="25"/>
  <c r="B170" i="25"/>
  <c r="C169" i="25"/>
  <c r="A169" i="21"/>
  <c r="B170" i="21"/>
  <c r="C169" i="21"/>
  <c r="G169" i="20"/>
  <c r="H169" i="20"/>
  <c r="D169" i="20"/>
  <c r="E169" i="20"/>
  <c r="F169" i="20"/>
  <c r="C170" i="27"/>
  <c r="E170" i="27" s="1"/>
  <c r="A170" i="27"/>
  <c r="B171" i="27"/>
  <c r="C169" i="26"/>
  <c r="A169" i="26"/>
  <c r="B170" i="26"/>
  <c r="E168" i="21"/>
  <c r="G168" i="21"/>
  <c r="F168" i="21"/>
  <c r="H168" i="21"/>
  <c r="D168" i="21"/>
  <c r="H168" i="25"/>
  <c r="F168" i="25"/>
  <c r="D168" i="25"/>
  <c r="C169" i="13"/>
  <c r="E169" i="13" s="1"/>
  <c r="A169" i="13"/>
  <c r="B170" i="13"/>
  <c r="D169" i="22"/>
  <c r="E168" i="23"/>
  <c r="H169" i="22"/>
  <c r="E168" i="25"/>
  <c r="D168" i="23"/>
  <c r="G168" i="25"/>
  <c r="I171" i="31" l="1"/>
  <c r="N103" i="31"/>
  <c r="F172" i="3"/>
  <c r="D172" i="3"/>
  <c r="T96" i="3"/>
  <c r="J96" i="3" s="1"/>
  <c r="T97" i="31"/>
  <c r="J97" i="31" s="1"/>
  <c r="I171" i="3"/>
  <c r="F172" i="31"/>
  <c r="B174" i="31"/>
  <c r="C173" i="31"/>
  <c r="F173" i="31" s="1"/>
  <c r="A173" i="31"/>
  <c r="G172" i="3"/>
  <c r="H172" i="3"/>
  <c r="S97" i="3"/>
  <c r="S98" i="31"/>
  <c r="G172" i="31"/>
  <c r="B174" i="3"/>
  <c r="A173" i="3"/>
  <c r="C173" i="3"/>
  <c r="E172" i="31"/>
  <c r="H172" i="31"/>
  <c r="R98" i="3"/>
  <c r="R99" i="31"/>
  <c r="L105" i="3"/>
  <c r="Q99" i="3"/>
  <c r="Q100" i="31"/>
  <c r="N103" i="3"/>
  <c r="P101" i="31"/>
  <c r="P101" i="3" s="1"/>
  <c r="O101" i="3"/>
  <c r="O102" i="31"/>
  <c r="N104" i="31"/>
  <c r="M104" i="3"/>
  <c r="M105" i="31"/>
  <c r="L106" i="31"/>
  <c r="L106" i="3" s="1"/>
  <c r="F169" i="19"/>
  <c r="K107" i="31"/>
  <c r="K106" i="3"/>
  <c r="D169" i="19"/>
  <c r="I168" i="13"/>
  <c r="I168" i="19"/>
  <c r="I168" i="23"/>
  <c r="I168" i="21"/>
  <c r="I169" i="20"/>
  <c r="F169" i="13"/>
  <c r="D169" i="13"/>
  <c r="F170" i="27"/>
  <c r="E169" i="23"/>
  <c r="B172" i="27"/>
  <c r="C171" i="27"/>
  <c r="A171" i="27"/>
  <c r="H169" i="21"/>
  <c r="D169" i="21"/>
  <c r="G169" i="21"/>
  <c r="F169" i="21"/>
  <c r="E169" i="21"/>
  <c r="E170" i="20"/>
  <c r="H170" i="20"/>
  <c r="G170" i="20"/>
  <c r="F170" i="20"/>
  <c r="C170" i="23"/>
  <c r="D170" i="23" s="1"/>
  <c r="B171" i="23"/>
  <c r="A170" i="23"/>
  <c r="C170" i="13"/>
  <c r="F170" i="13" s="1"/>
  <c r="A170" i="13"/>
  <c r="B171" i="13"/>
  <c r="I169" i="22"/>
  <c r="I168" i="25"/>
  <c r="C170" i="21"/>
  <c r="B171" i="21"/>
  <c r="A170" i="21"/>
  <c r="C171" i="20"/>
  <c r="B172" i="20"/>
  <c r="A171" i="20"/>
  <c r="C170" i="19"/>
  <c r="E170" i="19" s="1"/>
  <c r="B171" i="19"/>
  <c r="A170" i="19"/>
  <c r="I168" i="26"/>
  <c r="F169" i="26"/>
  <c r="G169" i="26"/>
  <c r="A170" i="24"/>
  <c r="B171" i="24"/>
  <c r="C170" i="24"/>
  <c r="H169" i="13"/>
  <c r="E169" i="25"/>
  <c r="D169" i="25"/>
  <c r="G169" i="25"/>
  <c r="F169" i="25"/>
  <c r="H169" i="25"/>
  <c r="G169" i="19"/>
  <c r="I169" i="27"/>
  <c r="D170" i="22"/>
  <c r="F170" i="22"/>
  <c r="G170" i="22"/>
  <c r="E170" i="22"/>
  <c r="H170" i="22"/>
  <c r="F169" i="23"/>
  <c r="E169" i="26"/>
  <c r="A170" i="26"/>
  <c r="B171" i="26"/>
  <c r="C170" i="26"/>
  <c r="F170" i="26" s="1"/>
  <c r="D170" i="27"/>
  <c r="H170" i="27"/>
  <c r="B172" i="22"/>
  <c r="A171" i="22"/>
  <c r="C171" i="22"/>
  <c r="G171" i="22" s="1"/>
  <c r="D169" i="23"/>
  <c r="G169" i="13"/>
  <c r="H169" i="26"/>
  <c r="B171" i="25"/>
  <c r="C170" i="25"/>
  <c r="A170" i="25"/>
  <c r="E169" i="19"/>
  <c r="I168" i="24"/>
  <c r="G169" i="23"/>
  <c r="F169" i="24"/>
  <c r="H169" i="24"/>
  <c r="G169" i="24"/>
  <c r="E169" i="24"/>
  <c r="G170" i="27"/>
  <c r="D169" i="26"/>
  <c r="I172" i="3" l="1"/>
  <c r="I172" i="31"/>
  <c r="E173" i="31"/>
  <c r="T97" i="3"/>
  <c r="J97" i="3" s="1"/>
  <c r="T98" i="31"/>
  <c r="G173" i="31"/>
  <c r="H173" i="31"/>
  <c r="D173" i="31"/>
  <c r="B175" i="31"/>
  <c r="A174" i="31"/>
  <c r="C174" i="31"/>
  <c r="G174" i="31" s="1"/>
  <c r="A174" i="3"/>
  <c r="C174" i="3"/>
  <c r="D174" i="3" s="1"/>
  <c r="B175" i="3"/>
  <c r="S98" i="3"/>
  <c r="S99" i="31"/>
  <c r="D173" i="3"/>
  <c r="F173" i="3"/>
  <c r="E173" i="3"/>
  <c r="H173" i="3"/>
  <c r="G173" i="3"/>
  <c r="R99" i="3"/>
  <c r="R100" i="31"/>
  <c r="Q100" i="3"/>
  <c r="Q101" i="31"/>
  <c r="N104" i="3"/>
  <c r="P102" i="31"/>
  <c r="P102" i="3" s="1"/>
  <c r="O102" i="3"/>
  <c r="O103" i="31"/>
  <c r="M105" i="3"/>
  <c r="N105" i="31"/>
  <c r="M106" i="31"/>
  <c r="L107" i="31"/>
  <c r="F170" i="23"/>
  <c r="H170" i="23"/>
  <c r="I169" i="19"/>
  <c r="G170" i="23"/>
  <c r="F171" i="22"/>
  <c r="E170" i="23"/>
  <c r="K107" i="3"/>
  <c r="K108" i="31"/>
  <c r="I169" i="13"/>
  <c r="I170" i="20"/>
  <c r="I169" i="23"/>
  <c r="I169" i="26"/>
  <c r="H171" i="22"/>
  <c r="I170" i="22"/>
  <c r="G170" i="19"/>
  <c r="I169" i="24"/>
  <c r="F170" i="25"/>
  <c r="G170" i="25"/>
  <c r="H170" i="25"/>
  <c r="E170" i="25"/>
  <c r="D170" i="25"/>
  <c r="C171" i="24"/>
  <c r="A171" i="24"/>
  <c r="B172" i="24"/>
  <c r="F170" i="19"/>
  <c r="H171" i="20"/>
  <c r="E171" i="20"/>
  <c r="D171" i="20"/>
  <c r="F171" i="20"/>
  <c r="G171" i="20"/>
  <c r="G170" i="13"/>
  <c r="B173" i="27"/>
  <c r="C172" i="27"/>
  <c r="A172" i="27"/>
  <c r="B172" i="26"/>
  <c r="A171" i="26"/>
  <c r="C171" i="26"/>
  <c r="D171" i="26" s="1"/>
  <c r="C172" i="20"/>
  <c r="H172" i="20" s="1"/>
  <c r="B173" i="20"/>
  <c r="A172" i="20"/>
  <c r="D170" i="13"/>
  <c r="G171" i="27"/>
  <c r="F171" i="27"/>
  <c r="H171" i="27"/>
  <c r="E171" i="27"/>
  <c r="D171" i="27"/>
  <c r="C171" i="25"/>
  <c r="A171" i="25"/>
  <c r="B172" i="25"/>
  <c r="B173" i="22"/>
  <c r="A172" i="22"/>
  <c r="C172" i="22"/>
  <c r="D170" i="19"/>
  <c r="E170" i="13"/>
  <c r="E171" i="22"/>
  <c r="H170" i="19"/>
  <c r="H170" i="13"/>
  <c r="E170" i="26"/>
  <c r="I170" i="27"/>
  <c r="F170" i="21"/>
  <c r="H170" i="21"/>
  <c r="E170" i="21"/>
  <c r="G170" i="21"/>
  <c r="D170" i="21"/>
  <c r="B172" i="13"/>
  <c r="A171" i="13"/>
  <c r="C171" i="13"/>
  <c r="D171" i="13" s="1"/>
  <c r="C171" i="23"/>
  <c r="E171" i="23" s="1"/>
  <c r="A171" i="23"/>
  <c r="B172" i="23"/>
  <c r="F170" i="24"/>
  <c r="H170" i="24"/>
  <c r="E170" i="24"/>
  <c r="D170" i="24"/>
  <c r="G170" i="24"/>
  <c r="A171" i="21"/>
  <c r="C171" i="21"/>
  <c r="B172" i="21"/>
  <c r="D170" i="26"/>
  <c r="G170" i="26"/>
  <c r="I169" i="25"/>
  <c r="A171" i="19"/>
  <c r="C171" i="19"/>
  <c r="E171" i="19" s="1"/>
  <c r="B172" i="19"/>
  <c r="I169" i="21"/>
  <c r="D171" i="22"/>
  <c r="H170" i="26"/>
  <c r="E174" i="31" l="1"/>
  <c r="I173" i="31"/>
  <c r="H174" i="3"/>
  <c r="T98" i="3"/>
  <c r="J98" i="3" s="1"/>
  <c r="T99" i="31"/>
  <c r="J98" i="31"/>
  <c r="H174" i="31"/>
  <c r="D174" i="31"/>
  <c r="I173" i="3"/>
  <c r="A175" i="3"/>
  <c r="B176" i="3"/>
  <c r="C175" i="3"/>
  <c r="D175" i="3" s="1"/>
  <c r="F174" i="31"/>
  <c r="S99" i="3"/>
  <c r="S100" i="31"/>
  <c r="G174" i="3"/>
  <c r="E174" i="3"/>
  <c r="C175" i="31"/>
  <c r="A175" i="31"/>
  <c r="B176" i="31"/>
  <c r="F174" i="3"/>
  <c r="R100" i="3"/>
  <c r="R101" i="31"/>
  <c r="M106" i="3"/>
  <c r="Q101" i="3"/>
  <c r="Q102" i="31"/>
  <c r="P103" i="31"/>
  <c r="P103" i="3" s="1"/>
  <c r="O103" i="3"/>
  <c r="O104" i="31"/>
  <c r="N105" i="3"/>
  <c r="N106" i="31"/>
  <c r="L107" i="3"/>
  <c r="M107" i="31"/>
  <c r="L108" i="31"/>
  <c r="L108" i="3" s="1"/>
  <c r="I170" i="23"/>
  <c r="G171" i="13"/>
  <c r="H171" i="13"/>
  <c r="K109" i="31"/>
  <c r="K108" i="3"/>
  <c r="G172" i="20"/>
  <c r="E171" i="13"/>
  <c r="F171" i="13"/>
  <c r="G171" i="26"/>
  <c r="F171" i="19"/>
  <c r="G171" i="23"/>
  <c r="D171" i="23"/>
  <c r="H171" i="26"/>
  <c r="E172" i="20"/>
  <c r="I171" i="22"/>
  <c r="D171" i="19"/>
  <c r="H171" i="23"/>
  <c r="F172" i="20"/>
  <c r="I171" i="20"/>
  <c r="F171" i="23"/>
  <c r="H171" i="21"/>
  <c r="D171" i="21"/>
  <c r="E171" i="21"/>
  <c r="F171" i="21"/>
  <c r="G171" i="21"/>
  <c r="I170" i="13"/>
  <c r="E172" i="27"/>
  <c r="D172" i="27"/>
  <c r="G172" i="27"/>
  <c r="H172" i="27"/>
  <c r="F172" i="27"/>
  <c r="A172" i="21"/>
  <c r="B173" i="21"/>
  <c r="C172" i="21"/>
  <c r="D172" i="21" s="1"/>
  <c r="B173" i="26"/>
  <c r="A172" i="26"/>
  <c r="C172" i="26"/>
  <c r="E172" i="26" s="1"/>
  <c r="B173" i="19"/>
  <c r="A172" i="19"/>
  <c r="C172" i="19"/>
  <c r="F172" i="19" s="1"/>
  <c r="C172" i="25"/>
  <c r="F172" i="25" s="1"/>
  <c r="B173" i="25"/>
  <c r="A172" i="25"/>
  <c r="I170" i="24"/>
  <c r="C172" i="23"/>
  <c r="E172" i="23" s="1"/>
  <c r="A172" i="23"/>
  <c r="B173" i="23"/>
  <c r="E171" i="25"/>
  <c r="G171" i="25"/>
  <c r="H171" i="25"/>
  <c r="F171" i="25"/>
  <c r="D171" i="25"/>
  <c r="C173" i="27"/>
  <c r="B174" i="27"/>
  <c r="A173" i="27"/>
  <c r="C172" i="24"/>
  <c r="B173" i="24"/>
  <c r="A172" i="24"/>
  <c r="A173" i="22"/>
  <c r="C173" i="22"/>
  <c r="G173" i="22" s="1"/>
  <c r="B174" i="22"/>
  <c r="H171" i="19"/>
  <c r="B173" i="13"/>
  <c r="C172" i="13"/>
  <c r="G172" i="13" s="1"/>
  <c r="A172" i="13"/>
  <c r="I170" i="19"/>
  <c r="I171" i="27"/>
  <c r="D171" i="24"/>
  <c r="H171" i="24"/>
  <c r="F171" i="24"/>
  <c r="G171" i="24"/>
  <c r="E171" i="24"/>
  <c r="B174" i="20"/>
  <c r="A173" i="20"/>
  <c r="C173" i="20"/>
  <c r="E173" i="20" s="1"/>
  <c r="G171" i="19"/>
  <c r="I170" i="26"/>
  <c r="I170" i="21"/>
  <c r="F172" i="22"/>
  <c r="D172" i="22"/>
  <c r="E172" i="22"/>
  <c r="H172" i="22"/>
  <c r="G172" i="22"/>
  <c r="E171" i="26"/>
  <c r="F171" i="26"/>
  <c r="I170" i="25"/>
  <c r="D172" i="20"/>
  <c r="G175" i="3" l="1"/>
  <c r="I174" i="3"/>
  <c r="I174" i="31"/>
  <c r="T99" i="3"/>
  <c r="J99" i="3" s="1"/>
  <c r="T100" i="31"/>
  <c r="J99" i="31"/>
  <c r="H175" i="3"/>
  <c r="F175" i="3"/>
  <c r="C176" i="31"/>
  <c r="H176" i="31" s="1"/>
  <c r="A176" i="31"/>
  <c r="B177" i="31"/>
  <c r="D175" i="31"/>
  <c r="F175" i="31"/>
  <c r="E175" i="31"/>
  <c r="H175" i="31"/>
  <c r="G175" i="31"/>
  <c r="C176" i="3"/>
  <c r="D176" i="3" s="1"/>
  <c r="A176" i="3"/>
  <c r="B177" i="3"/>
  <c r="S100" i="3"/>
  <c r="S101" i="31"/>
  <c r="E175" i="3"/>
  <c r="R101" i="3"/>
  <c r="R102" i="31"/>
  <c r="Q102" i="3"/>
  <c r="Q103" i="31"/>
  <c r="P104" i="31"/>
  <c r="P104" i="3" s="1"/>
  <c r="N106" i="3"/>
  <c r="N107" i="31"/>
  <c r="O104" i="3"/>
  <c r="O105" i="31"/>
  <c r="M107" i="3"/>
  <c r="M108" i="31"/>
  <c r="L109" i="31"/>
  <c r="I171" i="13"/>
  <c r="H172" i="19"/>
  <c r="F172" i="13"/>
  <c r="H172" i="13"/>
  <c r="H172" i="26"/>
  <c r="G172" i="26"/>
  <c r="D172" i="23"/>
  <c r="K110" i="31"/>
  <c r="K109" i="3"/>
  <c r="E172" i="13"/>
  <c r="H172" i="21"/>
  <c r="G172" i="23"/>
  <c r="F172" i="26"/>
  <c r="D172" i="13"/>
  <c r="H172" i="23"/>
  <c r="D172" i="25"/>
  <c r="I171" i="23"/>
  <c r="I172" i="20"/>
  <c r="I171" i="19"/>
  <c r="G172" i="21"/>
  <c r="F172" i="23"/>
  <c r="I171" i="25"/>
  <c r="B174" i="25"/>
  <c r="C173" i="25"/>
  <c r="A173" i="25"/>
  <c r="B174" i="19"/>
  <c r="C173" i="19"/>
  <c r="F173" i="19" s="1"/>
  <c r="A173" i="19"/>
  <c r="I171" i="21"/>
  <c r="F173" i="27"/>
  <c r="E173" i="27"/>
  <c r="D173" i="27"/>
  <c r="G173" i="27"/>
  <c r="H173" i="27"/>
  <c r="E173" i="22"/>
  <c r="C173" i="23"/>
  <c r="D173" i="23" s="1"/>
  <c r="A173" i="23"/>
  <c r="B174" i="23"/>
  <c r="G172" i="25"/>
  <c r="H172" i="25"/>
  <c r="C173" i="13"/>
  <c r="E173" i="13" s="1"/>
  <c r="A173" i="13"/>
  <c r="B174" i="13"/>
  <c r="C174" i="22"/>
  <c r="E174" i="22" s="1"/>
  <c r="B175" i="22"/>
  <c r="A174" i="22"/>
  <c r="C174" i="20"/>
  <c r="E174" i="20" s="1"/>
  <c r="A174" i="20"/>
  <c r="B175" i="20"/>
  <c r="I171" i="26"/>
  <c r="E172" i="19"/>
  <c r="I172" i="27"/>
  <c r="I172" i="22"/>
  <c r="H173" i="22"/>
  <c r="C173" i="24"/>
  <c r="A173" i="24"/>
  <c r="B174" i="24"/>
  <c r="D172" i="19"/>
  <c r="B174" i="26"/>
  <c r="A173" i="26"/>
  <c r="C173" i="26"/>
  <c r="B175" i="27"/>
  <c r="A174" i="27"/>
  <c r="C174" i="27"/>
  <c r="G174" i="27" s="1"/>
  <c r="F173" i="22"/>
  <c r="H173" i="20"/>
  <c r="G173" i="20"/>
  <c r="D173" i="20"/>
  <c r="F173" i="20"/>
  <c r="I171" i="24"/>
  <c r="D172" i="26"/>
  <c r="G172" i="24"/>
  <c r="H172" i="24"/>
  <c r="F172" i="24"/>
  <c r="D172" i="24"/>
  <c r="E172" i="24"/>
  <c r="G172" i="19"/>
  <c r="F172" i="21"/>
  <c r="E172" i="21"/>
  <c r="D173" i="22"/>
  <c r="A173" i="21"/>
  <c r="B174" i="21"/>
  <c r="C173" i="21"/>
  <c r="E173" i="21" s="1"/>
  <c r="E172" i="25"/>
  <c r="E176" i="3" l="1"/>
  <c r="I175" i="3"/>
  <c r="H176" i="3"/>
  <c r="T100" i="3"/>
  <c r="J100" i="3" s="1"/>
  <c r="T101" i="31"/>
  <c r="J100" i="31"/>
  <c r="S101" i="3"/>
  <c r="S102" i="31"/>
  <c r="D176" i="31"/>
  <c r="C177" i="3"/>
  <c r="E177" i="3" s="1"/>
  <c r="A177" i="3"/>
  <c r="B178" i="3"/>
  <c r="F176" i="31"/>
  <c r="I175" i="31"/>
  <c r="G176" i="31"/>
  <c r="E176" i="31"/>
  <c r="F176" i="3"/>
  <c r="G176" i="3"/>
  <c r="C177" i="31"/>
  <c r="A177" i="31"/>
  <c r="B178" i="31"/>
  <c r="R102" i="3"/>
  <c r="R103" i="31"/>
  <c r="Q103" i="3"/>
  <c r="Q104" i="31"/>
  <c r="P105" i="31"/>
  <c r="P105" i="3" s="1"/>
  <c r="O105" i="3"/>
  <c r="O106" i="31"/>
  <c r="N108" i="31"/>
  <c r="N107" i="3"/>
  <c r="M108" i="3"/>
  <c r="L109" i="3"/>
  <c r="M109" i="31"/>
  <c r="L110" i="31"/>
  <c r="I172" i="13"/>
  <c r="K111" i="31"/>
  <c r="K110" i="3"/>
  <c r="I172" i="23"/>
  <c r="I172" i="26"/>
  <c r="H173" i="21"/>
  <c r="F173" i="21"/>
  <c r="D173" i="13"/>
  <c r="F173" i="13"/>
  <c r="I172" i="21"/>
  <c r="I172" i="19"/>
  <c r="F174" i="22"/>
  <c r="G173" i="23"/>
  <c r="I172" i="25"/>
  <c r="F173" i="23"/>
  <c r="G173" i="21"/>
  <c r="F174" i="27"/>
  <c r="G174" i="22"/>
  <c r="H173" i="13"/>
  <c r="E173" i="23"/>
  <c r="E174" i="27"/>
  <c r="D174" i="27"/>
  <c r="H173" i="23"/>
  <c r="D174" i="22"/>
  <c r="H174" i="22"/>
  <c r="D173" i="21"/>
  <c r="I173" i="22"/>
  <c r="H174" i="27"/>
  <c r="A174" i="26"/>
  <c r="C174" i="26"/>
  <c r="E174" i="26" s="1"/>
  <c r="B175" i="26"/>
  <c r="D174" i="20"/>
  <c r="F174" i="20"/>
  <c r="G174" i="20"/>
  <c r="A174" i="13"/>
  <c r="C174" i="13"/>
  <c r="D174" i="13" s="1"/>
  <c r="B175" i="13"/>
  <c r="E173" i="19"/>
  <c r="F173" i="25"/>
  <c r="D173" i="25"/>
  <c r="H173" i="25"/>
  <c r="G173" i="25"/>
  <c r="E173" i="25"/>
  <c r="C174" i="24"/>
  <c r="B175" i="24"/>
  <c r="A174" i="24"/>
  <c r="B176" i="22"/>
  <c r="A175" i="22"/>
  <c r="C175" i="22"/>
  <c r="C174" i="23"/>
  <c r="D174" i="23" s="1"/>
  <c r="B175" i="23"/>
  <c r="A174" i="23"/>
  <c r="D173" i="19"/>
  <c r="C174" i="25"/>
  <c r="A174" i="25"/>
  <c r="B175" i="25"/>
  <c r="G173" i="19"/>
  <c r="I173" i="20"/>
  <c r="C175" i="27"/>
  <c r="F175" i="27" s="1"/>
  <c r="A175" i="27"/>
  <c r="B176" i="27"/>
  <c r="D173" i="24"/>
  <c r="G173" i="24"/>
  <c r="F173" i="24"/>
  <c r="E173" i="24"/>
  <c r="H173" i="24"/>
  <c r="I173" i="27"/>
  <c r="H173" i="19"/>
  <c r="I172" i="24"/>
  <c r="G173" i="13"/>
  <c r="C174" i="21"/>
  <c r="A174" i="21"/>
  <c r="B175" i="21"/>
  <c r="E173" i="26"/>
  <c r="F173" i="26"/>
  <c r="D173" i="26"/>
  <c r="G173" i="26"/>
  <c r="H173" i="26"/>
  <c r="C175" i="20"/>
  <c r="H175" i="20" s="1"/>
  <c r="B176" i="20"/>
  <c r="A175" i="20"/>
  <c r="A174" i="19"/>
  <c r="C174" i="19"/>
  <c r="E174" i="19" s="1"/>
  <c r="B175" i="19"/>
  <c r="H174" i="20"/>
  <c r="I176" i="3" l="1"/>
  <c r="T101" i="3"/>
  <c r="J101" i="3" s="1"/>
  <c r="T102" i="31"/>
  <c r="J101" i="31"/>
  <c r="C178" i="31"/>
  <c r="E178" i="31" s="1"/>
  <c r="B179" i="31"/>
  <c r="A178" i="31"/>
  <c r="H177" i="3"/>
  <c r="F177" i="31"/>
  <c r="H177" i="31"/>
  <c r="G177" i="31"/>
  <c r="D177" i="31"/>
  <c r="E177" i="31"/>
  <c r="I176" i="31"/>
  <c r="S102" i="3"/>
  <c r="S103" i="31"/>
  <c r="C178" i="3"/>
  <c r="B179" i="3"/>
  <c r="A178" i="3"/>
  <c r="F177" i="3"/>
  <c r="G177" i="3"/>
  <c r="D177" i="3"/>
  <c r="R103" i="3"/>
  <c r="R104" i="31"/>
  <c r="Q104" i="3"/>
  <c r="Q105" i="31"/>
  <c r="P106" i="31"/>
  <c r="P106" i="3" s="1"/>
  <c r="N108" i="3"/>
  <c r="O106" i="3"/>
  <c r="O107" i="31"/>
  <c r="M109" i="3"/>
  <c r="N109" i="31"/>
  <c r="M110" i="31"/>
  <c r="L110" i="3"/>
  <c r="L111" i="31"/>
  <c r="F174" i="13"/>
  <c r="K112" i="31"/>
  <c r="K111" i="3"/>
  <c r="I173" i="21"/>
  <c r="I173" i="13"/>
  <c r="I173" i="23"/>
  <c r="I174" i="22"/>
  <c r="G174" i="13"/>
  <c r="E174" i="13"/>
  <c r="I174" i="27"/>
  <c r="I174" i="20"/>
  <c r="F174" i="19"/>
  <c r="B177" i="20"/>
  <c r="C176" i="20"/>
  <c r="D176" i="20" s="1"/>
  <c r="A176" i="20"/>
  <c r="H174" i="23"/>
  <c r="A176" i="22"/>
  <c r="C176" i="22"/>
  <c r="B177" i="22"/>
  <c r="H174" i="13"/>
  <c r="C175" i="26"/>
  <c r="B176" i="26"/>
  <c r="A175" i="26"/>
  <c r="E174" i="25"/>
  <c r="H174" i="25"/>
  <c r="G174" i="25"/>
  <c r="D174" i="25"/>
  <c r="F174" i="25"/>
  <c r="I173" i="19"/>
  <c r="F175" i="22"/>
  <c r="H175" i="22"/>
  <c r="D175" i="22"/>
  <c r="E175" i="22"/>
  <c r="G175" i="22"/>
  <c r="H175" i="27"/>
  <c r="G175" i="27"/>
  <c r="D175" i="27"/>
  <c r="E175" i="27"/>
  <c r="G174" i="23"/>
  <c r="D174" i="19"/>
  <c r="E175" i="20"/>
  <c r="D175" i="20"/>
  <c r="G175" i="20"/>
  <c r="H174" i="21"/>
  <c r="E174" i="21"/>
  <c r="F174" i="21"/>
  <c r="F174" i="23"/>
  <c r="F174" i="26"/>
  <c r="G174" i="26"/>
  <c r="D174" i="26"/>
  <c r="G174" i="19"/>
  <c r="H174" i="26"/>
  <c r="E174" i="23"/>
  <c r="B176" i="24"/>
  <c r="A175" i="24"/>
  <c r="C175" i="24"/>
  <c r="I173" i="25"/>
  <c r="B176" i="13"/>
  <c r="A175" i="13"/>
  <c r="C175" i="13"/>
  <c r="D175" i="13" s="1"/>
  <c r="A176" i="27"/>
  <c r="B177" i="27"/>
  <c r="C176" i="27"/>
  <c r="H176" i="27" s="1"/>
  <c r="B176" i="21"/>
  <c r="A175" i="21"/>
  <c r="C175" i="21"/>
  <c r="H175" i="21" s="1"/>
  <c r="H174" i="19"/>
  <c r="A175" i="25"/>
  <c r="B176" i="25"/>
  <c r="C175" i="25"/>
  <c r="G174" i="24"/>
  <c r="E174" i="24"/>
  <c r="H174" i="24"/>
  <c r="D174" i="24"/>
  <c r="D174" i="21"/>
  <c r="A175" i="19"/>
  <c r="B176" i="19"/>
  <c r="C175" i="19"/>
  <c r="G175" i="19" s="1"/>
  <c r="I173" i="26"/>
  <c r="F174" i="24"/>
  <c r="I173" i="24"/>
  <c r="B176" i="23"/>
  <c r="C175" i="23"/>
  <c r="D175" i="23" s="1"/>
  <c r="A175" i="23"/>
  <c r="G174" i="21"/>
  <c r="F175" i="20"/>
  <c r="D178" i="31" l="1"/>
  <c r="H178" i="31"/>
  <c r="I177" i="31"/>
  <c r="T102" i="3"/>
  <c r="J102" i="3" s="1"/>
  <c r="T103" i="31"/>
  <c r="J102" i="31"/>
  <c r="H178" i="3"/>
  <c r="G178" i="3"/>
  <c r="F178" i="3"/>
  <c r="E178" i="3"/>
  <c r="D178" i="3"/>
  <c r="I177" i="3"/>
  <c r="B180" i="31"/>
  <c r="C179" i="31"/>
  <c r="H179" i="31" s="1"/>
  <c r="A179" i="31"/>
  <c r="S103" i="3"/>
  <c r="S104" i="31"/>
  <c r="F178" i="31"/>
  <c r="C179" i="3"/>
  <c r="G179" i="3" s="1"/>
  <c r="B180" i="3"/>
  <c r="A179" i="3"/>
  <c r="G178" i="31"/>
  <c r="R104" i="3"/>
  <c r="R105" i="31"/>
  <c r="Q105" i="3"/>
  <c r="Q106" i="31"/>
  <c r="P107" i="31"/>
  <c r="P107" i="3" s="1"/>
  <c r="O107" i="3"/>
  <c r="O108" i="31"/>
  <c r="M111" i="31"/>
  <c r="N109" i="3"/>
  <c r="M110" i="3"/>
  <c r="N110" i="31"/>
  <c r="N110" i="3" s="1"/>
  <c r="L111" i="3"/>
  <c r="L112" i="31"/>
  <c r="K113" i="31"/>
  <c r="K112" i="3"/>
  <c r="E175" i="13"/>
  <c r="F175" i="23"/>
  <c r="E175" i="23"/>
  <c r="G175" i="23"/>
  <c r="D175" i="19"/>
  <c r="D176" i="27"/>
  <c r="I174" i="13"/>
  <c r="I175" i="27"/>
  <c r="G175" i="21"/>
  <c r="F175" i="21"/>
  <c r="H175" i="23"/>
  <c r="E175" i="21"/>
  <c r="G175" i="13"/>
  <c r="I174" i="23"/>
  <c r="B177" i="23"/>
  <c r="C176" i="23"/>
  <c r="F176" i="23" s="1"/>
  <c r="A176" i="23"/>
  <c r="I175" i="22"/>
  <c r="C176" i="19"/>
  <c r="G176" i="19" s="1"/>
  <c r="A176" i="19"/>
  <c r="B177" i="19"/>
  <c r="G175" i="25"/>
  <c r="D175" i="25"/>
  <c r="E175" i="25"/>
  <c r="F175" i="25"/>
  <c r="H175" i="25"/>
  <c r="C176" i="25"/>
  <c r="A176" i="25"/>
  <c r="B177" i="25"/>
  <c r="F176" i="27"/>
  <c r="G176" i="27"/>
  <c r="A176" i="26"/>
  <c r="C176" i="26"/>
  <c r="B177" i="26"/>
  <c r="E176" i="20"/>
  <c r="H176" i="20"/>
  <c r="F176" i="20"/>
  <c r="G176" i="20"/>
  <c r="A176" i="24"/>
  <c r="C176" i="24"/>
  <c r="H176" i="24" s="1"/>
  <c r="B177" i="24"/>
  <c r="A176" i="21"/>
  <c r="B177" i="21"/>
  <c r="C176" i="21"/>
  <c r="E176" i="21" s="1"/>
  <c r="H175" i="19"/>
  <c r="B178" i="27"/>
  <c r="A177" i="27"/>
  <c r="C177" i="27"/>
  <c r="D177" i="27" s="1"/>
  <c r="C176" i="13"/>
  <c r="H176" i="13" s="1"/>
  <c r="A176" i="13"/>
  <c r="B177" i="13"/>
  <c r="E175" i="26"/>
  <c r="D175" i="26"/>
  <c r="G175" i="26"/>
  <c r="H175" i="26"/>
  <c r="F175" i="26"/>
  <c r="C177" i="20"/>
  <c r="H177" i="20" s="1"/>
  <c r="A177" i="20"/>
  <c r="B178" i="20"/>
  <c r="F175" i="19"/>
  <c r="I174" i="21"/>
  <c r="I174" i="26"/>
  <c r="I175" i="20"/>
  <c r="E175" i="19"/>
  <c r="I174" i="24"/>
  <c r="H175" i="13"/>
  <c r="E175" i="24"/>
  <c r="D175" i="24"/>
  <c r="G175" i="24"/>
  <c r="F175" i="24"/>
  <c r="H175" i="24"/>
  <c r="I174" i="25"/>
  <c r="C177" i="22"/>
  <c r="E177" i="22" s="1"/>
  <c r="A177" i="22"/>
  <c r="B178" i="22"/>
  <c r="F175" i="13"/>
  <c r="I174" i="19"/>
  <c r="E176" i="22"/>
  <c r="H176" i="22"/>
  <c r="D176" i="22"/>
  <c r="F176" i="22"/>
  <c r="G176" i="22"/>
  <c r="D175" i="21"/>
  <c r="E176" i="27"/>
  <c r="T103" i="3" l="1"/>
  <c r="J103" i="3" s="1"/>
  <c r="T104" i="31"/>
  <c r="J103" i="31"/>
  <c r="I178" i="31"/>
  <c r="G179" i="31"/>
  <c r="E179" i="31"/>
  <c r="C180" i="31"/>
  <c r="A180" i="31"/>
  <c r="B181" i="31"/>
  <c r="H179" i="3"/>
  <c r="F179" i="3"/>
  <c r="D179" i="3"/>
  <c r="E179" i="3"/>
  <c r="D179" i="31"/>
  <c r="S104" i="3"/>
  <c r="S105" i="31"/>
  <c r="A180" i="3"/>
  <c r="C180" i="3"/>
  <c r="B181" i="3"/>
  <c r="I178" i="3"/>
  <c r="F179" i="31"/>
  <c r="M111" i="3"/>
  <c r="R105" i="3"/>
  <c r="R106" i="31"/>
  <c r="Q106" i="3"/>
  <c r="Q107" i="31"/>
  <c r="P108" i="31"/>
  <c r="O108" i="3"/>
  <c r="O109" i="31"/>
  <c r="N111" i="31"/>
  <c r="L112" i="3"/>
  <c r="M112" i="31"/>
  <c r="L113" i="31"/>
  <c r="G177" i="22"/>
  <c r="K113" i="3"/>
  <c r="K114" i="31"/>
  <c r="I175" i="23"/>
  <c r="I175" i="21"/>
  <c r="E177" i="27"/>
  <c r="I176" i="20"/>
  <c r="I175" i="19"/>
  <c r="I175" i="25"/>
  <c r="I176" i="27"/>
  <c r="I175" i="13"/>
  <c r="D176" i="23"/>
  <c r="I175" i="26"/>
  <c r="H176" i="25"/>
  <c r="F176" i="25"/>
  <c r="E176" i="25"/>
  <c r="G176" i="25"/>
  <c r="A178" i="20"/>
  <c r="B179" i="20"/>
  <c r="C178" i="20"/>
  <c r="G178" i="20" s="1"/>
  <c r="E176" i="13"/>
  <c r="D176" i="26"/>
  <c r="F176" i="26"/>
  <c r="H176" i="26"/>
  <c r="E176" i="26"/>
  <c r="G176" i="26"/>
  <c r="G177" i="27"/>
  <c r="C177" i="23"/>
  <c r="D177" i="23" s="1"/>
  <c r="A177" i="23"/>
  <c r="B178" i="23"/>
  <c r="I176" i="22"/>
  <c r="I175" i="24"/>
  <c r="E177" i="20"/>
  <c r="D177" i="20"/>
  <c r="F177" i="20"/>
  <c r="F176" i="13"/>
  <c r="A178" i="27"/>
  <c r="B179" i="27"/>
  <c r="C178" i="27"/>
  <c r="F176" i="19"/>
  <c r="D176" i="24"/>
  <c r="C178" i="22"/>
  <c r="B179" i="22"/>
  <c r="A178" i="22"/>
  <c r="D176" i="13"/>
  <c r="H176" i="19"/>
  <c r="H176" i="23"/>
  <c r="G176" i="24"/>
  <c r="F176" i="21"/>
  <c r="H177" i="27"/>
  <c r="F177" i="27"/>
  <c r="C177" i="26"/>
  <c r="G177" i="26" s="1"/>
  <c r="A177" i="26"/>
  <c r="B178" i="26"/>
  <c r="G176" i="21"/>
  <c r="G176" i="13"/>
  <c r="C177" i="21"/>
  <c r="D177" i="21" s="1"/>
  <c r="B178" i="21"/>
  <c r="A177" i="21"/>
  <c r="D176" i="25"/>
  <c r="E176" i="19"/>
  <c r="C177" i="24"/>
  <c r="A177" i="24"/>
  <c r="B178" i="24"/>
  <c r="D176" i="19"/>
  <c r="E176" i="24"/>
  <c r="B178" i="19"/>
  <c r="A177" i="19"/>
  <c r="C177" i="19"/>
  <c r="G177" i="19" s="1"/>
  <c r="E176" i="23"/>
  <c r="G177" i="20"/>
  <c r="D177" i="22"/>
  <c r="F177" i="22"/>
  <c r="H177" i="22"/>
  <c r="H176" i="21"/>
  <c r="A177" i="13"/>
  <c r="C177" i="13"/>
  <c r="E177" i="13" s="1"/>
  <c r="B178" i="13"/>
  <c r="F176" i="24"/>
  <c r="C177" i="25"/>
  <c r="A177" i="25"/>
  <c r="B178" i="25"/>
  <c r="G176" i="23"/>
  <c r="D176" i="21"/>
  <c r="T104" i="3" l="1"/>
  <c r="J104" i="3" s="1"/>
  <c r="T105" i="31"/>
  <c r="J105" i="31" s="1"/>
  <c r="J104" i="31"/>
  <c r="I179" i="31"/>
  <c r="S105" i="3"/>
  <c r="S106" i="31"/>
  <c r="C181" i="31"/>
  <c r="H181" i="31" s="1"/>
  <c r="A181" i="31"/>
  <c r="B182" i="31"/>
  <c r="I179" i="3"/>
  <c r="E180" i="3"/>
  <c r="D180" i="3"/>
  <c r="H180" i="3"/>
  <c r="F180" i="3"/>
  <c r="G180" i="3"/>
  <c r="M112" i="3"/>
  <c r="A181" i="3"/>
  <c r="C181" i="3"/>
  <c r="F181" i="3" s="1"/>
  <c r="B182" i="3"/>
  <c r="E180" i="31"/>
  <c r="G180" i="31"/>
  <c r="F180" i="31"/>
  <c r="D180" i="31"/>
  <c r="H180" i="31"/>
  <c r="R106" i="3"/>
  <c r="R107" i="31"/>
  <c r="Q107" i="3"/>
  <c r="Q108" i="31"/>
  <c r="L113" i="3"/>
  <c r="P109" i="31"/>
  <c r="P109" i="3" s="1"/>
  <c r="P108" i="3"/>
  <c r="O109" i="3"/>
  <c r="O110" i="31"/>
  <c r="N111" i="3"/>
  <c r="N112" i="31"/>
  <c r="M113" i="31"/>
  <c r="L114" i="31"/>
  <c r="F177" i="21"/>
  <c r="H177" i="21"/>
  <c r="K115" i="31"/>
  <c r="K114" i="3"/>
  <c r="E177" i="21"/>
  <c r="F177" i="19"/>
  <c r="H177" i="19"/>
  <c r="H177" i="26"/>
  <c r="D177" i="19"/>
  <c r="E177" i="19"/>
  <c r="I176" i="23"/>
  <c r="D178" i="20"/>
  <c r="H177" i="23"/>
  <c r="H177" i="13"/>
  <c r="D177" i="13"/>
  <c r="H178" i="20"/>
  <c r="I177" i="27"/>
  <c r="E177" i="23"/>
  <c r="G177" i="13"/>
  <c r="F177" i="26"/>
  <c r="F177" i="13"/>
  <c r="F177" i="23"/>
  <c r="E177" i="25"/>
  <c r="G177" i="25"/>
  <c r="D177" i="25"/>
  <c r="H177" i="25"/>
  <c r="F177" i="25"/>
  <c r="I177" i="20"/>
  <c r="A178" i="19"/>
  <c r="B179" i="19"/>
  <c r="C178" i="19"/>
  <c r="D178" i="19" s="1"/>
  <c r="I176" i="24"/>
  <c r="I176" i="26"/>
  <c r="I176" i="25"/>
  <c r="I176" i="13"/>
  <c r="E178" i="27"/>
  <c r="D178" i="27"/>
  <c r="H178" i="27"/>
  <c r="A178" i="26"/>
  <c r="C178" i="26"/>
  <c r="E178" i="26" s="1"/>
  <c r="B179" i="26"/>
  <c r="I176" i="21"/>
  <c r="E177" i="26"/>
  <c r="D177" i="26"/>
  <c r="B180" i="27"/>
  <c r="A179" i="27"/>
  <c r="C179" i="27"/>
  <c r="F177" i="24"/>
  <c r="D177" i="24"/>
  <c r="H177" i="24"/>
  <c r="I177" i="22"/>
  <c r="B180" i="22"/>
  <c r="A179" i="22"/>
  <c r="C179" i="22"/>
  <c r="G177" i="24"/>
  <c r="E178" i="20"/>
  <c r="F178" i="20"/>
  <c r="C178" i="23"/>
  <c r="D178" i="23" s="1"/>
  <c r="A178" i="23"/>
  <c r="B179" i="23"/>
  <c r="C178" i="25"/>
  <c r="A178" i="25"/>
  <c r="B179" i="25"/>
  <c r="C178" i="13"/>
  <c r="H178" i="13" s="1"/>
  <c r="B179" i="13"/>
  <c r="A178" i="13"/>
  <c r="I176" i="19"/>
  <c r="B179" i="21"/>
  <c r="A178" i="21"/>
  <c r="C178" i="21"/>
  <c r="F178" i="22"/>
  <c r="D178" i="22"/>
  <c r="G178" i="22"/>
  <c r="H178" i="22"/>
  <c r="E178" i="22"/>
  <c r="C179" i="20"/>
  <c r="H179" i="20" s="1"/>
  <c r="A179" i="20"/>
  <c r="B180" i="20"/>
  <c r="E177" i="24"/>
  <c r="G178" i="27"/>
  <c r="A178" i="24"/>
  <c r="B179" i="24"/>
  <c r="C178" i="24"/>
  <c r="F178" i="27"/>
  <c r="G177" i="23"/>
  <c r="G177" i="21"/>
  <c r="G181" i="31" l="1"/>
  <c r="G181" i="3"/>
  <c r="I180" i="3"/>
  <c r="D181" i="3"/>
  <c r="H181" i="3"/>
  <c r="T105" i="3"/>
  <c r="J105" i="3" s="1"/>
  <c r="T106" i="31"/>
  <c r="J106" i="31" s="1"/>
  <c r="S106" i="3"/>
  <c r="S107" i="31"/>
  <c r="A182" i="3"/>
  <c r="B183" i="3"/>
  <c r="C182" i="3"/>
  <c r="B183" i="31"/>
  <c r="A182" i="31"/>
  <c r="C182" i="31"/>
  <c r="E181" i="3"/>
  <c r="I180" i="31"/>
  <c r="F181" i="31"/>
  <c r="D181" i="31"/>
  <c r="E181" i="31"/>
  <c r="M113" i="3"/>
  <c r="R107" i="3"/>
  <c r="R108" i="31"/>
  <c r="Q108" i="3"/>
  <c r="Q109" i="31"/>
  <c r="P110" i="31"/>
  <c r="P110" i="3" s="1"/>
  <c r="N112" i="3"/>
  <c r="O110" i="3"/>
  <c r="O111" i="31"/>
  <c r="N113" i="31"/>
  <c r="N113" i="3" s="1"/>
  <c r="M114" i="31"/>
  <c r="L114" i="3"/>
  <c r="L115" i="31"/>
  <c r="I177" i="21"/>
  <c r="I177" i="19"/>
  <c r="K115" i="3"/>
  <c r="K116" i="31"/>
  <c r="G178" i="23"/>
  <c r="I177" i="13"/>
  <c r="I177" i="23"/>
  <c r="F178" i="19"/>
  <c r="G178" i="19"/>
  <c r="I177" i="26"/>
  <c r="C179" i="25"/>
  <c r="D179" i="25" s="1"/>
  <c r="B180" i="25"/>
  <c r="A179" i="25"/>
  <c r="F178" i="13"/>
  <c r="A180" i="27"/>
  <c r="B181" i="27"/>
  <c r="C180" i="27"/>
  <c r="E178" i="19"/>
  <c r="D179" i="20"/>
  <c r="E179" i="20"/>
  <c r="G179" i="20"/>
  <c r="A179" i="21"/>
  <c r="C179" i="21"/>
  <c r="G179" i="21" s="1"/>
  <c r="B180" i="21"/>
  <c r="F179" i="27"/>
  <c r="G179" i="27"/>
  <c r="H179" i="27"/>
  <c r="E179" i="27"/>
  <c r="D179" i="27"/>
  <c r="D178" i="13"/>
  <c r="H178" i="25"/>
  <c r="E178" i="25"/>
  <c r="F178" i="25"/>
  <c r="G178" i="25"/>
  <c r="G178" i="26"/>
  <c r="I178" i="27"/>
  <c r="I177" i="25"/>
  <c r="F179" i="20"/>
  <c r="I178" i="22"/>
  <c r="G178" i="13"/>
  <c r="F178" i="23"/>
  <c r="I178" i="20"/>
  <c r="H178" i="26"/>
  <c r="H178" i="19"/>
  <c r="C179" i="23"/>
  <c r="E179" i="23" s="1"/>
  <c r="B180" i="23"/>
  <c r="A179" i="23"/>
  <c r="H178" i="24"/>
  <c r="D178" i="24"/>
  <c r="E178" i="24"/>
  <c r="F178" i="24"/>
  <c r="G178" i="24"/>
  <c r="B181" i="20"/>
  <c r="C180" i="20"/>
  <c r="A180" i="20"/>
  <c r="G178" i="21"/>
  <c r="H178" i="21"/>
  <c r="E178" i="21"/>
  <c r="F178" i="21"/>
  <c r="E178" i="23"/>
  <c r="F179" i="22"/>
  <c r="G179" i="22"/>
  <c r="E179" i="22"/>
  <c r="H179" i="22"/>
  <c r="D179" i="22"/>
  <c r="I177" i="24"/>
  <c r="B180" i="19"/>
  <c r="A179" i="19"/>
  <c r="C179" i="19"/>
  <c r="E179" i="19" s="1"/>
  <c r="D178" i="25"/>
  <c r="B181" i="22"/>
  <c r="C180" i="22"/>
  <c r="H180" i="22" s="1"/>
  <c r="A180" i="22"/>
  <c r="E178" i="13"/>
  <c r="A179" i="24"/>
  <c r="C179" i="24"/>
  <c r="B180" i="24"/>
  <c r="A179" i="13"/>
  <c r="C179" i="13"/>
  <c r="H179" i="13" s="1"/>
  <c r="B180" i="13"/>
  <c r="H178" i="23"/>
  <c r="A179" i="26"/>
  <c r="C179" i="26"/>
  <c r="B180" i="26"/>
  <c r="D178" i="21"/>
  <c r="D178" i="26"/>
  <c r="F178" i="26"/>
  <c r="I181" i="3" l="1"/>
  <c r="T106" i="3"/>
  <c r="J106" i="3" s="1"/>
  <c r="H43" i="2" s="1"/>
  <c r="I43" i="2" s="1"/>
  <c r="A44" i="2" s="1"/>
  <c r="T107" i="31"/>
  <c r="B184" i="31"/>
  <c r="C183" i="31"/>
  <c r="E183" i="31" s="1"/>
  <c r="A183" i="31"/>
  <c r="A183" i="3"/>
  <c r="C183" i="3"/>
  <c r="B184" i="3"/>
  <c r="S107" i="3"/>
  <c r="S108" i="31"/>
  <c r="I181" i="31"/>
  <c r="G182" i="3"/>
  <c r="E182" i="3"/>
  <c r="H182" i="3"/>
  <c r="F182" i="3"/>
  <c r="D182" i="3"/>
  <c r="D182" i="31"/>
  <c r="E182" i="31"/>
  <c r="H182" i="31"/>
  <c r="G182" i="31"/>
  <c r="F182" i="31"/>
  <c r="R108" i="3"/>
  <c r="R109" i="31"/>
  <c r="Q109" i="3"/>
  <c r="Q110" i="31"/>
  <c r="P111" i="31"/>
  <c r="P111" i="3" s="1"/>
  <c r="M115" i="31"/>
  <c r="O111" i="3"/>
  <c r="O112" i="31"/>
  <c r="L115" i="3"/>
  <c r="N114" i="31"/>
  <c r="M114" i="3"/>
  <c r="L116" i="31"/>
  <c r="F179" i="25"/>
  <c r="E179" i="25"/>
  <c r="K116" i="3"/>
  <c r="K117" i="31"/>
  <c r="I179" i="27"/>
  <c r="I178" i="19"/>
  <c r="I178" i="13"/>
  <c r="G179" i="13"/>
  <c r="D179" i="23"/>
  <c r="E179" i="13"/>
  <c r="F179" i="23"/>
  <c r="D179" i="13"/>
  <c r="H179" i="23"/>
  <c r="F179" i="13"/>
  <c r="I178" i="23"/>
  <c r="G179" i="23"/>
  <c r="I178" i="21"/>
  <c r="C180" i="26"/>
  <c r="E180" i="26" s="1"/>
  <c r="B181" i="26"/>
  <c r="A180" i="26"/>
  <c r="B181" i="13"/>
  <c r="A180" i="13"/>
  <c r="C180" i="13"/>
  <c r="E180" i="13" s="1"/>
  <c r="F179" i="19"/>
  <c r="I179" i="22"/>
  <c r="I178" i="24"/>
  <c r="I179" i="20"/>
  <c r="C180" i="25"/>
  <c r="B181" i="25"/>
  <c r="A180" i="25"/>
  <c r="G179" i="24"/>
  <c r="F179" i="24"/>
  <c r="H179" i="24"/>
  <c r="D179" i="24"/>
  <c r="E179" i="24"/>
  <c r="I178" i="26"/>
  <c r="G179" i="26"/>
  <c r="F179" i="26"/>
  <c r="D179" i="26"/>
  <c r="E179" i="26"/>
  <c r="H179" i="26"/>
  <c r="H179" i="19"/>
  <c r="A180" i="23"/>
  <c r="C180" i="23"/>
  <c r="E180" i="23" s="1"/>
  <c r="B181" i="23"/>
  <c r="H179" i="25"/>
  <c r="G179" i="25"/>
  <c r="A181" i="22"/>
  <c r="C181" i="22"/>
  <c r="D181" i="22" s="1"/>
  <c r="B182" i="22"/>
  <c r="H179" i="21"/>
  <c r="G179" i="19"/>
  <c r="D180" i="22"/>
  <c r="E179" i="21"/>
  <c r="G180" i="27"/>
  <c r="F180" i="27"/>
  <c r="H180" i="27"/>
  <c r="E180" i="27"/>
  <c r="D180" i="27"/>
  <c r="F180" i="22"/>
  <c r="C181" i="20"/>
  <c r="G181" i="20" s="1"/>
  <c r="A181" i="20"/>
  <c r="B182" i="20"/>
  <c r="G180" i="22"/>
  <c r="A180" i="19"/>
  <c r="C180" i="19"/>
  <c r="H180" i="19" s="1"/>
  <c r="B181" i="19"/>
  <c r="I178" i="25"/>
  <c r="A180" i="24"/>
  <c r="B181" i="24"/>
  <c r="C180" i="24"/>
  <c r="D179" i="19"/>
  <c r="D180" i="20"/>
  <c r="E180" i="20"/>
  <c r="G180" i="20"/>
  <c r="F180" i="20"/>
  <c r="H180" i="20"/>
  <c r="F179" i="21"/>
  <c r="E180" i="22"/>
  <c r="B181" i="21"/>
  <c r="C180" i="21"/>
  <c r="A180" i="21"/>
  <c r="B182" i="27"/>
  <c r="A181" i="27"/>
  <c r="C181" i="27"/>
  <c r="D179" i="21"/>
  <c r="H183" i="31" l="1"/>
  <c r="F44" i="2"/>
  <c r="B44" i="2"/>
  <c r="C44" i="2"/>
  <c r="T107" i="3"/>
  <c r="J107" i="3" s="1"/>
  <c r="T108" i="31"/>
  <c r="J108" i="31" s="1"/>
  <c r="E44" i="2"/>
  <c r="G44" i="2"/>
  <c r="J107" i="31"/>
  <c r="D44" i="2"/>
  <c r="S108" i="3"/>
  <c r="S109" i="31"/>
  <c r="I182" i="31"/>
  <c r="B185" i="3"/>
  <c r="A184" i="3"/>
  <c r="C184" i="3"/>
  <c r="H184" i="3" s="1"/>
  <c r="A184" i="31"/>
  <c r="C184" i="31"/>
  <c r="D184" i="31" s="1"/>
  <c r="B185" i="31"/>
  <c r="D183" i="31"/>
  <c r="I182" i="3"/>
  <c r="F183" i="31"/>
  <c r="F183" i="3"/>
  <c r="D183" i="3"/>
  <c r="G183" i="3"/>
  <c r="E183" i="3"/>
  <c r="H183" i="3"/>
  <c r="G183" i="31"/>
  <c r="R109" i="3"/>
  <c r="R110" i="31"/>
  <c r="M115" i="3"/>
  <c r="Q110" i="3"/>
  <c r="Q111" i="31"/>
  <c r="P112" i="31"/>
  <c r="P112" i="3" s="1"/>
  <c r="N114" i="3"/>
  <c r="O112" i="3"/>
  <c r="O113" i="31"/>
  <c r="N115" i="31"/>
  <c r="M116" i="31"/>
  <c r="L116" i="3"/>
  <c r="H180" i="13"/>
  <c r="L117" i="31"/>
  <c r="K117" i="3"/>
  <c r="K118" i="31"/>
  <c r="G180" i="19"/>
  <c r="D180" i="19"/>
  <c r="D180" i="23"/>
  <c r="F180" i="13"/>
  <c r="D181" i="20"/>
  <c r="F180" i="19"/>
  <c r="E180" i="19"/>
  <c r="D180" i="13"/>
  <c r="I179" i="25"/>
  <c r="I179" i="13"/>
  <c r="I179" i="19"/>
  <c r="I179" i="21"/>
  <c r="F181" i="20"/>
  <c r="I179" i="23"/>
  <c r="F181" i="22"/>
  <c r="D181" i="27"/>
  <c r="E181" i="27"/>
  <c r="F181" i="27"/>
  <c r="H181" i="27"/>
  <c r="G181" i="27"/>
  <c r="I180" i="22"/>
  <c r="H180" i="25"/>
  <c r="D180" i="25"/>
  <c r="E180" i="25"/>
  <c r="G180" i="25"/>
  <c r="F180" i="25"/>
  <c r="F180" i="24"/>
  <c r="G180" i="24"/>
  <c r="H180" i="24"/>
  <c r="E180" i="24"/>
  <c r="D180" i="24"/>
  <c r="A182" i="20"/>
  <c r="B183" i="20"/>
  <c r="C182" i="20"/>
  <c r="H182" i="20" s="1"/>
  <c r="A181" i="24"/>
  <c r="B182" i="24"/>
  <c r="C181" i="24"/>
  <c r="C181" i="25"/>
  <c r="H181" i="25" s="1"/>
  <c r="B182" i="25"/>
  <c r="A181" i="25"/>
  <c r="E181" i="20"/>
  <c r="A181" i="21"/>
  <c r="C181" i="21"/>
  <c r="G181" i="21" s="1"/>
  <c r="B182" i="21"/>
  <c r="C181" i="23"/>
  <c r="D181" i="23" s="1"/>
  <c r="A181" i="23"/>
  <c r="B182" i="23"/>
  <c r="G180" i="26"/>
  <c r="D180" i="26"/>
  <c r="H180" i="26"/>
  <c r="A182" i="27"/>
  <c r="C182" i="27"/>
  <c r="B183" i="27"/>
  <c r="H181" i="22"/>
  <c r="I180" i="27"/>
  <c r="F180" i="26"/>
  <c r="G181" i="22"/>
  <c r="H180" i="23"/>
  <c r="A181" i="13"/>
  <c r="C181" i="13"/>
  <c r="D181" i="13" s="1"/>
  <c r="B182" i="13"/>
  <c r="C181" i="19"/>
  <c r="G181" i="19" s="1"/>
  <c r="B182" i="19"/>
  <c r="A181" i="19"/>
  <c r="F180" i="23"/>
  <c r="I179" i="24"/>
  <c r="E181" i="22"/>
  <c r="F180" i="21"/>
  <c r="D180" i="21"/>
  <c r="E180" i="21"/>
  <c r="H180" i="21"/>
  <c r="G180" i="21"/>
  <c r="I180" i="20"/>
  <c r="B183" i="22"/>
  <c r="C182" i="22"/>
  <c r="A182" i="22"/>
  <c r="G180" i="23"/>
  <c r="I179" i="26"/>
  <c r="G180" i="13"/>
  <c r="A181" i="26"/>
  <c r="C181" i="26"/>
  <c r="B182" i="26"/>
  <c r="H181" i="20"/>
  <c r="T108" i="3" l="1"/>
  <c r="J108" i="3" s="1"/>
  <c r="T109" i="31"/>
  <c r="I183" i="31"/>
  <c r="B186" i="31"/>
  <c r="C185" i="31"/>
  <c r="E185" i="31" s="1"/>
  <c r="A185" i="31"/>
  <c r="G184" i="31"/>
  <c r="F184" i="31"/>
  <c r="E184" i="31"/>
  <c r="G184" i="3"/>
  <c r="D184" i="3"/>
  <c r="F184" i="3"/>
  <c r="E184" i="3"/>
  <c r="B186" i="3"/>
  <c r="C185" i="3"/>
  <c r="A185" i="3"/>
  <c r="S109" i="3"/>
  <c r="S110" i="31"/>
  <c r="I183" i="3"/>
  <c r="H184" i="31"/>
  <c r="M116" i="3"/>
  <c r="R110" i="3"/>
  <c r="R111" i="31"/>
  <c r="Q111" i="3"/>
  <c r="Q112" i="31"/>
  <c r="P113" i="31"/>
  <c r="P113" i="3" s="1"/>
  <c r="O113" i="3"/>
  <c r="O114" i="31"/>
  <c r="N115" i="3"/>
  <c r="N116" i="31"/>
  <c r="L117" i="3"/>
  <c r="M117" i="31"/>
  <c r="L118" i="31"/>
  <c r="L118" i="3" s="1"/>
  <c r="K119" i="31"/>
  <c r="K118" i="3"/>
  <c r="D181" i="21"/>
  <c r="I180" i="19"/>
  <c r="E181" i="13"/>
  <c r="I180" i="13"/>
  <c r="I181" i="22"/>
  <c r="I180" i="24"/>
  <c r="I180" i="23"/>
  <c r="D182" i="20"/>
  <c r="E181" i="19"/>
  <c r="A183" i="27"/>
  <c r="C183" i="27"/>
  <c r="E183" i="27" s="1"/>
  <c r="B184" i="27"/>
  <c r="H181" i="23"/>
  <c r="F181" i="25"/>
  <c r="E181" i="25"/>
  <c r="I180" i="21"/>
  <c r="F181" i="19"/>
  <c r="E182" i="20"/>
  <c r="F182" i="27"/>
  <c r="G182" i="27"/>
  <c r="D182" i="27"/>
  <c r="H182" i="27"/>
  <c r="G181" i="23"/>
  <c r="C182" i="21"/>
  <c r="B183" i="21"/>
  <c r="A182" i="21"/>
  <c r="E181" i="24"/>
  <c r="G181" i="24"/>
  <c r="F181" i="24"/>
  <c r="F182" i="20"/>
  <c r="I180" i="26"/>
  <c r="B184" i="20"/>
  <c r="C183" i="20"/>
  <c r="H183" i="20" s="1"/>
  <c r="A183" i="20"/>
  <c r="C182" i="25"/>
  <c r="G182" i="25" s="1"/>
  <c r="A182" i="25"/>
  <c r="B183" i="25"/>
  <c r="H181" i="19"/>
  <c r="F181" i="13"/>
  <c r="E181" i="23"/>
  <c r="F181" i="21"/>
  <c r="E181" i="21"/>
  <c r="C182" i="24"/>
  <c r="A182" i="24"/>
  <c r="B183" i="24"/>
  <c r="D181" i="25"/>
  <c r="B183" i="13"/>
  <c r="C182" i="13"/>
  <c r="H182" i="13" s="1"/>
  <c r="A182" i="13"/>
  <c r="D182" i="22"/>
  <c r="G182" i="22"/>
  <c r="E182" i="22"/>
  <c r="F182" i="22"/>
  <c r="H182" i="22"/>
  <c r="H181" i="24"/>
  <c r="D181" i="19"/>
  <c r="G181" i="13"/>
  <c r="D181" i="24"/>
  <c r="F181" i="23"/>
  <c r="E181" i="26"/>
  <c r="H181" i="26"/>
  <c r="D181" i="26"/>
  <c r="G181" i="26"/>
  <c r="F181" i="26"/>
  <c r="C182" i="23"/>
  <c r="F182" i="23" s="1"/>
  <c r="B183" i="23"/>
  <c r="A182" i="23"/>
  <c r="G182" i="20"/>
  <c r="B183" i="19"/>
  <c r="C182" i="19"/>
  <c r="F182" i="19" s="1"/>
  <c r="A182" i="19"/>
  <c r="I181" i="27"/>
  <c r="I180" i="25"/>
  <c r="C182" i="26"/>
  <c r="A182" i="26"/>
  <c r="B183" i="26"/>
  <c r="C183" i="22"/>
  <c r="B184" i="22"/>
  <c r="A183" i="22"/>
  <c r="E182" i="27"/>
  <c r="H181" i="13"/>
  <c r="G181" i="25"/>
  <c r="I181" i="20"/>
  <c r="H181" i="21"/>
  <c r="H185" i="31" l="1"/>
  <c r="F185" i="31"/>
  <c r="I184" i="3"/>
  <c r="I184" i="31"/>
  <c r="T109" i="3"/>
  <c r="J109" i="3" s="1"/>
  <c r="T110" i="31"/>
  <c r="J109" i="31"/>
  <c r="A186" i="31"/>
  <c r="B187" i="31"/>
  <c r="C186" i="31"/>
  <c r="A186" i="3"/>
  <c r="B187" i="3"/>
  <c r="C186" i="3"/>
  <c r="D186" i="3" s="1"/>
  <c r="D185" i="31"/>
  <c r="H185" i="3"/>
  <c r="D185" i="3"/>
  <c r="G185" i="3"/>
  <c r="F185" i="3"/>
  <c r="E185" i="3"/>
  <c r="S110" i="3"/>
  <c r="S111" i="31"/>
  <c r="G185" i="31"/>
  <c r="M117" i="3"/>
  <c r="R111" i="3"/>
  <c r="R112" i="31"/>
  <c r="N116" i="3"/>
  <c r="Q112" i="3"/>
  <c r="Q113" i="31"/>
  <c r="P114" i="31"/>
  <c r="P114" i="3" s="1"/>
  <c r="O114" i="3"/>
  <c r="O115" i="31"/>
  <c r="N117" i="31"/>
  <c r="M118" i="31"/>
  <c r="L119" i="31"/>
  <c r="K120" i="31"/>
  <c r="K119" i="3"/>
  <c r="G182" i="23"/>
  <c r="E182" i="19"/>
  <c r="E182" i="23"/>
  <c r="G182" i="13"/>
  <c r="E182" i="13"/>
  <c r="D182" i="13"/>
  <c r="H182" i="23"/>
  <c r="F182" i="13"/>
  <c r="I181" i="13"/>
  <c r="I181" i="26"/>
  <c r="H182" i="19"/>
  <c r="I181" i="21"/>
  <c r="D183" i="20"/>
  <c r="I181" i="23"/>
  <c r="I181" i="25"/>
  <c r="F183" i="20"/>
  <c r="E183" i="20"/>
  <c r="C183" i="25"/>
  <c r="E183" i="25" s="1"/>
  <c r="A183" i="25"/>
  <c r="B184" i="25"/>
  <c r="B185" i="27"/>
  <c r="A184" i="27"/>
  <c r="C184" i="27"/>
  <c r="E184" i="27" s="1"/>
  <c r="G182" i="24"/>
  <c r="H182" i="24"/>
  <c r="E182" i="24"/>
  <c r="F182" i="24"/>
  <c r="D182" i="24"/>
  <c r="D182" i="25"/>
  <c r="F182" i="25"/>
  <c r="E182" i="25"/>
  <c r="H183" i="27"/>
  <c r="F183" i="27"/>
  <c r="D183" i="27"/>
  <c r="G183" i="27"/>
  <c r="D182" i="26"/>
  <c r="G182" i="26"/>
  <c r="E182" i="26"/>
  <c r="H182" i="26"/>
  <c r="F182" i="26"/>
  <c r="B184" i="24"/>
  <c r="A183" i="24"/>
  <c r="C183" i="24"/>
  <c r="E183" i="24" s="1"/>
  <c r="I182" i="22"/>
  <c r="B185" i="22"/>
  <c r="A184" i="22"/>
  <c r="C184" i="22"/>
  <c r="F184" i="22" s="1"/>
  <c r="C183" i="21"/>
  <c r="A183" i="21"/>
  <c r="B184" i="21"/>
  <c r="G183" i="20"/>
  <c r="B184" i="19"/>
  <c r="A183" i="19"/>
  <c r="C183" i="19"/>
  <c r="D183" i="19" s="1"/>
  <c r="A183" i="23"/>
  <c r="C183" i="23"/>
  <c r="D183" i="23" s="1"/>
  <c r="B184" i="23"/>
  <c r="H183" i="22"/>
  <c r="F183" i="22"/>
  <c r="D183" i="22"/>
  <c r="G183" i="22"/>
  <c r="E183" i="22"/>
  <c r="D182" i="19"/>
  <c r="I181" i="19"/>
  <c r="H182" i="25"/>
  <c r="B185" i="20"/>
  <c r="A184" i="20"/>
  <c r="C184" i="20"/>
  <c r="H182" i="21"/>
  <c r="F182" i="21"/>
  <c r="G182" i="21"/>
  <c r="D182" i="21"/>
  <c r="E182" i="21"/>
  <c r="I182" i="27"/>
  <c r="I181" i="24"/>
  <c r="I182" i="20"/>
  <c r="A183" i="26"/>
  <c r="B184" i="26"/>
  <c r="C183" i="26"/>
  <c r="G182" i="19"/>
  <c r="D182" i="23"/>
  <c r="B184" i="13"/>
  <c r="C183" i="13"/>
  <c r="D183" i="13" s="1"/>
  <c r="A183" i="13"/>
  <c r="I185" i="31" l="1"/>
  <c r="T110" i="3"/>
  <c r="J110" i="3" s="1"/>
  <c r="T111" i="31"/>
  <c r="J111" i="31" s="1"/>
  <c r="J110" i="31"/>
  <c r="M118" i="3"/>
  <c r="E186" i="3"/>
  <c r="G186" i="3"/>
  <c r="D186" i="31"/>
  <c r="F186" i="31"/>
  <c r="G186" i="31"/>
  <c r="C187" i="31"/>
  <c r="E187" i="31" s="1"/>
  <c r="B188" i="31"/>
  <c r="A187" i="31"/>
  <c r="E186" i="31"/>
  <c r="I185" i="3"/>
  <c r="S111" i="3"/>
  <c r="S112" i="31"/>
  <c r="H186" i="3"/>
  <c r="F186" i="3"/>
  <c r="C187" i="3"/>
  <c r="D187" i="3" s="1"/>
  <c r="A187" i="3"/>
  <c r="B188" i="3"/>
  <c r="H186" i="31"/>
  <c r="R112" i="3"/>
  <c r="R113" i="31"/>
  <c r="R113" i="3" s="1"/>
  <c r="Q113" i="3"/>
  <c r="Q114" i="31"/>
  <c r="N117" i="3"/>
  <c r="P115" i="31"/>
  <c r="P115" i="3" s="1"/>
  <c r="O115" i="3"/>
  <c r="O116" i="31"/>
  <c r="N118" i="31"/>
  <c r="L119" i="3"/>
  <c r="M119" i="31"/>
  <c r="F183" i="23"/>
  <c r="I182" i="23"/>
  <c r="H183" i="25"/>
  <c r="G183" i="24"/>
  <c r="L120" i="31"/>
  <c r="K121" i="31"/>
  <c r="K120" i="3"/>
  <c r="D183" i="25"/>
  <c r="G183" i="19"/>
  <c r="I182" i="13"/>
  <c r="D184" i="27"/>
  <c r="G183" i="23"/>
  <c r="F183" i="25"/>
  <c r="F184" i="27"/>
  <c r="I182" i="19"/>
  <c r="I183" i="20"/>
  <c r="F183" i="13"/>
  <c r="I183" i="27"/>
  <c r="H183" i="13"/>
  <c r="E183" i="23"/>
  <c r="A184" i="21"/>
  <c r="B185" i="21"/>
  <c r="C184" i="21"/>
  <c r="H184" i="21" s="1"/>
  <c r="F183" i="19"/>
  <c r="I182" i="25"/>
  <c r="H184" i="27"/>
  <c r="G184" i="27"/>
  <c r="E184" i="20"/>
  <c r="H184" i="20"/>
  <c r="F184" i="20"/>
  <c r="G184" i="20"/>
  <c r="D184" i="20"/>
  <c r="I183" i="22"/>
  <c r="H183" i="19"/>
  <c r="H183" i="21"/>
  <c r="D183" i="21"/>
  <c r="G183" i="21"/>
  <c r="E183" i="21"/>
  <c r="F183" i="21"/>
  <c r="I182" i="26"/>
  <c r="I182" i="24"/>
  <c r="C184" i="13"/>
  <c r="F184" i="13" s="1"/>
  <c r="A184" i="13"/>
  <c r="B185" i="13"/>
  <c r="H183" i="23"/>
  <c r="E183" i="19"/>
  <c r="E184" i="22"/>
  <c r="G184" i="22"/>
  <c r="H184" i="22"/>
  <c r="D184" i="22"/>
  <c r="H183" i="24"/>
  <c r="F183" i="24"/>
  <c r="C185" i="27"/>
  <c r="B186" i="27"/>
  <c r="A185" i="27"/>
  <c r="A184" i="26"/>
  <c r="C184" i="26"/>
  <c r="D184" i="26" s="1"/>
  <c r="B185" i="26"/>
  <c r="A185" i="20"/>
  <c r="B186" i="20"/>
  <c r="C185" i="20"/>
  <c r="A184" i="25"/>
  <c r="B185" i="25"/>
  <c r="C184" i="25"/>
  <c r="G183" i="13"/>
  <c r="A184" i="23"/>
  <c r="B185" i="23"/>
  <c r="C184" i="23"/>
  <c r="F184" i="23" s="1"/>
  <c r="A185" i="22"/>
  <c r="C185" i="22"/>
  <c r="B186" i="22"/>
  <c r="B185" i="24"/>
  <c r="A184" i="24"/>
  <c r="C184" i="24"/>
  <c r="E183" i="13"/>
  <c r="G183" i="26"/>
  <c r="D183" i="26"/>
  <c r="E183" i="26"/>
  <c r="F183" i="26"/>
  <c r="H183" i="26"/>
  <c r="I182" i="21"/>
  <c r="C184" i="19"/>
  <c r="F184" i="19" s="1"/>
  <c r="B185" i="19"/>
  <c r="A184" i="19"/>
  <c r="G183" i="25"/>
  <c r="D183" i="24"/>
  <c r="R114" i="31" l="1"/>
  <c r="R114" i="3" s="1"/>
  <c r="H187" i="31"/>
  <c r="T111" i="3"/>
  <c r="J111" i="3" s="1"/>
  <c r="T112" i="31"/>
  <c r="S112" i="3"/>
  <c r="S113" i="31"/>
  <c r="F187" i="31"/>
  <c r="G187" i="31"/>
  <c r="I186" i="31"/>
  <c r="B189" i="3"/>
  <c r="A188" i="3"/>
  <c r="C188" i="3"/>
  <c r="D188" i="3" s="1"/>
  <c r="C188" i="31"/>
  <c r="G188" i="31" s="1"/>
  <c r="A188" i="31"/>
  <c r="B189" i="31"/>
  <c r="E187" i="3"/>
  <c r="F187" i="3"/>
  <c r="I186" i="3"/>
  <c r="D187" i="31"/>
  <c r="G187" i="3"/>
  <c r="H187" i="3"/>
  <c r="Q114" i="3"/>
  <c r="Q115" i="31"/>
  <c r="R115" i="31" s="1"/>
  <c r="R115" i="3" s="1"/>
  <c r="L120" i="3"/>
  <c r="P116" i="31"/>
  <c r="P116" i="3" s="1"/>
  <c r="N118" i="3"/>
  <c r="O116" i="3"/>
  <c r="O117" i="31"/>
  <c r="M120" i="31"/>
  <c r="N119" i="31"/>
  <c r="M119" i="3"/>
  <c r="L121" i="31"/>
  <c r="E184" i="23"/>
  <c r="H184" i="26"/>
  <c r="D184" i="13"/>
  <c r="K121" i="3"/>
  <c r="K122" i="31"/>
  <c r="H184" i="23"/>
  <c r="I183" i="25"/>
  <c r="I183" i="23"/>
  <c r="I184" i="27"/>
  <c r="I183" i="13"/>
  <c r="I183" i="24"/>
  <c r="D184" i="23"/>
  <c r="D184" i="19"/>
  <c r="I183" i="19"/>
  <c r="H184" i="19"/>
  <c r="D184" i="25"/>
  <c r="G184" i="25"/>
  <c r="E184" i="25"/>
  <c r="F184" i="25"/>
  <c r="A185" i="13"/>
  <c r="B186" i="13"/>
  <c r="C185" i="13"/>
  <c r="G185" i="13" s="1"/>
  <c r="I183" i="21"/>
  <c r="A185" i="21"/>
  <c r="B186" i="21"/>
  <c r="C185" i="21"/>
  <c r="D185" i="21" s="1"/>
  <c r="A185" i="19"/>
  <c r="B186" i="19"/>
  <c r="C185" i="19"/>
  <c r="H185" i="19" s="1"/>
  <c r="B186" i="24"/>
  <c r="A185" i="24"/>
  <c r="C185" i="24"/>
  <c r="D185" i="24" s="1"/>
  <c r="F185" i="20"/>
  <c r="E185" i="20"/>
  <c r="H185" i="20"/>
  <c r="D185" i="20"/>
  <c r="C186" i="27"/>
  <c r="A186" i="27"/>
  <c r="B187" i="27"/>
  <c r="A186" i="20"/>
  <c r="C186" i="20"/>
  <c r="H186" i="20" s="1"/>
  <c r="B187" i="20"/>
  <c r="G184" i="21"/>
  <c r="E184" i="26"/>
  <c r="H185" i="22"/>
  <c r="E185" i="22"/>
  <c r="F185" i="22"/>
  <c r="D185" i="22"/>
  <c r="G185" i="22"/>
  <c r="H184" i="13"/>
  <c r="G185" i="20"/>
  <c r="C186" i="22"/>
  <c r="A186" i="22"/>
  <c r="B187" i="22"/>
  <c r="G185" i="27"/>
  <c r="H185" i="27"/>
  <c r="E185" i="27"/>
  <c r="D185" i="27"/>
  <c r="F185" i="27"/>
  <c r="E184" i="19"/>
  <c r="F184" i="21"/>
  <c r="G184" i="13"/>
  <c r="I184" i="20"/>
  <c r="H184" i="25"/>
  <c r="G184" i="26"/>
  <c r="F184" i="26"/>
  <c r="H184" i="24"/>
  <c r="G184" i="24"/>
  <c r="E184" i="24"/>
  <c r="D184" i="24"/>
  <c r="F184" i="24"/>
  <c r="C185" i="25"/>
  <c r="G185" i="25" s="1"/>
  <c r="A185" i="25"/>
  <c r="B186" i="25"/>
  <c r="I183" i="26"/>
  <c r="C185" i="23"/>
  <c r="E185" i="23" s="1"/>
  <c r="A185" i="23"/>
  <c r="B186" i="23"/>
  <c r="G184" i="19"/>
  <c r="D184" i="21"/>
  <c r="G184" i="23"/>
  <c r="E184" i="21"/>
  <c r="C185" i="26"/>
  <c r="A185" i="26"/>
  <c r="B186" i="26"/>
  <c r="I184" i="22"/>
  <c r="E184" i="13"/>
  <c r="E188" i="31" l="1"/>
  <c r="I187" i="3"/>
  <c r="F188" i="3"/>
  <c r="T112" i="3"/>
  <c r="J112" i="3" s="1"/>
  <c r="T113" i="31"/>
  <c r="H188" i="3"/>
  <c r="J112" i="31"/>
  <c r="G188" i="3"/>
  <c r="S113" i="3"/>
  <c r="S114" i="31"/>
  <c r="I187" i="31"/>
  <c r="C189" i="31"/>
  <c r="A189" i="31"/>
  <c r="B190" i="31"/>
  <c r="D188" i="31"/>
  <c r="H188" i="31"/>
  <c r="C189" i="3"/>
  <c r="E189" i="3" s="1"/>
  <c r="A189" i="3"/>
  <c r="B190" i="3"/>
  <c r="E188" i="3"/>
  <c r="F188" i="31"/>
  <c r="M120" i="3"/>
  <c r="Q115" i="3"/>
  <c r="Q116" i="31"/>
  <c r="R116" i="31" s="1"/>
  <c r="P117" i="31"/>
  <c r="P117" i="3" s="1"/>
  <c r="O117" i="3"/>
  <c r="O118" i="31"/>
  <c r="N119" i="3"/>
  <c r="N120" i="31"/>
  <c r="L121" i="3"/>
  <c r="M121" i="31"/>
  <c r="L122" i="31"/>
  <c r="G186" i="20"/>
  <c r="F185" i="23"/>
  <c r="D185" i="13"/>
  <c r="H185" i="13"/>
  <c r="F185" i="13"/>
  <c r="D185" i="23"/>
  <c r="H185" i="21"/>
  <c r="D185" i="19"/>
  <c r="G185" i="24"/>
  <c r="K122" i="3"/>
  <c r="K123" i="31"/>
  <c r="E185" i="21"/>
  <c r="G185" i="19"/>
  <c r="E185" i="13"/>
  <c r="I184" i="23"/>
  <c r="I184" i="19"/>
  <c r="I184" i="21"/>
  <c r="I184" i="13"/>
  <c r="I184" i="26"/>
  <c r="D186" i="22"/>
  <c r="H186" i="22"/>
  <c r="A186" i="23"/>
  <c r="C186" i="23"/>
  <c r="F186" i="23" s="1"/>
  <c r="B187" i="23"/>
  <c r="F185" i="25"/>
  <c r="H185" i="24"/>
  <c r="E185" i="24"/>
  <c r="F185" i="24"/>
  <c r="B187" i="19"/>
  <c r="A186" i="19"/>
  <c r="C186" i="19"/>
  <c r="D186" i="19" s="1"/>
  <c r="I184" i="24"/>
  <c r="I185" i="27"/>
  <c r="D185" i="25"/>
  <c r="C186" i="26"/>
  <c r="B187" i="26"/>
  <c r="A186" i="26"/>
  <c r="B188" i="27"/>
  <c r="C187" i="27"/>
  <c r="A187" i="27"/>
  <c r="F186" i="22"/>
  <c r="H185" i="25"/>
  <c r="D185" i="26"/>
  <c r="G185" i="26"/>
  <c r="F185" i="26"/>
  <c r="H185" i="26"/>
  <c r="E185" i="26"/>
  <c r="H185" i="23"/>
  <c r="B187" i="25"/>
  <c r="C186" i="25"/>
  <c r="A186" i="25"/>
  <c r="A187" i="22"/>
  <c r="B188" i="22"/>
  <c r="C187" i="22"/>
  <c r="I185" i="22"/>
  <c r="A187" i="20"/>
  <c r="B188" i="20"/>
  <c r="C187" i="20"/>
  <c r="F186" i="27"/>
  <c r="H186" i="27"/>
  <c r="G186" i="27"/>
  <c r="E186" i="27"/>
  <c r="D186" i="27"/>
  <c r="E185" i="19"/>
  <c r="G186" i="22"/>
  <c r="E185" i="25"/>
  <c r="B187" i="24"/>
  <c r="C186" i="24"/>
  <c r="D186" i="24" s="1"/>
  <c r="A186" i="24"/>
  <c r="I184" i="25"/>
  <c r="G185" i="23"/>
  <c r="E186" i="20"/>
  <c r="D186" i="20"/>
  <c r="F186" i="20"/>
  <c r="I185" i="20"/>
  <c r="F185" i="19"/>
  <c r="G185" i="21"/>
  <c r="F185" i="21"/>
  <c r="E186" i="22"/>
  <c r="C186" i="21"/>
  <c r="E186" i="21" s="1"/>
  <c r="A186" i="21"/>
  <c r="B187" i="21"/>
  <c r="A186" i="13"/>
  <c r="C186" i="13"/>
  <c r="F186" i="13" s="1"/>
  <c r="B187" i="13"/>
  <c r="I188" i="3" l="1"/>
  <c r="T113" i="3"/>
  <c r="J113" i="3" s="1"/>
  <c r="T114" i="31"/>
  <c r="J113" i="31"/>
  <c r="C190" i="31"/>
  <c r="H190" i="31" s="1"/>
  <c r="B191" i="31"/>
  <c r="A190" i="31"/>
  <c r="H189" i="3"/>
  <c r="E189" i="31"/>
  <c r="F189" i="31"/>
  <c r="H189" i="31"/>
  <c r="D189" i="31"/>
  <c r="G189" i="31"/>
  <c r="A190" i="3"/>
  <c r="C190" i="3"/>
  <c r="E190" i="3" s="1"/>
  <c r="B191" i="3"/>
  <c r="I188" i="31"/>
  <c r="S114" i="3"/>
  <c r="S115" i="31"/>
  <c r="G189" i="3"/>
  <c r="F189" i="3"/>
  <c r="D189" i="3"/>
  <c r="R116" i="3"/>
  <c r="Q116" i="3"/>
  <c r="Q117" i="31"/>
  <c r="R117" i="31" s="1"/>
  <c r="R117" i="3" s="1"/>
  <c r="P118" i="31"/>
  <c r="P118" i="3" s="1"/>
  <c r="O118" i="3"/>
  <c r="O119" i="31"/>
  <c r="M121" i="3"/>
  <c r="N120" i="3"/>
  <c r="N121" i="31"/>
  <c r="L122" i="3"/>
  <c r="M122" i="31"/>
  <c r="L123" i="31"/>
  <c r="I185" i="13"/>
  <c r="E186" i="19"/>
  <c r="E186" i="13"/>
  <c r="H186" i="13"/>
  <c r="D186" i="13"/>
  <c r="K124" i="31"/>
  <c r="K123" i="3"/>
  <c r="F186" i="24"/>
  <c r="G186" i="13"/>
  <c r="I185" i="24"/>
  <c r="I185" i="19"/>
  <c r="I186" i="20"/>
  <c r="I185" i="23"/>
  <c r="I185" i="21"/>
  <c r="H186" i="19"/>
  <c r="G186" i="19"/>
  <c r="G186" i="21"/>
  <c r="I185" i="26"/>
  <c r="F186" i="19"/>
  <c r="A187" i="23"/>
  <c r="C187" i="23"/>
  <c r="E187" i="23" s="1"/>
  <c r="B188" i="23"/>
  <c r="D186" i="26"/>
  <c r="G186" i="26"/>
  <c r="F186" i="26"/>
  <c r="E186" i="26"/>
  <c r="H186" i="26"/>
  <c r="A187" i="25"/>
  <c r="B188" i="25"/>
  <c r="C187" i="25"/>
  <c r="G187" i="25" s="1"/>
  <c r="D186" i="21"/>
  <c r="H186" i="21"/>
  <c r="A187" i="13"/>
  <c r="B188" i="13"/>
  <c r="C187" i="13"/>
  <c r="D187" i="13" s="1"/>
  <c r="I186" i="27"/>
  <c r="I185" i="25"/>
  <c r="E186" i="23"/>
  <c r="I186" i="22"/>
  <c r="B188" i="26"/>
  <c r="A187" i="26"/>
  <c r="C187" i="26"/>
  <c r="E187" i="26" s="1"/>
  <c r="D187" i="20"/>
  <c r="E187" i="20"/>
  <c r="F187" i="20"/>
  <c r="H187" i="20"/>
  <c r="G187" i="20"/>
  <c r="G187" i="22"/>
  <c r="E187" i="22"/>
  <c r="H187" i="22"/>
  <c r="F187" i="22"/>
  <c r="D187" i="22"/>
  <c r="G187" i="27"/>
  <c r="E187" i="27"/>
  <c r="D187" i="27"/>
  <c r="H187" i="27"/>
  <c r="F187" i="27"/>
  <c r="G186" i="23"/>
  <c r="F186" i="21"/>
  <c r="G186" i="24"/>
  <c r="E186" i="24"/>
  <c r="C188" i="22"/>
  <c r="B189" i="22"/>
  <c r="A188" i="22"/>
  <c r="A188" i="27"/>
  <c r="B189" i="27"/>
  <c r="C188" i="27"/>
  <c r="B188" i="19"/>
  <c r="A187" i="19"/>
  <c r="C187" i="19"/>
  <c r="H187" i="19" s="1"/>
  <c r="H186" i="23"/>
  <c r="E186" i="25"/>
  <c r="F186" i="25"/>
  <c r="G186" i="25"/>
  <c r="H186" i="25"/>
  <c r="D186" i="25"/>
  <c r="A188" i="20"/>
  <c r="C188" i="20"/>
  <c r="E188" i="20" s="1"/>
  <c r="B189" i="20"/>
  <c r="B188" i="21"/>
  <c r="A187" i="21"/>
  <c r="C187" i="21"/>
  <c r="C187" i="24"/>
  <c r="A187" i="24"/>
  <c r="B188" i="24"/>
  <c r="D186" i="23"/>
  <c r="H186" i="24"/>
  <c r="I189" i="3" l="1"/>
  <c r="E190" i="31"/>
  <c r="D190" i="31"/>
  <c r="G190" i="31"/>
  <c r="I189" i="31"/>
  <c r="T114" i="3"/>
  <c r="J114" i="3" s="1"/>
  <c r="T115" i="31"/>
  <c r="J114" i="31"/>
  <c r="F190" i="31"/>
  <c r="H190" i="3"/>
  <c r="G190" i="3"/>
  <c r="D190" i="3"/>
  <c r="C191" i="3"/>
  <c r="E191" i="3" s="1"/>
  <c r="B192" i="3"/>
  <c r="A191" i="3"/>
  <c r="S115" i="3"/>
  <c r="S116" i="31"/>
  <c r="A191" i="31"/>
  <c r="C191" i="31"/>
  <c r="G191" i="31" s="1"/>
  <c r="B192" i="31"/>
  <c r="F190" i="3"/>
  <c r="Q117" i="3"/>
  <c r="Q118" i="31"/>
  <c r="R118" i="31" s="1"/>
  <c r="P119" i="31"/>
  <c r="P119" i="3" s="1"/>
  <c r="O119" i="3"/>
  <c r="O120" i="31"/>
  <c r="N121" i="3"/>
  <c r="M122" i="3"/>
  <c r="N122" i="31"/>
  <c r="L123" i="3"/>
  <c r="M123" i="31"/>
  <c r="L124" i="31"/>
  <c r="G187" i="19"/>
  <c r="I186" i="13"/>
  <c r="F187" i="19"/>
  <c r="K125" i="31"/>
  <c r="K124" i="3"/>
  <c r="F187" i="26"/>
  <c r="I186" i="24"/>
  <c r="I186" i="19"/>
  <c r="I186" i="23"/>
  <c r="I187" i="27"/>
  <c r="I186" i="21"/>
  <c r="I186" i="26"/>
  <c r="F187" i="23"/>
  <c r="E187" i="19"/>
  <c r="H187" i="13"/>
  <c r="G187" i="23"/>
  <c r="G187" i="13"/>
  <c r="D187" i="23"/>
  <c r="H187" i="23"/>
  <c r="B189" i="19"/>
  <c r="C188" i="19"/>
  <c r="D188" i="19" s="1"/>
  <c r="A188" i="19"/>
  <c r="H188" i="27"/>
  <c r="E188" i="27"/>
  <c r="F188" i="27"/>
  <c r="G188" i="27"/>
  <c r="D188" i="27"/>
  <c r="B189" i="25"/>
  <c r="A188" i="25"/>
  <c r="C188" i="25"/>
  <c r="E188" i="25" s="1"/>
  <c r="G187" i="24"/>
  <c r="H187" i="24"/>
  <c r="F187" i="24"/>
  <c r="E187" i="24"/>
  <c r="D187" i="24"/>
  <c r="F188" i="20"/>
  <c r="G188" i="20"/>
  <c r="B190" i="27"/>
  <c r="A189" i="27"/>
  <c r="C189" i="27"/>
  <c r="F189" i="27" s="1"/>
  <c r="I187" i="22"/>
  <c r="C188" i="13"/>
  <c r="F188" i="13" s="1"/>
  <c r="B189" i="13"/>
  <c r="A188" i="13"/>
  <c r="C189" i="20"/>
  <c r="G189" i="20" s="1"/>
  <c r="B190" i="20"/>
  <c r="A189" i="20"/>
  <c r="E187" i="21"/>
  <c r="H187" i="21"/>
  <c r="F187" i="21"/>
  <c r="G187" i="21"/>
  <c r="D187" i="21"/>
  <c r="B189" i="26"/>
  <c r="C188" i="26"/>
  <c r="G188" i="26" s="1"/>
  <c r="A188" i="26"/>
  <c r="C188" i="24"/>
  <c r="E188" i="24" s="1"/>
  <c r="A188" i="24"/>
  <c r="B189" i="24"/>
  <c r="D187" i="25"/>
  <c r="E187" i="25"/>
  <c r="I186" i="25"/>
  <c r="I187" i="20"/>
  <c r="B189" i="21"/>
  <c r="A188" i="21"/>
  <c r="C188" i="21"/>
  <c r="D187" i="19"/>
  <c r="A189" i="22"/>
  <c r="B190" i="22"/>
  <c r="C189" i="22"/>
  <c r="H187" i="26"/>
  <c r="G187" i="26"/>
  <c r="D187" i="26"/>
  <c r="E187" i="13"/>
  <c r="F187" i="25"/>
  <c r="H187" i="25"/>
  <c r="B189" i="23"/>
  <c r="A188" i="23"/>
  <c r="C188" i="23"/>
  <c r="H188" i="23" s="1"/>
  <c r="H188" i="20"/>
  <c r="H188" i="22"/>
  <c r="D188" i="22"/>
  <c r="F188" i="22"/>
  <c r="G188" i="22"/>
  <c r="E188" i="22"/>
  <c r="F187" i="13"/>
  <c r="D188" i="20"/>
  <c r="I190" i="31" l="1"/>
  <c r="I190" i="3"/>
  <c r="T115" i="3"/>
  <c r="J115" i="3" s="1"/>
  <c r="T116" i="31"/>
  <c r="J115" i="31"/>
  <c r="S116" i="3"/>
  <c r="S117" i="31"/>
  <c r="B193" i="31"/>
  <c r="A192" i="31"/>
  <c r="C192" i="31"/>
  <c r="G192" i="31" s="1"/>
  <c r="H191" i="31"/>
  <c r="E191" i="31"/>
  <c r="D191" i="31"/>
  <c r="M123" i="3"/>
  <c r="D191" i="3"/>
  <c r="G191" i="3"/>
  <c r="F191" i="3"/>
  <c r="H191" i="3"/>
  <c r="F191" i="31"/>
  <c r="A192" i="3"/>
  <c r="C192" i="3"/>
  <c r="E192" i="3" s="1"/>
  <c r="B193" i="3"/>
  <c r="R118" i="3"/>
  <c r="Q118" i="3"/>
  <c r="Q119" i="31"/>
  <c r="N122" i="3"/>
  <c r="P120" i="31"/>
  <c r="P120" i="3" s="1"/>
  <c r="O120" i="3"/>
  <c r="O121" i="31"/>
  <c r="N123" i="31"/>
  <c r="L124" i="3"/>
  <c r="M124" i="31"/>
  <c r="L125" i="31"/>
  <c r="F188" i="19"/>
  <c r="H188" i="19"/>
  <c r="E188" i="26"/>
  <c r="K125" i="3"/>
  <c r="K126" i="31"/>
  <c r="G188" i="23"/>
  <c r="D188" i="26"/>
  <c r="H189" i="27"/>
  <c r="F188" i="23"/>
  <c r="I187" i="19"/>
  <c r="I187" i="21"/>
  <c r="I187" i="13"/>
  <c r="I187" i="23"/>
  <c r="D188" i="24"/>
  <c r="G188" i="25"/>
  <c r="F188" i="25"/>
  <c r="I188" i="27"/>
  <c r="I187" i="24"/>
  <c r="I188" i="20"/>
  <c r="B191" i="22"/>
  <c r="A190" i="22"/>
  <c r="C190" i="22"/>
  <c r="D190" i="22" s="1"/>
  <c r="C189" i="13"/>
  <c r="F189" i="13" s="1"/>
  <c r="A189" i="13"/>
  <c r="B190" i="13"/>
  <c r="E188" i="23"/>
  <c r="E188" i="21"/>
  <c r="H188" i="21"/>
  <c r="G188" i="21"/>
  <c r="F188" i="21"/>
  <c r="D188" i="21"/>
  <c r="D188" i="13"/>
  <c r="E189" i="27"/>
  <c r="D189" i="27"/>
  <c r="G189" i="27"/>
  <c r="G188" i="19"/>
  <c r="I187" i="25"/>
  <c r="I188" i="22"/>
  <c r="B190" i="24"/>
  <c r="C189" i="24"/>
  <c r="E189" i="24" s="1"/>
  <c r="A189" i="24"/>
  <c r="D188" i="23"/>
  <c r="I187" i="26"/>
  <c r="G188" i="13"/>
  <c r="C189" i="21"/>
  <c r="A189" i="21"/>
  <c r="B190" i="21"/>
  <c r="F189" i="20"/>
  <c r="H188" i="13"/>
  <c r="H188" i="24"/>
  <c r="H189" i="20"/>
  <c r="E188" i="13"/>
  <c r="D188" i="25"/>
  <c r="H188" i="25"/>
  <c r="B190" i="19"/>
  <c r="C189" i="19"/>
  <c r="H189" i="19" s="1"/>
  <c r="A189" i="19"/>
  <c r="E189" i="20"/>
  <c r="C190" i="27"/>
  <c r="E190" i="27" s="1"/>
  <c r="A190" i="27"/>
  <c r="B191" i="27"/>
  <c r="D189" i="20"/>
  <c r="B190" i="23"/>
  <c r="C189" i="23"/>
  <c r="F189" i="23" s="1"/>
  <c r="A189" i="23"/>
  <c r="G189" i="22"/>
  <c r="F189" i="22"/>
  <c r="H189" i="22"/>
  <c r="D189" i="22"/>
  <c r="E189" i="22"/>
  <c r="H188" i="26"/>
  <c r="C189" i="26"/>
  <c r="A189" i="26"/>
  <c r="B190" i="26"/>
  <c r="A190" i="20"/>
  <c r="B191" i="20"/>
  <c r="C190" i="20"/>
  <c r="G188" i="24"/>
  <c r="F188" i="24"/>
  <c r="A189" i="25"/>
  <c r="B190" i="25"/>
  <c r="C189" i="25"/>
  <c r="E188" i="19"/>
  <c r="F188" i="26"/>
  <c r="E192" i="31" l="1"/>
  <c r="D192" i="31"/>
  <c r="T116" i="3"/>
  <c r="J116" i="3" s="1"/>
  <c r="T117" i="31"/>
  <c r="J116" i="31"/>
  <c r="I191" i="31"/>
  <c r="A193" i="31"/>
  <c r="C193" i="31"/>
  <c r="F193" i="31" s="1"/>
  <c r="B194" i="31"/>
  <c r="I191" i="3"/>
  <c r="S117" i="3"/>
  <c r="S118" i="31"/>
  <c r="F192" i="3"/>
  <c r="G192" i="3"/>
  <c r="H192" i="3"/>
  <c r="F192" i="31"/>
  <c r="H192" i="31"/>
  <c r="B194" i="3"/>
  <c r="A193" i="3"/>
  <c r="C193" i="3"/>
  <c r="F193" i="3" s="1"/>
  <c r="D192" i="3"/>
  <c r="M124" i="3"/>
  <c r="R119" i="31"/>
  <c r="R119" i="3" s="1"/>
  <c r="Q119" i="3"/>
  <c r="Q120" i="31"/>
  <c r="P121" i="31"/>
  <c r="P121" i="3" s="1"/>
  <c r="N123" i="3"/>
  <c r="O121" i="3"/>
  <c r="O122" i="31"/>
  <c r="N124" i="31"/>
  <c r="N124" i="3" s="1"/>
  <c r="L125" i="3"/>
  <c r="M125" i="31"/>
  <c r="L126" i="31"/>
  <c r="K126" i="3"/>
  <c r="K127" i="31"/>
  <c r="G189" i="13"/>
  <c r="E189" i="19"/>
  <c r="D189" i="19"/>
  <c r="H190" i="27"/>
  <c r="F189" i="19"/>
  <c r="G189" i="19"/>
  <c r="D189" i="24"/>
  <c r="D189" i="13"/>
  <c r="G190" i="27"/>
  <c r="E189" i="13"/>
  <c r="I188" i="23"/>
  <c r="I189" i="27"/>
  <c r="I188" i="19"/>
  <c r="I188" i="26"/>
  <c r="D189" i="23"/>
  <c r="G189" i="23"/>
  <c r="E189" i="23"/>
  <c r="D190" i="27"/>
  <c r="H189" i="23"/>
  <c r="I188" i="24"/>
  <c r="I188" i="21"/>
  <c r="H189" i="13"/>
  <c r="I189" i="20"/>
  <c r="I188" i="25"/>
  <c r="E189" i="21"/>
  <c r="D189" i="21"/>
  <c r="G189" i="21"/>
  <c r="H189" i="21"/>
  <c r="H190" i="22"/>
  <c r="G190" i="22"/>
  <c r="A190" i="25"/>
  <c r="C190" i="25"/>
  <c r="F190" i="25" s="1"/>
  <c r="B191" i="25"/>
  <c r="F190" i="22"/>
  <c r="H189" i="25"/>
  <c r="G189" i="25"/>
  <c r="D189" i="25"/>
  <c r="E189" i="25"/>
  <c r="F189" i="25"/>
  <c r="F189" i="26"/>
  <c r="H189" i="26"/>
  <c r="D189" i="26"/>
  <c r="E189" i="26"/>
  <c r="G189" i="26"/>
  <c r="E190" i="22"/>
  <c r="B192" i="22"/>
  <c r="A191" i="22"/>
  <c r="C191" i="22"/>
  <c r="G191" i="22" s="1"/>
  <c r="C191" i="27"/>
  <c r="A191" i="27"/>
  <c r="B192" i="27"/>
  <c r="C190" i="24"/>
  <c r="D190" i="24" s="1"/>
  <c r="B191" i="24"/>
  <c r="A190" i="24"/>
  <c r="A190" i="26"/>
  <c r="B191" i="26"/>
  <c r="C190" i="26"/>
  <c r="F190" i="26" s="1"/>
  <c r="F190" i="20"/>
  <c r="D190" i="20"/>
  <c r="E190" i="20"/>
  <c r="G190" i="20"/>
  <c r="H190" i="20"/>
  <c r="I189" i="22"/>
  <c r="F189" i="24"/>
  <c r="B191" i="13"/>
  <c r="C190" i="13"/>
  <c r="F190" i="13" s="1"/>
  <c r="A190" i="13"/>
  <c r="B191" i="23"/>
  <c r="C190" i="23"/>
  <c r="H190" i="23" s="1"/>
  <c r="A190" i="23"/>
  <c r="B192" i="20"/>
  <c r="C191" i="20"/>
  <c r="A191" i="20"/>
  <c r="B191" i="19"/>
  <c r="C190" i="19"/>
  <c r="D190" i="19" s="1"/>
  <c r="A190" i="19"/>
  <c r="A190" i="21"/>
  <c r="B191" i="21"/>
  <c r="C190" i="21"/>
  <c r="G189" i="24"/>
  <c r="H189" i="24"/>
  <c r="I188" i="13"/>
  <c r="F190" i="27"/>
  <c r="F189" i="21"/>
  <c r="H193" i="3" l="1"/>
  <c r="I192" i="3"/>
  <c r="T117" i="3"/>
  <c r="J117" i="3" s="1"/>
  <c r="T118" i="31"/>
  <c r="G193" i="3"/>
  <c r="J117" i="31"/>
  <c r="D193" i="3"/>
  <c r="C194" i="3"/>
  <c r="B195" i="3"/>
  <c r="A194" i="3"/>
  <c r="S118" i="3"/>
  <c r="S119" i="31"/>
  <c r="H193" i="31"/>
  <c r="E193" i="31"/>
  <c r="D193" i="31"/>
  <c r="G193" i="31"/>
  <c r="I192" i="31"/>
  <c r="R120" i="31"/>
  <c r="E193" i="3"/>
  <c r="A194" i="31"/>
  <c r="C194" i="31"/>
  <c r="B195" i="31"/>
  <c r="R120" i="3"/>
  <c r="Q120" i="3"/>
  <c r="Q121" i="31"/>
  <c r="P122" i="31"/>
  <c r="P122" i="3" s="1"/>
  <c r="O122" i="3"/>
  <c r="O123" i="31"/>
  <c r="M125" i="3"/>
  <c r="N125" i="31"/>
  <c r="M126" i="31"/>
  <c r="L126" i="3"/>
  <c r="L127" i="31"/>
  <c r="E191" i="22"/>
  <c r="H191" i="22"/>
  <c r="D190" i="23"/>
  <c r="F190" i="23"/>
  <c r="E190" i="23"/>
  <c r="I189" i="19"/>
  <c r="K128" i="31"/>
  <c r="K127" i="3"/>
  <c r="I189" i="13"/>
  <c r="F190" i="24"/>
  <c r="E190" i="24"/>
  <c r="H190" i="13"/>
  <c r="G190" i="25"/>
  <c r="D190" i="25"/>
  <c r="G190" i="23"/>
  <c r="E190" i="13"/>
  <c r="H190" i="25"/>
  <c r="H190" i="24"/>
  <c r="E190" i="25"/>
  <c r="G190" i="26"/>
  <c r="I189" i="23"/>
  <c r="I189" i="24"/>
  <c r="E190" i="19"/>
  <c r="I190" i="22"/>
  <c r="I190" i="27"/>
  <c r="F190" i="19"/>
  <c r="H190" i="19"/>
  <c r="G190" i="19"/>
  <c r="I189" i="25"/>
  <c r="A191" i="26"/>
  <c r="B192" i="26"/>
  <c r="C191" i="26"/>
  <c r="E191" i="26" s="1"/>
  <c r="B192" i="13"/>
  <c r="A191" i="13"/>
  <c r="C191" i="13"/>
  <c r="F191" i="13" s="1"/>
  <c r="F191" i="22"/>
  <c r="D191" i="22"/>
  <c r="G190" i="24"/>
  <c r="E191" i="27"/>
  <c r="D191" i="27"/>
  <c r="F191" i="27"/>
  <c r="H191" i="27"/>
  <c r="G191" i="27"/>
  <c r="F191" i="20"/>
  <c r="H191" i="20"/>
  <c r="E191" i="20"/>
  <c r="D191" i="20"/>
  <c r="G191" i="20"/>
  <c r="C192" i="20"/>
  <c r="D192" i="20" s="1"/>
  <c r="B193" i="20"/>
  <c r="A192" i="20"/>
  <c r="C191" i="23"/>
  <c r="D191" i="23" s="1"/>
  <c r="B192" i="23"/>
  <c r="A191" i="23"/>
  <c r="E190" i="26"/>
  <c r="I190" i="20"/>
  <c r="G190" i="21"/>
  <c r="D190" i="21"/>
  <c r="E190" i="21"/>
  <c r="H190" i="21"/>
  <c r="F190" i="21"/>
  <c r="D190" i="13"/>
  <c r="A192" i="27"/>
  <c r="C192" i="27"/>
  <c r="B193" i="27"/>
  <c r="C192" i="22"/>
  <c r="B193" i="22"/>
  <c r="A192" i="22"/>
  <c r="A191" i="25"/>
  <c r="C191" i="25"/>
  <c r="B192" i="25"/>
  <c r="I189" i="21"/>
  <c r="I189" i="26"/>
  <c r="C191" i="24"/>
  <c r="F191" i="24" s="1"/>
  <c r="B192" i="24"/>
  <c r="A191" i="24"/>
  <c r="C191" i="21"/>
  <c r="B192" i="21"/>
  <c r="A191" i="21"/>
  <c r="A191" i="19"/>
  <c r="C191" i="19"/>
  <c r="D191" i="19" s="1"/>
  <c r="B192" i="19"/>
  <c r="G190" i="13"/>
  <c r="D190" i="26"/>
  <c r="H190" i="26"/>
  <c r="F191" i="26" l="1"/>
  <c r="R121" i="31"/>
  <c r="R121" i="3" s="1"/>
  <c r="I193" i="3"/>
  <c r="T118" i="3"/>
  <c r="J118" i="3" s="1"/>
  <c r="H44" i="2" s="1"/>
  <c r="I44" i="2" s="1"/>
  <c r="A45" i="2" s="1"/>
  <c r="T119" i="31"/>
  <c r="J119" i="31" s="1"/>
  <c r="J118" i="31"/>
  <c r="I193" i="31"/>
  <c r="G194" i="3"/>
  <c r="F194" i="3"/>
  <c r="H194" i="3"/>
  <c r="E194" i="3"/>
  <c r="G194" i="31"/>
  <c r="D194" i="31"/>
  <c r="F194" i="31"/>
  <c r="H194" i="31"/>
  <c r="E194" i="31"/>
  <c r="D194" i="3"/>
  <c r="A195" i="31"/>
  <c r="B196" i="31"/>
  <c r="C195" i="31"/>
  <c r="S119" i="3"/>
  <c r="S120" i="31"/>
  <c r="C195" i="3"/>
  <c r="G195" i="3" s="1"/>
  <c r="B196" i="3"/>
  <c r="A195" i="3"/>
  <c r="M126" i="3"/>
  <c r="Q121" i="3"/>
  <c r="Q122" i="31"/>
  <c r="R122" i="31" s="1"/>
  <c r="L127" i="3"/>
  <c r="P123" i="31"/>
  <c r="P123" i="3" s="1"/>
  <c r="O123" i="3"/>
  <c r="O124" i="31"/>
  <c r="N125" i="3"/>
  <c r="N126" i="31"/>
  <c r="M127" i="31"/>
  <c r="L128" i="31"/>
  <c r="I190" i="24"/>
  <c r="I190" i="23"/>
  <c r="K128" i="3"/>
  <c r="K129" i="31"/>
  <c r="I190" i="25"/>
  <c r="G191" i="13"/>
  <c r="G191" i="26"/>
  <c r="H191" i="13"/>
  <c r="I190" i="19"/>
  <c r="I191" i="20"/>
  <c r="G191" i="24"/>
  <c r="I190" i="26"/>
  <c r="H192" i="20"/>
  <c r="G192" i="20"/>
  <c r="D191" i="13"/>
  <c r="F191" i="19"/>
  <c r="H191" i="19"/>
  <c r="E191" i="13"/>
  <c r="B193" i="19"/>
  <c r="A192" i="19"/>
  <c r="C192" i="19"/>
  <c r="E192" i="19" s="1"/>
  <c r="C192" i="24"/>
  <c r="H192" i="24" s="1"/>
  <c r="B193" i="24"/>
  <c r="A192" i="24"/>
  <c r="A193" i="22"/>
  <c r="C193" i="22"/>
  <c r="H193" i="22" s="1"/>
  <c r="B194" i="22"/>
  <c r="H191" i="24"/>
  <c r="E191" i="24"/>
  <c r="D192" i="22"/>
  <c r="H192" i="22"/>
  <c r="F192" i="22"/>
  <c r="G192" i="22"/>
  <c r="E192" i="22"/>
  <c r="E191" i="23"/>
  <c r="I191" i="22"/>
  <c r="A192" i="13"/>
  <c r="C192" i="13"/>
  <c r="G192" i="13" s="1"/>
  <c r="B193" i="13"/>
  <c r="A193" i="27"/>
  <c r="B194" i="27"/>
  <c r="C193" i="27"/>
  <c r="D193" i="27" s="1"/>
  <c r="I190" i="21"/>
  <c r="F191" i="23"/>
  <c r="E192" i="27"/>
  <c r="H192" i="27"/>
  <c r="D192" i="27"/>
  <c r="F192" i="27"/>
  <c r="G192" i="27"/>
  <c r="G191" i="23"/>
  <c r="H191" i="26"/>
  <c r="B193" i="21"/>
  <c r="C192" i="21"/>
  <c r="A192" i="21"/>
  <c r="G191" i="19"/>
  <c r="E191" i="21"/>
  <c r="G191" i="21"/>
  <c r="H191" i="21"/>
  <c r="D191" i="21"/>
  <c r="F191" i="21"/>
  <c r="D191" i="25"/>
  <c r="H191" i="25"/>
  <c r="F191" i="25"/>
  <c r="G191" i="25"/>
  <c r="E191" i="25"/>
  <c r="I190" i="13"/>
  <c r="E192" i="20"/>
  <c r="F192" i="20"/>
  <c r="B193" i="26"/>
  <c r="C192" i="26"/>
  <c r="A192" i="26"/>
  <c r="A192" i="25"/>
  <c r="B193" i="25"/>
  <c r="C192" i="25"/>
  <c r="H191" i="23"/>
  <c r="A193" i="20"/>
  <c r="C193" i="20"/>
  <c r="D193" i="20" s="1"/>
  <c r="B194" i="20"/>
  <c r="E191" i="19"/>
  <c r="D191" i="26"/>
  <c r="B193" i="23"/>
  <c r="A192" i="23"/>
  <c r="C192" i="23"/>
  <c r="D192" i="23" s="1"/>
  <c r="I191" i="27"/>
  <c r="D191" i="24"/>
  <c r="F45" i="2" l="1"/>
  <c r="B45" i="2"/>
  <c r="E45" i="2"/>
  <c r="D45" i="2"/>
  <c r="C45" i="2"/>
  <c r="G45" i="2"/>
  <c r="T119" i="3"/>
  <c r="J119" i="3" s="1"/>
  <c r="T120" i="31"/>
  <c r="J120" i="31" s="1"/>
  <c r="H195" i="31"/>
  <c r="E195" i="31"/>
  <c r="F195" i="31"/>
  <c r="G195" i="31"/>
  <c r="A196" i="31"/>
  <c r="B197" i="31"/>
  <c r="C196" i="31"/>
  <c r="G196" i="31" s="1"/>
  <c r="C196" i="3"/>
  <c r="E196" i="3" s="1"/>
  <c r="A196" i="3"/>
  <c r="B197" i="3"/>
  <c r="I194" i="31"/>
  <c r="E195" i="3"/>
  <c r="S120" i="3"/>
  <c r="S121" i="31"/>
  <c r="I194" i="3"/>
  <c r="F195" i="3"/>
  <c r="D195" i="31"/>
  <c r="H195" i="3"/>
  <c r="D195" i="3"/>
  <c r="R122" i="3"/>
  <c r="Q122" i="3"/>
  <c r="Q123" i="31"/>
  <c r="R123" i="31" s="1"/>
  <c r="P124" i="31"/>
  <c r="P124" i="3" s="1"/>
  <c r="N127" i="31"/>
  <c r="N126" i="3"/>
  <c r="O124" i="3"/>
  <c r="O125" i="31"/>
  <c r="M127" i="3"/>
  <c r="L128" i="3"/>
  <c r="M128" i="31"/>
  <c r="L129" i="31"/>
  <c r="F192" i="23"/>
  <c r="E192" i="24"/>
  <c r="D192" i="13"/>
  <c r="K129" i="3"/>
  <c r="K130" i="31"/>
  <c r="F192" i="13"/>
  <c r="H192" i="23"/>
  <c r="G193" i="20"/>
  <c r="F193" i="22"/>
  <c r="E192" i="23"/>
  <c r="D193" i="22"/>
  <c r="E193" i="22"/>
  <c r="G193" i="22"/>
  <c r="I191" i="13"/>
  <c r="I191" i="23"/>
  <c r="G192" i="23"/>
  <c r="I191" i="19"/>
  <c r="I192" i="20"/>
  <c r="I191" i="21"/>
  <c r="G192" i="21"/>
  <c r="D192" i="21"/>
  <c r="F192" i="21"/>
  <c r="B194" i="13"/>
  <c r="A193" i="13"/>
  <c r="C193" i="13"/>
  <c r="D193" i="13" s="1"/>
  <c r="E192" i="21"/>
  <c r="C193" i="25"/>
  <c r="D193" i="25" s="1"/>
  <c r="B194" i="25"/>
  <c r="A193" i="25"/>
  <c r="B194" i="21"/>
  <c r="A193" i="21"/>
  <c r="C193" i="21"/>
  <c r="D193" i="21" s="1"/>
  <c r="I192" i="27"/>
  <c r="E193" i="27"/>
  <c r="G193" i="27"/>
  <c r="I192" i="22"/>
  <c r="A194" i="27"/>
  <c r="C194" i="27"/>
  <c r="E194" i="27" s="1"/>
  <c r="B195" i="27"/>
  <c r="A193" i="24"/>
  <c r="C193" i="24"/>
  <c r="E193" i="24" s="1"/>
  <c r="B194" i="24"/>
  <c r="A193" i="19"/>
  <c r="B194" i="19"/>
  <c r="C193" i="19"/>
  <c r="G193" i="19" s="1"/>
  <c r="F192" i="24"/>
  <c r="G192" i="24"/>
  <c r="F192" i="25"/>
  <c r="D192" i="25"/>
  <c r="H192" i="25"/>
  <c r="B195" i="20"/>
  <c r="A194" i="20"/>
  <c r="C194" i="20"/>
  <c r="G192" i="19"/>
  <c r="I191" i="24"/>
  <c r="A193" i="23"/>
  <c r="C193" i="23"/>
  <c r="G193" i="23" s="1"/>
  <c r="B194" i="23"/>
  <c r="F193" i="20"/>
  <c r="E193" i="20"/>
  <c r="H193" i="20"/>
  <c r="D192" i="26"/>
  <c r="F192" i="26"/>
  <c r="E192" i="26"/>
  <c r="H192" i="26"/>
  <c r="G192" i="26"/>
  <c r="H193" i="27"/>
  <c r="F193" i="27"/>
  <c r="E192" i="13"/>
  <c r="D192" i="24"/>
  <c r="D192" i="19"/>
  <c r="I191" i="26"/>
  <c r="A193" i="26"/>
  <c r="B194" i="26"/>
  <c r="C193" i="26"/>
  <c r="I191" i="25"/>
  <c r="G192" i="25"/>
  <c r="H192" i="13"/>
  <c r="A194" i="22"/>
  <c r="C194" i="22"/>
  <c r="B195" i="22"/>
  <c r="F192" i="19"/>
  <c r="E192" i="25"/>
  <c r="H192" i="19"/>
  <c r="H192" i="21"/>
  <c r="D196" i="31" l="1"/>
  <c r="F196" i="31"/>
  <c r="E196" i="31"/>
  <c r="T120" i="3"/>
  <c r="J120" i="3" s="1"/>
  <c r="T121" i="31"/>
  <c r="H196" i="31"/>
  <c r="S121" i="3"/>
  <c r="S122" i="31"/>
  <c r="H196" i="3"/>
  <c r="B198" i="31"/>
  <c r="A197" i="31"/>
  <c r="C197" i="31"/>
  <c r="G196" i="3"/>
  <c r="D196" i="3"/>
  <c r="F196" i="3"/>
  <c r="I195" i="31"/>
  <c r="I195" i="3"/>
  <c r="A197" i="3"/>
  <c r="C197" i="3"/>
  <c r="B198" i="3"/>
  <c r="R123" i="3"/>
  <c r="N127" i="3"/>
  <c r="Q123" i="3"/>
  <c r="Q124" i="31"/>
  <c r="N128" i="31"/>
  <c r="P125" i="31"/>
  <c r="P125" i="3" s="1"/>
  <c r="O125" i="3"/>
  <c r="O126" i="31"/>
  <c r="M128" i="3"/>
  <c r="M129" i="31"/>
  <c r="L129" i="3"/>
  <c r="L130" i="31"/>
  <c r="D193" i="23"/>
  <c r="K130" i="3"/>
  <c r="K131" i="31"/>
  <c r="I193" i="22"/>
  <c r="I192" i="23"/>
  <c r="F193" i="19"/>
  <c r="I192" i="19"/>
  <c r="I192" i="21"/>
  <c r="I192" i="13"/>
  <c r="A194" i="26"/>
  <c r="C194" i="26"/>
  <c r="H194" i="26" s="1"/>
  <c r="B195" i="26"/>
  <c r="G194" i="20"/>
  <c r="F194" i="20"/>
  <c r="E194" i="20"/>
  <c r="D194" i="20"/>
  <c r="C194" i="19"/>
  <c r="H194" i="19" s="1"/>
  <c r="B195" i="19"/>
  <c r="A194" i="19"/>
  <c r="A194" i="25"/>
  <c r="B195" i="25"/>
  <c r="C194" i="25"/>
  <c r="H194" i="25" s="1"/>
  <c r="G194" i="22"/>
  <c r="D194" i="22"/>
  <c r="E194" i="22"/>
  <c r="F194" i="22"/>
  <c r="H194" i="22"/>
  <c r="I193" i="20"/>
  <c r="E193" i="25"/>
  <c r="F193" i="25"/>
  <c r="H193" i="25"/>
  <c r="G193" i="25"/>
  <c r="A194" i="13"/>
  <c r="C194" i="13"/>
  <c r="F194" i="13" s="1"/>
  <c r="B195" i="13"/>
  <c r="E193" i="26"/>
  <c r="G193" i="26"/>
  <c r="D193" i="26"/>
  <c r="H193" i="26"/>
  <c r="F193" i="26"/>
  <c r="I192" i="26"/>
  <c r="C195" i="20"/>
  <c r="A195" i="20"/>
  <c r="B196" i="20"/>
  <c r="A194" i="24"/>
  <c r="B195" i="24"/>
  <c r="C194" i="24"/>
  <c r="I193" i="27"/>
  <c r="A194" i="23"/>
  <c r="C194" i="23"/>
  <c r="G194" i="23" s="1"/>
  <c r="B195" i="23"/>
  <c r="H193" i="23"/>
  <c r="F194" i="27"/>
  <c r="G193" i="24"/>
  <c r="H193" i="24"/>
  <c r="F193" i="24"/>
  <c r="D194" i="27"/>
  <c r="F193" i="23"/>
  <c r="D193" i="24"/>
  <c r="I192" i="25"/>
  <c r="H193" i="19"/>
  <c r="H193" i="21"/>
  <c r="F193" i="21"/>
  <c r="G193" i="21"/>
  <c r="E193" i="21"/>
  <c r="F193" i="13"/>
  <c r="I192" i="24"/>
  <c r="B196" i="22"/>
  <c r="C195" i="22"/>
  <c r="H195" i="22" s="1"/>
  <c r="A195" i="22"/>
  <c r="E193" i="19"/>
  <c r="E193" i="13"/>
  <c r="E193" i="23"/>
  <c r="D193" i="19"/>
  <c r="C195" i="27"/>
  <c r="B196" i="27"/>
  <c r="A195" i="27"/>
  <c r="H193" i="13"/>
  <c r="G194" i="27"/>
  <c r="H194" i="27"/>
  <c r="A194" i="21"/>
  <c r="C194" i="21"/>
  <c r="B195" i="21"/>
  <c r="G193" i="13"/>
  <c r="H194" i="20"/>
  <c r="I196" i="31" l="1"/>
  <c r="T121" i="3"/>
  <c r="J121" i="3" s="1"/>
  <c r="T122" i="31"/>
  <c r="J122" i="31" s="1"/>
  <c r="M129" i="3"/>
  <c r="J121" i="31"/>
  <c r="A198" i="3"/>
  <c r="B199" i="3"/>
  <c r="C198" i="3"/>
  <c r="D198" i="3" s="1"/>
  <c r="I196" i="3"/>
  <c r="B199" i="31"/>
  <c r="A198" i="31"/>
  <c r="C198" i="31"/>
  <c r="H198" i="31" s="1"/>
  <c r="F197" i="3"/>
  <c r="D197" i="3"/>
  <c r="G197" i="3"/>
  <c r="E197" i="3"/>
  <c r="H197" i="3"/>
  <c r="F197" i="31"/>
  <c r="E197" i="31"/>
  <c r="G197" i="31"/>
  <c r="H197" i="31"/>
  <c r="D197" i="31"/>
  <c r="S122" i="3"/>
  <c r="S123" i="31"/>
  <c r="R124" i="31"/>
  <c r="N128" i="3"/>
  <c r="Q124" i="3"/>
  <c r="Q125" i="31"/>
  <c r="P126" i="31"/>
  <c r="P126" i="3" s="1"/>
  <c r="O126" i="3"/>
  <c r="O127" i="31"/>
  <c r="N129" i="31"/>
  <c r="L130" i="3"/>
  <c r="M130" i="31"/>
  <c r="L131" i="31"/>
  <c r="E194" i="26"/>
  <c r="K132" i="31"/>
  <c r="K131" i="3"/>
  <c r="D194" i="26"/>
  <c r="F194" i="25"/>
  <c r="F195" i="22"/>
  <c r="E194" i="19"/>
  <c r="F194" i="19"/>
  <c r="D194" i="19"/>
  <c r="E194" i="23"/>
  <c r="G194" i="19"/>
  <c r="F194" i="23"/>
  <c r="I193" i="23"/>
  <c r="H194" i="13"/>
  <c r="I193" i="26"/>
  <c r="I193" i="24"/>
  <c r="D194" i="13"/>
  <c r="D194" i="23"/>
  <c r="G194" i="13"/>
  <c r="I193" i="25"/>
  <c r="I193" i="13"/>
  <c r="I193" i="21"/>
  <c r="H194" i="23"/>
  <c r="A195" i="24"/>
  <c r="C195" i="24"/>
  <c r="B196" i="24"/>
  <c r="E194" i="13"/>
  <c r="C195" i="26"/>
  <c r="A195" i="26"/>
  <c r="B196" i="26"/>
  <c r="I194" i="27"/>
  <c r="H194" i="24"/>
  <c r="D194" i="24"/>
  <c r="E194" i="24"/>
  <c r="G194" i="24"/>
  <c r="F194" i="24"/>
  <c r="A196" i="27"/>
  <c r="C196" i="27"/>
  <c r="B197" i="27"/>
  <c r="C195" i="13"/>
  <c r="F195" i="13" s="1"/>
  <c r="B196" i="13"/>
  <c r="A195" i="13"/>
  <c r="E194" i="25"/>
  <c r="G194" i="25"/>
  <c r="D194" i="25"/>
  <c r="F194" i="26"/>
  <c r="G194" i="26"/>
  <c r="D195" i="27"/>
  <c r="E195" i="27"/>
  <c r="H195" i="27"/>
  <c r="G195" i="27"/>
  <c r="F195" i="27"/>
  <c r="A195" i="25"/>
  <c r="C195" i="25"/>
  <c r="H195" i="25" s="1"/>
  <c r="B196" i="25"/>
  <c r="C195" i="19"/>
  <c r="E195" i="19" s="1"/>
  <c r="B196" i="19"/>
  <c r="A195" i="19"/>
  <c r="H194" i="21"/>
  <c r="D194" i="21"/>
  <c r="G194" i="21"/>
  <c r="E194" i="21"/>
  <c r="F194" i="21"/>
  <c r="I193" i="19"/>
  <c r="C196" i="22"/>
  <c r="A196" i="22"/>
  <c r="B197" i="22"/>
  <c r="B196" i="23"/>
  <c r="A195" i="23"/>
  <c r="C195" i="23"/>
  <c r="F195" i="23" s="1"/>
  <c r="C195" i="21"/>
  <c r="F195" i="21" s="1"/>
  <c r="A195" i="21"/>
  <c r="B196" i="21"/>
  <c r="E195" i="22"/>
  <c r="D195" i="22"/>
  <c r="C196" i="20"/>
  <c r="H196" i="20" s="1"/>
  <c r="A196" i="20"/>
  <c r="B197" i="20"/>
  <c r="F195" i="20"/>
  <c r="G195" i="20"/>
  <c r="D195" i="20"/>
  <c r="E195" i="20"/>
  <c r="H195" i="20"/>
  <c r="I194" i="22"/>
  <c r="I194" i="20"/>
  <c r="G195" i="22"/>
  <c r="E198" i="3" l="1"/>
  <c r="H198" i="3"/>
  <c r="I197" i="3"/>
  <c r="T122" i="3"/>
  <c r="J122" i="3" s="1"/>
  <c r="T123" i="31"/>
  <c r="J123" i="31" s="1"/>
  <c r="G198" i="31"/>
  <c r="A199" i="3"/>
  <c r="B200" i="3"/>
  <c r="C199" i="3"/>
  <c r="H199" i="3" s="1"/>
  <c r="S123" i="3"/>
  <c r="S124" i="31"/>
  <c r="I197" i="31"/>
  <c r="D198" i="31"/>
  <c r="F198" i="31"/>
  <c r="G198" i="3"/>
  <c r="F198" i="3"/>
  <c r="A199" i="31"/>
  <c r="B200" i="31"/>
  <c r="C199" i="31"/>
  <c r="F199" i="31" s="1"/>
  <c r="E198" i="31"/>
  <c r="N129" i="3"/>
  <c r="R124" i="3"/>
  <c r="R125" i="31"/>
  <c r="Q125" i="3"/>
  <c r="Q126" i="31"/>
  <c r="P127" i="31"/>
  <c r="P127" i="3" s="1"/>
  <c r="O127" i="3"/>
  <c r="O128" i="31"/>
  <c r="N130" i="31"/>
  <c r="M130" i="3"/>
  <c r="M131" i="31"/>
  <c r="L131" i="3"/>
  <c r="L132" i="31"/>
  <c r="L132" i="3" s="1"/>
  <c r="H195" i="23"/>
  <c r="I194" i="19"/>
  <c r="K132" i="3"/>
  <c r="K133" i="31"/>
  <c r="D195" i="25"/>
  <c r="D195" i="23"/>
  <c r="I194" i="26"/>
  <c r="I194" i="23"/>
  <c r="I194" i="13"/>
  <c r="I195" i="22"/>
  <c r="I194" i="24"/>
  <c r="H195" i="19"/>
  <c r="I194" i="25"/>
  <c r="F195" i="19"/>
  <c r="I195" i="20"/>
  <c r="A197" i="27"/>
  <c r="C197" i="27"/>
  <c r="B198" i="27"/>
  <c r="B197" i="19"/>
  <c r="C196" i="19"/>
  <c r="H196" i="19" s="1"/>
  <c r="A196" i="19"/>
  <c r="E195" i="13"/>
  <c r="F196" i="27"/>
  <c r="G196" i="27"/>
  <c r="E196" i="27"/>
  <c r="H196" i="27"/>
  <c r="D196" i="27"/>
  <c r="A196" i="26"/>
  <c r="C196" i="26"/>
  <c r="B197" i="26"/>
  <c r="C196" i="23"/>
  <c r="D196" i="23" s="1"/>
  <c r="A196" i="23"/>
  <c r="B197" i="23"/>
  <c r="I194" i="21"/>
  <c r="I195" i="27"/>
  <c r="G195" i="13"/>
  <c r="E196" i="20"/>
  <c r="H195" i="21"/>
  <c r="E195" i="21"/>
  <c r="D195" i="21"/>
  <c r="B198" i="22"/>
  <c r="A197" i="22"/>
  <c r="C197" i="22"/>
  <c r="G197" i="22" s="1"/>
  <c r="A196" i="25"/>
  <c r="B197" i="25"/>
  <c r="C196" i="25"/>
  <c r="G196" i="25" s="1"/>
  <c r="H195" i="13"/>
  <c r="D195" i="26"/>
  <c r="G195" i="26"/>
  <c r="F195" i="26"/>
  <c r="E195" i="26"/>
  <c r="H195" i="26"/>
  <c r="C197" i="20"/>
  <c r="A197" i="20"/>
  <c r="B198" i="20"/>
  <c r="E195" i="23"/>
  <c r="G195" i="19"/>
  <c r="F195" i="25"/>
  <c r="G195" i="25"/>
  <c r="D195" i="13"/>
  <c r="D196" i="20"/>
  <c r="G196" i="20"/>
  <c r="F196" i="20"/>
  <c r="C196" i="13"/>
  <c r="H196" i="13" s="1"/>
  <c r="B197" i="13"/>
  <c r="A196" i="13"/>
  <c r="C196" i="21"/>
  <c r="A196" i="21"/>
  <c r="B197" i="21"/>
  <c r="G195" i="23"/>
  <c r="E196" i="22"/>
  <c r="G196" i="22"/>
  <c r="H196" i="22"/>
  <c r="F196" i="22"/>
  <c r="D196" i="22"/>
  <c r="D195" i="19"/>
  <c r="A196" i="24"/>
  <c r="B197" i="24"/>
  <c r="C196" i="24"/>
  <c r="G195" i="21"/>
  <c r="F195" i="24"/>
  <c r="D195" i="24"/>
  <c r="G195" i="24"/>
  <c r="H195" i="24"/>
  <c r="E195" i="24"/>
  <c r="E195" i="25"/>
  <c r="T123" i="3" l="1"/>
  <c r="J123" i="3" s="1"/>
  <c r="T124" i="31"/>
  <c r="I198" i="3"/>
  <c r="I198" i="31"/>
  <c r="F199" i="3"/>
  <c r="A200" i="31"/>
  <c r="C200" i="31"/>
  <c r="H200" i="31" s="1"/>
  <c r="B201" i="31"/>
  <c r="B201" i="3"/>
  <c r="C200" i="3"/>
  <c r="E200" i="3" s="1"/>
  <c r="A200" i="3"/>
  <c r="E199" i="3"/>
  <c r="D199" i="3"/>
  <c r="G199" i="3"/>
  <c r="G199" i="31"/>
  <c r="H199" i="31"/>
  <c r="E199" i="31"/>
  <c r="D199" i="31"/>
  <c r="S124" i="3"/>
  <c r="S125" i="31"/>
  <c r="M131" i="3"/>
  <c r="R125" i="3"/>
  <c r="R126" i="31"/>
  <c r="Q126" i="3"/>
  <c r="Q127" i="31"/>
  <c r="P128" i="31"/>
  <c r="P128" i="3" s="1"/>
  <c r="O128" i="3"/>
  <c r="O129" i="31"/>
  <c r="O130" i="31" s="1"/>
  <c r="O130" i="3" s="1"/>
  <c r="N130" i="3"/>
  <c r="N131" i="31"/>
  <c r="M132" i="31"/>
  <c r="L133" i="31"/>
  <c r="E196" i="13"/>
  <c r="G196" i="19"/>
  <c r="F196" i="19"/>
  <c r="K134" i="31"/>
  <c r="K133" i="3"/>
  <c r="E196" i="19"/>
  <c r="F196" i="13"/>
  <c r="D196" i="19"/>
  <c r="I195" i="19"/>
  <c r="E196" i="23"/>
  <c r="F196" i="23"/>
  <c r="G196" i="23"/>
  <c r="I196" i="27"/>
  <c r="H196" i="23"/>
  <c r="D196" i="13"/>
  <c r="I195" i="25"/>
  <c r="I195" i="23"/>
  <c r="G196" i="13"/>
  <c r="H196" i="24"/>
  <c r="E196" i="24"/>
  <c r="F196" i="24"/>
  <c r="G196" i="24"/>
  <c r="D196" i="24"/>
  <c r="I196" i="20"/>
  <c r="D197" i="20"/>
  <c r="G197" i="20"/>
  <c r="E197" i="20"/>
  <c r="F197" i="20"/>
  <c r="H197" i="20"/>
  <c r="B198" i="25"/>
  <c r="C197" i="25"/>
  <c r="A197" i="25"/>
  <c r="B198" i="26"/>
  <c r="C197" i="26"/>
  <c r="H197" i="26" s="1"/>
  <c r="A197" i="26"/>
  <c r="A197" i="24"/>
  <c r="B198" i="24"/>
  <c r="C197" i="24"/>
  <c r="G197" i="24" s="1"/>
  <c r="I195" i="13"/>
  <c r="D196" i="25"/>
  <c r="H197" i="22"/>
  <c r="D197" i="22"/>
  <c r="F197" i="22"/>
  <c r="B198" i="23"/>
  <c r="C197" i="23"/>
  <c r="D197" i="23" s="1"/>
  <c r="A197" i="23"/>
  <c r="A198" i="20"/>
  <c r="C198" i="20"/>
  <c r="F198" i="20" s="1"/>
  <c r="B199" i="20"/>
  <c r="E196" i="25"/>
  <c r="H196" i="25"/>
  <c r="E196" i="26"/>
  <c r="F196" i="26"/>
  <c r="G196" i="26"/>
  <c r="D196" i="26"/>
  <c r="H196" i="26"/>
  <c r="I196" i="22"/>
  <c r="C197" i="13"/>
  <c r="G197" i="13" s="1"/>
  <c r="B198" i="13"/>
  <c r="A197" i="13"/>
  <c r="C198" i="22"/>
  <c r="A198" i="22"/>
  <c r="B199" i="22"/>
  <c r="E197" i="22"/>
  <c r="H197" i="27"/>
  <c r="E197" i="27"/>
  <c r="G197" i="27"/>
  <c r="D197" i="27"/>
  <c r="F197" i="27"/>
  <c r="B198" i="21"/>
  <c r="C197" i="21"/>
  <c r="D197" i="21" s="1"/>
  <c r="A197" i="21"/>
  <c r="I195" i="24"/>
  <c r="F196" i="21"/>
  <c r="G196" i="21"/>
  <c r="D196" i="21"/>
  <c r="H196" i="21"/>
  <c r="E196" i="21"/>
  <c r="I195" i="26"/>
  <c r="I195" i="21"/>
  <c r="B198" i="19"/>
  <c r="A197" i="19"/>
  <c r="C197" i="19"/>
  <c r="H197" i="19" s="1"/>
  <c r="F196" i="25"/>
  <c r="A198" i="27"/>
  <c r="B199" i="27"/>
  <c r="C198" i="27"/>
  <c r="G200" i="3" l="1"/>
  <c r="I199" i="31"/>
  <c r="G200" i="31"/>
  <c r="D200" i="31"/>
  <c r="F200" i="31"/>
  <c r="T124" i="3"/>
  <c r="J124" i="3" s="1"/>
  <c r="T125" i="31"/>
  <c r="J125" i="31" s="1"/>
  <c r="J124" i="31"/>
  <c r="E200" i="31"/>
  <c r="S125" i="3"/>
  <c r="S126" i="31"/>
  <c r="B202" i="3"/>
  <c r="C201" i="3"/>
  <c r="D201" i="3" s="1"/>
  <c r="A201" i="3"/>
  <c r="B202" i="31"/>
  <c r="C201" i="31"/>
  <c r="A201" i="31"/>
  <c r="F200" i="3"/>
  <c r="D200" i="3"/>
  <c r="I199" i="3"/>
  <c r="H200" i="3"/>
  <c r="R126" i="3"/>
  <c r="R127" i="31"/>
  <c r="M132" i="3"/>
  <c r="N131" i="3"/>
  <c r="Q127" i="3"/>
  <c r="Q128" i="31"/>
  <c r="P129" i="31"/>
  <c r="O129" i="3"/>
  <c r="O131" i="31"/>
  <c r="N132" i="31"/>
  <c r="L133" i="3"/>
  <c r="M133" i="31"/>
  <c r="L134" i="31"/>
  <c r="L134" i="3" s="1"/>
  <c r="I196" i="19"/>
  <c r="H198" i="20"/>
  <c r="G198" i="20"/>
  <c r="K135" i="31"/>
  <c r="K134" i="3"/>
  <c r="E197" i="24"/>
  <c r="D197" i="13"/>
  <c r="E197" i="13"/>
  <c r="F197" i="24"/>
  <c r="H197" i="13"/>
  <c r="E197" i="23"/>
  <c r="E197" i="19"/>
  <c r="F197" i="23"/>
  <c r="G197" i="19"/>
  <c r="I196" i="13"/>
  <c r="I196" i="23"/>
  <c r="I196" i="25"/>
  <c r="E198" i="20"/>
  <c r="I197" i="27"/>
  <c r="D198" i="20"/>
  <c r="D197" i="19"/>
  <c r="G197" i="23"/>
  <c r="A198" i="26"/>
  <c r="C198" i="26"/>
  <c r="H198" i="26" s="1"/>
  <c r="B199" i="26"/>
  <c r="F198" i="27"/>
  <c r="D198" i="27"/>
  <c r="G198" i="27"/>
  <c r="H198" i="27"/>
  <c r="E198" i="27"/>
  <c r="G197" i="21"/>
  <c r="E197" i="21"/>
  <c r="F197" i="21"/>
  <c r="H197" i="21"/>
  <c r="F197" i="13"/>
  <c r="H197" i="24"/>
  <c r="D197" i="24"/>
  <c r="H197" i="25"/>
  <c r="D197" i="25"/>
  <c r="G197" i="25"/>
  <c r="E197" i="25"/>
  <c r="F197" i="25"/>
  <c r="I196" i="24"/>
  <c r="I197" i="20"/>
  <c r="B200" i="27"/>
  <c r="C199" i="27"/>
  <c r="F199" i="27" s="1"/>
  <c r="A199" i="27"/>
  <c r="A198" i="19"/>
  <c r="B199" i="19"/>
  <c r="C198" i="19"/>
  <c r="G198" i="19" s="1"/>
  <c r="C199" i="22"/>
  <c r="B200" i="22"/>
  <c r="A199" i="22"/>
  <c r="C198" i="13"/>
  <c r="G198" i="13" s="1"/>
  <c r="B199" i="13"/>
  <c r="A198" i="13"/>
  <c r="A198" i="23"/>
  <c r="C198" i="23"/>
  <c r="H198" i="23" s="1"/>
  <c r="B199" i="23"/>
  <c r="G197" i="26"/>
  <c r="F197" i="26"/>
  <c r="I196" i="21"/>
  <c r="A198" i="21"/>
  <c r="B199" i="21"/>
  <c r="C198" i="21"/>
  <c r="E198" i="21" s="1"/>
  <c r="A198" i="25"/>
  <c r="B199" i="25"/>
  <c r="C198" i="25"/>
  <c r="I196" i="26"/>
  <c r="D197" i="26"/>
  <c r="A199" i="20"/>
  <c r="B200" i="20"/>
  <c r="C199" i="20"/>
  <c r="C198" i="24"/>
  <c r="D198" i="24" s="1"/>
  <c r="B199" i="24"/>
  <c r="A198" i="24"/>
  <c r="F197" i="19"/>
  <c r="E197" i="26"/>
  <c r="D198" i="22"/>
  <c r="H198" i="22"/>
  <c r="E198" i="22"/>
  <c r="F198" i="22"/>
  <c r="G198" i="22"/>
  <c r="H197" i="23"/>
  <c r="I197" i="22"/>
  <c r="I200" i="31" l="1"/>
  <c r="T125" i="3"/>
  <c r="J125" i="3" s="1"/>
  <c r="T126" i="31"/>
  <c r="J126" i="31" s="1"/>
  <c r="C202" i="3"/>
  <c r="B203" i="3"/>
  <c r="A202" i="3"/>
  <c r="I200" i="3"/>
  <c r="G201" i="31"/>
  <c r="H201" i="31"/>
  <c r="D201" i="31"/>
  <c r="F201" i="31"/>
  <c r="E201" i="31"/>
  <c r="E201" i="3"/>
  <c r="H201" i="3"/>
  <c r="G201" i="3"/>
  <c r="S126" i="3"/>
  <c r="S127" i="31"/>
  <c r="A202" i="31"/>
  <c r="C202" i="31"/>
  <c r="E202" i="31" s="1"/>
  <c r="B203" i="31"/>
  <c r="F201" i="3"/>
  <c r="R127" i="3"/>
  <c r="R128" i="31"/>
  <c r="Q128" i="3"/>
  <c r="Q129" i="31"/>
  <c r="P130" i="31"/>
  <c r="P129" i="3"/>
  <c r="O131" i="3"/>
  <c r="O132" i="31"/>
  <c r="N132" i="3"/>
  <c r="M133" i="3"/>
  <c r="N133" i="31"/>
  <c r="N133" i="3" s="1"/>
  <c r="M134" i="31"/>
  <c r="L135" i="31"/>
  <c r="I197" i="13"/>
  <c r="K135" i="3"/>
  <c r="K136" i="31"/>
  <c r="D198" i="21"/>
  <c r="I197" i="19"/>
  <c r="I197" i="24"/>
  <c r="I197" i="23"/>
  <c r="I198" i="20"/>
  <c r="F198" i="19"/>
  <c r="F198" i="26"/>
  <c r="H199" i="27"/>
  <c r="I197" i="21"/>
  <c r="I198" i="22"/>
  <c r="F199" i="20"/>
  <c r="D199" i="20"/>
  <c r="H199" i="20"/>
  <c r="A200" i="20"/>
  <c r="B201" i="20"/>
  <c r="C200" i="20"/>
  <c r="D200" i="20" s="1"/>
  <c r="F198" i="25"/>
  <c r="G198" i="25"/>
  <c r="H198" i="25"/>
  <c r="B200" i="19"/>
  <c r="C199" i="19"/>
  <c r="D199" i="19" s="1"/>
  <c r="A199" i="19"/>
  <c r="I198" i="27"/>
  <c r="C199" i="25"/>
  <c r="E199" i="25" s="1"/>
  <c r="B200" i="25"/>
  <c r="A199" i="25"/>
  <c r="E198" i="13"/>
  <c r="C200" i="22"/>
  <c r="D200" i="22" s="1"/>
  <c r="A200" i="22"/>
  <c r="B201" i="22"/>
  <c r="E199" i="20"/>
  <c r="E198" i="24"/>
  <c r="I197" i="26"/>
  <c r="D198" i="23"/>
  <c r="F198" i="13"/>
  <c r="G199" i="22"/>
  <c r="H199" i="22"/>
  <c r="F199" i="22"/>
  <c r="D199" i="22"/>
  <c r="E199" i="22"/>
  <c r="G199" i="20"/>
  <c r="D198" i="25"/>
  <c r="F198" i="24"/>
  <c r="H198" i="24"/>
  <c r="C199" i="23"/>
  <c r="E199" i="23" s="1"/>
  <c r="B200" i="23"/>
  <c r="A199" i="23"/>
  <c r="C199" i="13"/>
  <c r="F199" i="13" s="1"/>
  <c r="B200" i="13"/>
  <c r="A199" i="13"/>
  <c r="A200" i="27"/>
  <c r="C200" i="27"/>
  <c r="D200" i="27" s="1"/>
  <c r="B201" i="27"/>
  <c r="E198" i="23"/>
  <c r="D198" i="13"/>
  <c r="D198" i="19"/>
  <c r="E198" i="25"/>
  <c r="H198" i="21"/>
  <c r="G198" i="21"/>
  <c r="F198" i="21"/>
  <c r="F198" i="23"/>
  <c r="H198" i="13"/>
  <c r="H198" i="19"/>
  <c r="I197" i="25"/>
  <c r="B200" i="26"/>
  <c r="A199" i="26"/>
  <c r="C199" i="26"/>
  <c r="G198" i="24"/>
  <c r="B200" i="24"/>
  <c r="A199" i="24"/>
  <c r="C199" i="24"/>
  <c r="C199" i="21"/>
  <c r="B200" i="21"/>
  <c r="A199" i="21"/>
  <c r="G198" i="23"/>
  <c r="E198" i="19"/>
  <c r="E199" i="27"/>
  <c r="G199" i="27"/>
  <c r="E198" i="26"/>
  <c r="G198" i="26"/>
  <c r="D198" i="26"/>
  <c r="D199" i="27"/>
  <c r="I201" i="3" l="1"/>
  <c r="I201" i="31"/>
  <c r="T126" i="3"/>
  <c r="J126" i="3" s="1"/>
  <c r="T127" i="31"/>
  <c r="J127" i="31" s="1"/>
  <c r="D202" i="31"/>
  <c r="H202" i="31"/>
  <c r="F202" i="31"/>
  <c r="A203" i="31"/>
  <c r="B204" i="31"/>
  <c r="C203" i="31"/>
  <c r="F203" i="31" s="1"/>
  <c r="S127" i="3"/>
  <c r="S128" i="31"/>
  <c r="G202" i="31"/>
  <c r="C203" i="3"/>
  <c r="H203" i="3" s="1"/>
  <c r="A203" i="3"/>
  <c r="B204" i="3"/>
  <c r="F202" i="3"/>
  <c r="G202" i="3"/>
  <c r="H202" i="3"/>
  <c r="E202" i="3"/>
  <c r="D202" i="3"/>
  <c r="R128" i="3"/>
  <c r="R129" i="31"/>
  <c r="Q129" i="3"/>
  <c r="Q130" i="31"/>
  <c r="O132" i="3"/>
  <c r="P130" i="3"/>
  <c r="P131" i="31"/>
  <c r="O133" i="31"/>
  <c r="M135" i="31"/>
  <c r="N134" i="31"/>
  <c r="M134" i="3"/>
  <c r="L135" i="3"/>
  <c r="L136" i="31"/>
  <c r="F199" i="25"/>
  <c r="H199" i="25"/>
  <c r="D199" i="25"/>
  <c r="G199" i="25"/>
  <c r="K137" i="31"/>
  <c r="K136" i="3"/>
  <c r="I198" i="23"/>
  <c r="I199" i="20"/>
  <c r="I198" i="24"/>
  <c r="I198" i="21"/>
  <c r="H199" i="19"/>
  <c r="E199" i="19"/>
  <c r="C200" i="24"/>
  <c r="B201" i="24"/>
  <c r="A200" i="24"/>
  <c r="B201" i="26"/>
  <c r="C200" i="26"/>
  <c r="F200" i="26" s="1"/>
  <c r="A200" i="26"/>
  <c r="D199" i="23"/>
  <c r="F200" i="22"/>
  <c r="H200" i="22"/>
  <c r="G200" i="22"/>
  <c r="F199" i="19"/>
  <c r="E200" i="20"/>
  <c r="H200" i="20"/>
  <c r="F200" i="20"/>
  <c r="G200" i="20"/>
  <c r="E199" i="13"/>
  <c r="F199" i="23"/>
  <c r="I198" i="25"/>
  <c r="G199" i="19"/>
  <c r="B202" i="20"/>
  <c r="A201" i="20"/>
  <c r="C201" i="20"/>
  <c r="H201" i="20" s="1"/>
  <c r="G199" i="13"/>
  <c r="H199" i="23"/>
  <c r="G200" i="27"/>
  <c r="H199" i="26"/>
  <c r="E199" i="26"/>
  <c r="G199" i="26"/>
  <c r="F199" i="26"/>
  <c r="D199" i="26"/>
  <c r="I199" i="27"/>
  <c r="I198" i="19"/>
  <c r="D199" i="13"/>
  <c r="B201" i="25"/>
  <c r="C200" i="25"/>
  <c r="H200" i="25" s="1"/>
  <c r="A200" i="25"/>
  <c r="H200" i="27"/>
  <c r="I198" i="26"/>
  <c r="C200" i="21"/>
  <c r="B201" i="21"/>
  <c r="A200" i="21"/>
  <c r="E200" i="27"/>
  <c r="I198" i="13"/>
  <c r="H199" i="13"/>
  <c r="I199" i="22"/>
  <c r="C200" i="19"/>
  <c r="E200" i="19" s="1"/>
  <c r="B201" i="19"/>
  <c r="A200" i="19"/>
  <c r="F200" i="27"/>
  <c r="E200" i="22"/>
  <c r="E199" i="24"/>
  <c r="H199" i="24"/>
  <c r="D199" i="24"/>
  <c r="G199" i="24"/>
  <c r="F199" i="24"/>
  <c r="A201" i="27"/>
  <c r="C201" i="27"/>
  <c r="H201" i="27" s="1"/>
  <c r="B202" i="27"/>
  <c r="B201" i="13"/>
  <c r="C200" i="13"/>
  <c r="G200" i="13" s="1"/>
  <c r="A200" i="13"/>
  <c r="B202" i="22"/>
  <c r="A201" i="22"/>
  <c r="C201" i="22"/>
  <c r="D201" i="22" s="1"/>
  <c r="G199" i="23"/>
  <c r="D199" i="21"/>
  <c r="F199" i="21"/>
  <c r="G199" i="21"/>
  <c r="H199" i="21"/>
  <c r="E199" i="21"/>
  <c r="A200" i="23"/>
  <c r="B201" i="23"/>
  <c r="C200" i="23"/>
  <c r="F200" i="23" s="1"/>
  <c r="I202" i="3" l="1"/>
  <c r="T127" i="3"/>
  <c r="J127" i="3" s="1"/>
  <c r="T128" i="31"/>
  <c r="J128" i="31" s="1"/>
  <c r="D203" i="3"/>
  <c r="G203" i="3"/>
  <c r="I202" i="31"/>
  <c r="D203" i="31"/>
  <c r="E203" i="31"/>
  <c r="G203" i="31"/>
  <c r="H203" i="31"/>
  <c r="S128" i="3"/>
  <c r="S129" i="31"/>
  <c r="C204" i="31"/>
  <c r="H204" i="31" s="1"/>
  <c r="B205" i="31"/>
  <c r="A204" i="31"/>
  <c r="E203" i="3"/>
  <c r="A204" i="3"/>
  <c r="B205" i="3"/>
  <c r="C204" i="3"/>
  <c r="F204" i="3" s="1"/>
  <c r="F203" i="3"/>
  <c r="R129" i="3"/>
  <c r="R130" i="31"/>
  <c r="Q130" i="3"/>
  <c r="Q131" i="31"/>
  <c r="P131" i="3"/>
  <c r="P132" i="31"/>
  <c r="O134" i="31"/>
  <c r="O134" i="3" s="1"/>
  <c r="N134" i="3"/>
  <c r="O133" i="3"/>
  <c r="N135" i="31"/>
  <c r="M136" i="31"/>
  <c r="M136" i="3" s="1"/>
  <c r="M135" i="3"/>
  <c r="L136" i="3"/>
  <c r="G200" i="25"/>
  <c r="L137" i="31"/>
  <c r="L137" i="3" s="1"/>
  <c r="I199" i="25"/>
  <c r="K138" i="31"/>
  <c r="K137" i="3"/>
  <c r="D200" i="19"/>
  <c r="G200" i="19"/>
  <c r="I199" i="19"/>
  <c r="F201" i="22"/>
  <c r="I199" i="23"/>
  <c r="D200" i="13"/>
  <c r="H200" i="23"/>
  <c r="E200" i="13"/>
  <c r="H200" i="19"/>
  <c r="I199" i="26"/>
  <c r="D200" i="23"/>
  <c r="H200" i="13"/>
  <c r="F200" i="19"/>
  <c r="I200" i="27"/>
  <c r="I199" i="21"/>
  <c r="C201" i="23"/>
  <c r="G201" i="23" s="1"/>
  <c r="B202" i="23"/>
  <c r="A201" i="23"/>
  <c r="F200" i="13"/>
  <c r="B203" i="20"/>
  <c r="A202" i="20"/>
  <c r="C202" i="20"/>
  <c r="H200" i="26"/>
  <c r="G200" i="26"/>
  <c r="D200" i="26"/>
  <c r="E200" i="26"/>
  <c r="D201" i="27"/>
  <c r="I199" i="24"/>
  <c r="E200" i="25"/>
  <c r="F200" i="25"/>
  <c r="D200" i="25"/>
  <c r="I200" i="20"/>
  <c r="B202" i="26"/>
  <c r="C201" i="26"/>
  <c r="A201" i="26"/>
  <c r="F201" i="20"/>
  <c r="D201" i="20"/>
  <c r="E201" i="20"/>
  <c r="G201" i="20"/>
  <c r="E201" i="22"/>
  <c r="H201" i="22"/>
  <c r="E200" i="23"/>
  <c r="A201" i="13"/>
  <c r="C201" i="13"/>
  <c r="D201" i="13" s="1"/>
  <c r="B202" i="13"/>
  <c r="B202" i="19"/>
  <c r="C201" i="19"/>
  <c r="D201" i="19" s="1"/>
  <c r="A201" i="19"/>
  <c r="D200" i="21"/>
  <c r="G200" i="21"/>
  <c r="E200" i="21"/>
  <c r="F200" i="21"/>
  <c r="H200" i="21"/>
  <c r="I199" i="13"/>
  <c r="A201" i="24"/>
  <c r="B202" i="24"/>
  <c r="C201" i="24"/>
  <c r="F201" i="27"/>
  <c r="B202" i="21"/>
  <c r="C201" i="21"/>
  <c r="E201" i="21" s="1"/>
  <c r="A201" i="21"/>
  <c r="C201" i="25"/>
  <c r="H201" i="25" s="1"/>
  <c r="A201" i="25"/>
  <c r="B202" i="25"/>
  <c r="G201" i="22"/>
  <c r="G200" i="23"/>
  <c r="B203" i="22"/>
  <c r="A202" i="22"/>
  <c r="C202" i="22"/>
  <c r="B203" i="27"/>
  <c r="A202" i="27"/>
  <c r="C202" i="27"/>
  <c r="I200" i="22"/>
  <c r="H200" i="24"/>
  <c r="D200" i="24"/>
  <c r="G200" i="24"/>
  <c r="E200" i="24"/>
  <c r="F200" i="24"/>
  <c r="G201" i="27"/>
  <c r="E201" i="27"/>
  <c r="E204" i="31" l="1"/>
  <c r="I203" i="3"/>
  <c r="D204" i="31"/>
  <c r="T128" i="3"/>
  <c r="J128" i="3" s="1"/>
  <c r="T129" i="31"/>
  <c r="H204" i="3"/>
  <c r="E204" i="3"/>
  <c r="B206" i="31"/>
  <c r="C205" i="31"/>
  <c r="G205" i="31" s="1"/>
  <c r="A205" i="31"/>
  <c r="D204" i="3"/>
  <c r="G204" i="3"/>
  <c r="B206" i="3"/>
  <c r="A205" i="3"/>
  <c r="C205" i="3"/>
  <c r="F205" i="3" s="1"/>
  <c r="F204" i="31"/>
  <c r="G204" i="31"/>
  <c r="I203" i="31"/>
  <c r="S129" i="3"/>
  <c r="S130" i="31"/>
  <c r="R130" i="3"/>
  <c r="R131" i="31"/>
  <c r="Q131" i="3"/>
  <c r="Q132" i="31"/>
  <c r="O135" i="31"/>
  <c r="P132" i="3"/>
  <c r="P133" i="31"/>
  <c r="M137" i="31"/>
  <c r="M137" i="3" s="1"/>
  <c r="N136" i="31"/>
  <c r="N135" i="3"/>
  <c r="L138" i="31"/>
  <c r="K138" i="3"/>
  <c r="K139" i="31"/>
  <c r="F201" i="19"/>
  <c r="G201" i="19"/>
  <c r="H201" i="13"/>
  <c r="H201" i="19"/>
  <c r="G201" i="13"/>
  <c r="E201" i="13"/>
  <c r="I200" i="19"/>
  <c r="I201" i="22"/>
  <c r="E201" i="19"/>
  <c r="I201" i="20"/>
  <c r="G201" i="21"/>
  <c r="I200" i="13"/>
  <c r="I200" i="23"/>
  <c r="F201" i="13"/>
  <c r="D201" i="26"/>
  <c r="F201" i="26"/>
  <c r="E201" i="26"/>
  <c r="H201" i="26"/>
  <c r="G201" i="26"/>
  <c r="D201" i="24"/>
  <c r="F201" i="24"/>
  <c r="G201" i="24"/>
  <c r="E201" i="24"/>
  <c r="H201" i="24"/>
  <c r="A203" i="27"/>
  <c r="C203" i="27"/>
  <c r="B204" i="27"/>
  <c r="E201" i="25"/>
  <c r="G201" i="25"/>
  <c r="I200" i="25"/>
  <c r="H201" i="23"/>
  <c r="F201" i="25"/>
  <c r="B203" i="19"/>
  <c r="C202" i="19"/>
  <c r="H202" i="19" s="1"/>
  <c r="A202" i="19"/>
  <c r="I200" i="21"/>
  <c r="C203" i="20"/>
  <c r="H203" i="20" s="1"/>
  <c r="A203" i="20"/>
  <c r="B204" i="20"/>
  <c r="C202" i="24"/>
  <c r="A202" i="24"/>
  <c r="B203" i="24"/>
  <c r="I201" i="27"/>
  <c r="D202" i="22"/>
  <c r="F202" i="22"/>
  <c r="E202" i="22"/>
  <c r="H202" i="22"/>
  <c r="G202" i="22"/>
  <c r="I200" i="26"/>
  <c r="D201" i="23"/>
  <c r="F202" i="27"/>
  <c r="G202" i="27"/>
  <c r="E202" i="27"/>
  <c r="H202" i="27"/>
  <c r="D202" i="27"/>
  <c r="C202" i="26"/>
  <c r="D202" i="26" s="1"/>
  <c r="B203" i="26"/>
  <c r="A202" i="26"/>
  <c r="H201" i="21"/>
  <c r="F201" i="21"/>
  <c r="F201" i="23"/>
  <c r="I200" i="24"/>
  <c r="A203" i="22"/>
  <c r="C203" i="22"/>
  <c r="B204" i="22"/>
  <c r="A202" i="21"/>
  <c r="C202" i="21"/>
  <c r="B203" i="21"/>
  <c r="E201" i="23"/>
  <c r="D201" i="25"/>
  <c r="C202" i="25"/>
  <c r="H202" i="25" s="1"/>
  <c r="B203" i="25"/>
  <c r="A202" i="25"/>
  <c r="B203" i="13"/>
  <c r="C202" i="13"/>
  <c r="H202" i="13" s="1"/>
  <c r="A202" i="13"/>
  <c r="G202" i="20"/>
  <c r="F202" i="20"/>
  <c r="D202" i="20"/>
  <c r="E202" i="20"/>
  <c r="H202" i="20"/>
  <c r="D201" i="21"/>
  <c r="C202" i="23"/>
  <c r="D202" i="23" s="1"/>
  <c r="B203" i="23"/>
  <c r="A202" i="23"/>
  <c r="E205" i="3" l="1"/>
  <c r="H205" i="31"/>
  <c r="F205" i="31"/>
  <c r="I204" i="31"/>
  <c r="I204" i="3"/>
  <c r="T129" i="3"/>
  <c r="J129" i="3" s="1"/>
  <c r="T130" i="31"/>
  <c r="J130" i="31" s="1"/>
  <c r="J129" i="31"/>
  <c r="A206" i="3"/>
  <c r="C206" i="3"/>
  <c r="B207" i="3"/>
  <c r="C206" i="31"/>
  <c r="H206" i="31" s="1"/>
  <c r="A206" i="31"/>
  <c r="B207" i="31"/>
  <c r="S130" i="3"/>
  <c r="S131" i="31"/>
  <c r="D205" i="3"/>
  <c r="H205" i="3"/>
  <c r="G205" i="3"/>
  <c r="E205" i="31"/>
  <c r="D205" i="31"/>
  <c r="R131" i="3"/>
  <c r="R132" i="31"/>
  <c r="O135" i="3"/>
  <c r="O136" i="31"/>
  <c r="O136" i="3" s="1"/>
  <c r="Q132" i="3"/>
  <c r="Q133" i="31"/>
  <c r="P133" i="3"/>
  <c r="P134" i="31"/>
  <c r="N137" i="31"/>
  <c r="N136" i="3"/>
  <c r="L138" i="3"/>
  <c r="M138" i="31"/>
  <c r="L139" i="31"/>
  <c r="D202" i="19"/>
  <c r="K140" i="31"/>
  <c r="K139" i="3"/>
  <c r="F202" i="19"/>
  <c r="D202" i="13"/>
  <c r="E202" i="13"/>
  <c r="F202" i="13"/>
  <c r="E202" i="23"/>
  <c r="G202" i="19"/>
  <c r="I201" i="13"/>
  <c r="I201" i="19"/>
  <c r="D202" i="25"/>
  <c r="I201" i="23"/>
  <c r="I201" i="21"/>
  <c r="E202" i="19"/>
  <c r="G202" i="23"/>
  <c r="H202" i="23"/>
  <c r="C204" i="22"/>
  <c r="D204" i="22" s="1"/>
  <c r="A204" i="22"/>
  <c r="B205" i="22"/>
  <c r="C203" i="19"/>
  <c r="H203" i="19" s="1"/>
  <c r="B204" i="19"/>
  <c r="A203" i="19"/>
  <c r="C203" i="26"/>
  <c r="G203" i="26" s="1"/>
  <c r="A203" i="26"/>
  <c r="B204" i="26"/>
  <c r="F202" i="26"/>
  <c r="H202" i="26"/>
  <c r="E203" i="20"/>
  <c r="I202" i="27"/>
  <c r="B204" i="24"/>
  <c r="A203" i="24"/>
  <c r="C203" i="24"/>
  <c r="B204" i="25"/>
  <c r="A203" i="25"/>
  <c r="C203" i="25"/>
  <c r="G203" i="25" s="1"/>
  <c r="I202" i="20"/>
  <c r="F203" i="22"/>
  <c r="H203" i="22"/>
  <c r="G203" i="22"/>
  <c r="D203" i="22"/>
  <c r="E203" i="22"/>
  <c r="D203" i="20"/>
  <c r="I201" i="25"/>
  <c r="A203" i="23"/>
  <c r="C203" i="23"/>
  <c r="H203" i="23" s="1"/>
  <c r="B204" i="23"/>
  <c r="E202" i="26"/>
  <c r="I201" i="26"/>
  <c r="E202" i="25"/>
  <c r="H202" i="24"/>
  <c r="D202" i="24"/>
  <c r="G202" i="24"/>
  <c r="F202" i="24"/>
  <c r="G203" i="20"/>
  <c r="E202" i="24"/>
  <c r="G202" i="21"/>
  <c r="H202" i="21"/>
  <c r="D202" i="21"/>
  <c r="E202" i="21"/>
  <c r="F202" i="21"/>
  <c r="I202" i="22"/>
  <c r="B205" i="20"/>
  <c r="A204" i="20"/>
  <c r="C204" i="20"/>
  <c r="C204" i="27"/>
  <c r="A204" i="27"/>
  <c r="B205" i="27"/>
  <c r="G202" i="26"/>
  <c r="A203" i="13"/>
  <c r="B204" i="13"/>
  <c r="C203" i="13"/>
  <c r="D203" i="13" s="1"/>
  <c r="B204" i="21"/>
  <c r="C203" i="21"/>
  <c r="A203" i="21"/>
  <c r="F202" i="23"/>
  <c r="G202" i="13"/>
  <c r="G202" i="25"/>
  <c r="H203" i="27"/>
  <c r="D203" i="27"/>
  <c r="F203" i="27"/>
  <c r="E203" i="27"/>
  <c r="G203" i="27"/>
  <c r="I201" i="24"/>
  <c r="F203" i="20"/>
  <c r="F202" i="25"/>
  <c r="I205" i="31" l="1"/>
  <c r="F206" i="31"/>
  <c r="T130" i="3"/>
  <c r="J130" i="3" s="1"/>
  <c r="H45" i="2" s="1"/>
  <c r="I45" i="2" s="1"/>
  <c r="A46" i="2" s="1"/>
  <c r="D46" i="2" s="1"/>
  <c r="T131" i="31"/>
  <c r="J131" i="31" s="1"/>
  <c r="I205" i="3"/>
  <c r="C207" i="3"/>
  <c r="B208" i="3"/>
  <c r="A207" i="3"/>
  <c r="G206" i="3"/>
  <c r="D206" i="3"/>
  <c r="F206" i="3"/>
  <c r="D206" i="31"/>
  <c r="B208" i="31"/>
  <c r="A207" i="31"/>
  <c r="C207" i="31"/>
  <c r="F207" i="31" s="1"/>
  <c r="S131" i="3"/>
  <c r="S132" i="31"/>
  <c r="G206" i="31"/>
  <c r="E206" i="31"/>
  <c r="E206" i="3"/>
  <c r="H206" i="3"/>
  <c r="N137" i="3"/>
  <c r="R132" i="3"/>
  <c r="R133" i="31"/>
  <c r="M138" i="3"/>
  <c r="Q133" i="3"/>
  <c r="Q134" i="31"/>
  <c r="O137" i="31"/>
  <c r="L139" i="3"/>
  <c r="P134" i="3"/>
  <c r="P135" i="31"/>
  <c r="N138" i="31"/>
  <c r="M139" i="31"/>
  <c r="L140" i="31"/>
  <c r="L140" i="3" s="1"/>
  <c r="I202" i="19"/>
  <c r="I202" i="13"/>
  <c r="K140" i="3"/>
  <c r="K141" i="31"/>
  <c r="D203" i="26"/>
  <c r="F204" i="22"/>
  <c r="G204" i="22"/>
  <c r="H204" i="22"/>
  <c r="E204" i="22"/>
  <c r="I202" i="23"/>
  <c r="I202" i="26"/>
  <c r="H203" i="13"/>
  <c r="I203" i="22"/>
  <c r="E203" i="13"/>
  <c r="G203" i="13"/>
  <c r="F203" i="13"/>
  <c r="I202" i="25"/>
  <c r="I202" i="21"/>
  <c r="C204" i="24"/>
  <c r="E204" i="24" s="1"/>
  <c r="A204" i="24"/>
  <c r="B205" i="24"/>
  <c r="B206" i="22"/>
  <c r="C205" i="22"/>
  <c r="A205" i="22"/>
  <c r="E204" i="27"/>
  <c r="F204" i="27"/>
  <c r="D204" i="27"/>
  <c r="G204" i="27"/>
  <c r="H204" i="27"/>
  <c r="F203" i="23"/>
  <c r="D203" i="19"/>
  <c r="I202" i="24"/>
  <c r="F203" i="26"/>
  <c r="E203" i="26"/>
  <c r="H203" i="26"/>
  <c r="D204" i="20"/>
  <c r="F204" i="20"/>
  <c r="H204" i="20"/>
  <c r="E204" i="20"/>
  <c r="G204" i="20"/>
  <c r="E203" i="23"/>
  <c r="D203" i="25"/>
  <c r="F203" i="19"/>
  <c r="B205" i="13"/>
  <c r="C204" i="13"/>
  <c r="G204" i="13" s="1"/>
  <c r="A204" i="13"/>
  <c r="F203" i="25"/>
  <c r="I203" i="27"/>
  <c r="E203" i="21"/>
  <c r="D203" i="21"/>
  <c r="F203" i="21"/>
  <c r="H203" i="21"/>
  <c r="G203" i="21"/>
  <c r="A205" i="20"/>
  <c r="B206" i="20"/>
  <c r="C205" i="20"/>
  <c r="D203" i="23"/>
  <c r="I203" i="20"/>
  <c r="E203" i="19"/>
  <c r="A205" i="27"/>
  <c r="B206" i="27"/>
  <c r="C205" i="27"/>
  <c r="H205" i="27" s="1"/>
  <c r="G203" i="23"/>
  <c r="E203" i="25"/>
  <c r="H203" i="25"/>
  <c r="G203" i="19"/>
  <c r="A204" i="21"/>
  <c r="B205" i="21"/>
  <c r="C204" i="21"/>
  <c r="A204" i="23"/>
  <c r="C204" i="23"/>
  <c r="F204" i="23" s="1"/>
  <c r="B205" i="23"/>
  <c r="B205" i="25"/>
  <c r="C204" i="25"/>
  <c r="A204" i="25"/>
  <c r="F203" i="24"/>
  <c r="D203" i="24"/>
  <c r="G203" i="24"/>
  <c r="H203" i="24"/>
  <c r="E203" i="24"/>
  <c r="B205" i="26"/>
  <c r="A204" i="26"/>
  <c r="C204" i="26"/>
  <c r="A204" i="19"/>
  <c r="C204" i="19"/>
  <c r="F204" i="19" s="1"/>
  <c r="B205" i="19"/>
  <c r="H207" i="31" l="1"/>
  <c r="G207" i="31"/>
  <c r="E46" i="2"/>
  <c r="O137" i="3"/>
  <c r="B46" i="2"/>
  <c r="T131" i="3"/>
  <c r="J131" i="3" s="1"/>
  <c r="T132" i="31"/>
  <c r="J132" i="31" s="1"/>
  <c r="G46" i="2"/>
  <c r="D207" i="31"/>
  <c r="C46" i="2"/>
  <c r="F46" i="2"/>
  <c r="A208" i="31"/>
  <c r="C208" i="31"/>
  <c r="F208" i="31" s="1"/>
  <c r="B209" i="31"/>
  <c r="I206" i="31"/>
  <c r="A208" i="3"/>
  <c r="B209" i="3"/>
  <c r="C208" i="3"/>
  <c r="E207" i="3"/>
  <c r="H207" i="3"/>
  <c r="F207" i="3"/>
  <c r="G207" i="3"/>
  <c r="D207" i="3"/>
  <c r="I206" i="3"/>
  <c r="S132" i="3"/>
  <c r="S133" i="31"/>
  <c r="E207" i="31"/>
  <c r="R133" i="3"/>
  <c r="R134" i="31"/>
  <c r="M139" i="3"/>
  <c r="Q134" i="3"/>
  <c r="Q135" i="31"/>
  <c r="P135" i="3"/>
  <c r="P136" i="31"/>
  <c r="N139" i="31"/>
  <c r="N138" i="3"/>
  <c r="O138" i="31"/>
  <c r="M140" i="31"/>
  <c r="L141" i="31"/>
  <c r="L141" i="3" s="1"/>
  <c r="E204" i="19"/>
  <c r="I204" i="22"/>
  <c r="K141" i="3"/>
  <c r="K142" i="31"/>
  <c r="H204" i="19"/>
  <c r="I203" i="13"/>
  <c r="G204" i="19"/>
  <c r="I203" i="21"/>
  <c r="D204" i="19"/>
  <c r="I203" i="26"/>
  <c r="D204" i="26"/>
  <c r="H204" i="26"/>
  <c r="F204" i="26"/>
  <c r="E204" i="26"/>
  <c r="G204" i="26"/>
  <c r="E204" i="25"/>
  <c r="F204" i="25"/>
  <c r="H204" i="25"/>
  <c r="G204" i="25"/>
  <c r="D204" i="25"/>
  <c r="I203" i="23"/>
  <c r="D205" i="22"/>
  <c r="G205" i="22"/>
  <c r="H205" i="22"/>
  <c r="E205" i="22"/>
  <c r="A205" i="26"/>
  <c r="B206" i="26"/>
  <c r="C205" i="26"/>
  <c r="D205" i="26" s="1"/>
  <c r="C205" i="25"/>
  <c r="H205" i="25" s="1"/>
  <c r="B206" i="25"/>
  <c r="A205" i="25"/>
  <c r="H204" i="21"/>
  <c r="F204" i="21"/>
  <c r="G204" i="21"/>
  <c r="E204" i="21"/>
  <c r="D204" i="21"/>
  <c r="H205" i="20"/>
  <c r="D205" i="20"/>
  <c r="F205" i="20"/>
  <c r="G205" i="20"/>
  <c r="E205" i="20"/>
  <c r="C205" i="13"/>
  <c r="D205" i="13" s="1"/>
  <c r="B206" i="13"/>
  <c r="A205" i="13"/>
  <c r="I204" i="20"/>
  <c r="B207" i="22"/>
  <c r="A206" i="22"/>
  <c r="C206" i="22"/>
  <c r="G204" i="23"/>
  <c r="C205" i="21"/>
  <c r="E205" i="21" s="1"/>
  <c r="B206" i="21"/>
  <c r="A205" i="21"/>
  <c r="A206" i="20"/>
  <c r="C206" i="20"/>
  <c r="G206" i="20" s="1"/>
  <c r="B207" i="20"/>
  <c r="C205" i="24"/>
  <c r="B206" i="24"/>
  <c r="A205" i="24"/>
  <c r="H204" i="23"/>
  <c r="F205" i="27"/>
  <c r="D205" i="27"/>
  <c r="H204" i="13"/>
  <c r="I203" i="25"/>
  <c r="I204" i="27"/>
  <c r="D204" i="23"/>
  <c r="B207" i="27"/>
  <c r="C206" i="27"/>
  <c r="D206" i="27" s="1"/>
  <c r="A206" i="27"/>
  <c r="I203" i="24"/>
  <c r="E204" i="23"/>
  <c r="E205" i="27"/>
  <c r="E204" i="13"/>
  <c r="I203" i="19"/>
  <c r="A205" i="19"/>
  <c r="B206" i="19"/>
  <c r="C205" i="19"/>
  <c r="F205" i="19" s="1"/>
  <c r="D204" i="13"/>
  <c r="F204" i="24"/>
  <c r="G204" i="24"/>
  <c r="D204" i="24"/>
  <c r="C205" i="23"/>
  <c r="E205" i="23" s="1"/>
  <c r="A205" i="23"/>
  <c r="B206" i="23"/>
  <c r="F205" i="22"/>
  <c r="F204" i="13"/>
  <c r="H204" i="24"/>
  <c r="G205" i="27"/>
  <c r="I207" i="31" l="1"/>
  <c r="D208" i="31"/>
  <c r="E208" i="31"/>
  <c r="H208" i="31"/>
  <c r="G208" i="31"/>
  <c r="T132" i="3"/>
  <c r="J132" i="3" s="1"/>
  <c r="T133" i="31"/>
  <c r="I207" i="3"/>
  <c r="H208" i="3"/>
  <c r="D208" i="3"/>
  <c r="F208" i="3"/>
  <c r="G208" i="3"/>
  <c r="E208" i="3"/>
  <c r="A209" i="31"/>
  <c r="C209" i="31"/>
  <c r="E209" i="31" s="1"/>
  <c r="B210" i="31"/>
  <c r="S133" i="3"/>
  <c r="S134" i="31"/>
  <c r="A209" i="3"/>
  <c r="B210" i="3"/>
  <c r="C209" i="3"/>
  <c r="R134" i="3"/>
  <c r="R135" i="31"/>
  <c r="Q135" i="3"/>
  <c r="Q136" i="31"/>
  <c r="N139" i="3"/>
  <c r="O139" i="31"/>
  <c r="O139" i="3" s="1"/>
  <c r="P137" i="31"/>
  <c r="P136" i="3"/>
  <c r="O138" i="3"/>
  <c r="M140" i="3"/>
  <c r="N140" i="31"/>
  <c r="M141" i="31"/>
  <c r="L142" i="31"/>
  <c r="K142" i="3"/>
  <c r="K143" i="31"/>
  <c r="G205" i="23"/>
  <c r="F205" i="23"/>
  <c r="E206" i="27"/>
  <c r="D205" i="23"/>
  <c r="H205" i="19"/>
  <c r="H206" i="27"/>
  <c r="I204" i="19"/>
  <c r="I204" i="24"/>
  <c r="I204" i="23"/>
  <c r="E205" i="19"/>
  <c r="H205" i="23"/>
  <c r="G205" i="19"/>
  <c r="F206" i="20"/>
  <c r="H205" i="13"/>
  <c r="D205" i="19"/>
  <c r="C206" i="21"/>
  <c r="A206" i="21"/>
  <c r="B207" i="21"/>
  <c r="G205" i="13"/>
  <c r="C207" i="22"/>
  <c r="F207" i="22" s="1"/>
  <c r="A207" i="22"/>
  <c r="B208" i="22"/>
  <c r="I205" i="20"/>
  <c r="A206" i="23"/>
  <c r="B207" i="23"/>
  <c r="C206" i="23"/>
  <c r="F206" i="23" s="1"/>
  <c r="C206" i="19"/>
  <c r="E206" i="19" s="1"/>
  <c r="B207" i="19"/>
  <c r="A206" i="19"/>
  <c r="H205" i="24"/>
  <c r="G205" i="24"/>
  <c r="E205" i="24"/>
  <c r="F205" i="24"/>
  <c r="D205" i="24"/>
  <c r="E205" i="13"/>
  <c r="F205" i="25"/>
  <c r="G205" i="25"/>
  <c r="E205" i="25"/>
  <c r="D205" i="25"/>
  <c r="D206" i="20"/>
  <c r="H206" i="20"/>
  <c r="G205" i="21"/>
  <c r="F205" i="21"/>
  <c r="H205" i="21"/>
  <c r="D205" i="21"/>
  <c r="F205" i="13"/>
  <c r="C206" i="25"/>
  <c r="D206" i="25" s="1"/>
  <c r="B207" i="25"/>
  <c r="A206" i="25"/>
  <c r="C207" i="20"/>
  <c r="A207" i="20"/>
  <c r="B208" i="20"/>
  <c r="E206" i="22"/>
  <c r="F206" i="22"/>
  <c r="G206" i="22"/>
  <c r="H206" i="22"/>
  <c r="D206" i="22"/>
  <c r="I204" i="21"/>
  <c r="E205" i="26"/>
  <c r="F205" i="26"/>
  <c r="G205" i="26"/>
  <c r="H205" i="26"/>
  <c r="I204" i="25"/>
  <c r="A207" i="27"/>
  <c r="B208" i="27"/>
  <c r="C207" i="27"/>
  <c r="H207" i="27" s="1"/>
  <c r="B207" i="24"/>
  <c r="A206" i="24"/>
  <c r="C206" i="24"/>
  <c r="D206" i="24" s="1"/>
  <c r="I205" i="22"/>
  <c r="I204" i="13"/>
  <c r="F206" i="27"/>
  <c r="G206" i="27"/>
  <c r="I205" i="27"/>
  <c r="E206" i="20"/>
  <c r="A206" i="13"/>
  <c r="B207" i="13"/>
  <c r="C206" i="13"/>
  <c r="G206" i="13" s="1"/>
  <c r="B207" i="26"/>
  <c r="C206" i="26"/>
  <c r="A206" i="26"/>
  <c r="I204" i="26"/>
  <c r="I208" i="31" l="1"/>
  <c r="F209" i="31"/>
  <c r="T133" i="3"/>
  <c r="J133" i="3" s="1"/>
  <c r="T134" i="31"/>
  <c r="J134" i="31" s="1"/>
  <c r="J133" i="31"/>
  <c r="D209" i="3"/>
  <c r="E209" i="3"/>
  <c r="H209" i="3"/>
  <c r="F209" i="3"/>
  <c r="G209" i="3"/>
  <c r="D209" i="31"/>
  <c r="G209" i="31"/>
  <c r="C210" i="31"/>
  <c r="F210" i="31" s="1"/>
  <c r="B211" i="31"/>
  <c r="A210" i="31"/>
  <c r="S134" i="3"/>
  <c r="S135" i="31"/>
  <c r="I208" i="3"/>
  <c r="A210" i="3"/>
  <c r="C210" i="3"/>
  <c r="D210" i="3" s="1"/>
  <c r="B211" i="3"/>
  <c r="H209" i="31"/>
  <c r="R135" i="3"/>
  <c r="R136" i="31"/>
  <c r="L142" i="3"/>
  <c r="Q136" i="3"/>
  <c r="Q137" i="31"/>
  <c r="N140" i="3"/>
  <c r="P137" i="3"/>
  <c r="P138" i="31"/>
  <c r="O140" i="31"/>
  <c r="M141" i="3"/>
  <c r="N141" i="31"/>
  <c r="N141" i="3" s="1"/>
  <c r="M142" i="31"/>
  <c r="L143" i="31"/>
  <c r="H206" i="23"/>
  <c r="G206" i="23"/>
  <c r="K144" i="31"/>
  <c r="K143" i="3"/>
  <c r="F207" i="27"/>
  <c r="E207" i="22"/>
  <c r="I205" i="23"/>
  <c r="H207" i="22"/>
  <c r="D206" i="23"/>
  <c r="I205" i="19"/>
  <c r="I206" i="27"/>
  <c r="I205" i="21"/>
  <c r="F206" i="19"/>
  <c r="H206" i="25"/>
  <c r="I205" i="13"/>
  <c r="D206" i="19"/>
  <c r="H206" i="19"/>
  <c r="G206" i="19"/>
  <c r="B209" i="20"/>
  <c r="A208" i="20"/>
  <c r="C208" i="20"/>
  <c r="E208" i="20" s="1"/>
  <c r="H206" i="26"/>
  <c r="D206" i="26"/>
  <c r="E206" i="26"/>
  <c r="G206" i="26"/>
  <c r="F206" i="26"/>
  <c r="I205" i="26"/>
  <c r="G207" i="22"/>
  <c r="C207" i="26"/>
  <c r="A207" i="26"/>
  <c r="B208" i="26"/>
  <c r="E207" i="27"/>
  <c r="D207" i="27"/>
  <c r="G207" i="20"/>
  <c r="E207" i="20"/>
  <c r="D207" i="20"/>
  <c r="F207" i="20"/>
  <c r="H207" i="20"/>
  <c r="I205" i="24"/>
  <c r="B208" i="21"/>
  <c r="C207" i="21"/>
  <c r="A207" i="21"/>
  <c r="A207" i="13"/>
  <c r="C207" i="13"/>
  <c r="D207" i="13" s="1"/>
  <c r="B208" i="13"/>
  <c r="F206" i="24"/>
  <c r="H206" i="24"/>
  <c r="G206" i="24"/>
  <c r="I206" i="22"/>
  <c r="E206" i="13"/>
  <c r="B208" i="25"/>
  <c r="C207" i="25"/>
  <c r="A207" i="25"/>
  <c r="I206" i="20"/>
  <c r="B208" i="19"/>
  <c r="A207" i="19"/>
  <c r="C207" i="19"/>
  <c r="E207" i="19" s="1"/>
  <c r="E206" i="21"/>
  <c r="H206" i="21"/>
  <c r="G206" i="21"/>
  <c r="F206" i="21"/>
  <c r="D206" i="21"/>
  <c r="D207" i="22"/>
  <c r="D206" i="13"/>
  <c r="B209" i="27"/>
  <c r="A208" i="27"/>
  <c r="C208" i="27"/>
  <c r="E208" i="27" s="1"/>
  <c r="H206" i="13"/>
  <c r="C207" i="24"/>
  <c r="B208" i="24"/>
  <c r="A207" i="24"/>
  <c r="G206" i="25"/>
  <c r="E206" i="25"/>
  <c r="F206" i="25"/>
  <c r="I205" i="25"/>
  <c r="E206" i="24"/>
  <c r="C207" i="23"/>
  <c r="F207" i="23" s="1"/>
  <c r="B208" i="23"/>
  <c r="A207" i="23"/>
  <c r="F206" i="13"/>
  <c r="G207" i="27"/>
  <c r="E206" i="23"/>
  <c r="B209" i="22"/>
  <c r="A208" i="22"/>
  <c r="C208" i="22"/>
  <c r="G210" i="3" l="1"/>
  <c r="T134" i="3"/>
  <c r="J134" i="3" s="1"/>
  <c r="T135" i="31"/>
  <c r="J135" i="31" s="1"/>
  <c r="E210" i="3"/>
  <c r="S135" i="3"/>
  <c r="S136" i="31"/>
  <c r="G210" i="31"/>
  <c r="I209" i="31"/>
  <c r="A211" i="3"/>
  <c r="C211" i="3"/>
  <c r="F211" i="3" s="1"/>
  <c r="B212" i="3"/>
  <c r="A211" i="31"/>
  <c r="C211" i="31"/>
  <c r="D211" i="31" s="1"/>
  <c r="B212" i="31"/>
  <c r="D210" i="31"/>
  <c r="H210" i="31"/>
  <c r="I209" i="3"/>
  <c r="F210" i="3"/>
  <c r="H210" i="3"/>
  <c r="E210" i="31"/>
  <c r="R136" i="3"/>
  <c r="R137" i="31"/>
  <c r="O141" i="31"/>
  <c r="Q137" i="3"/>
  <c r="Q138" i="31"/>
  <c r="O140" i="3"/>
  <c r="P138" i="3"/>
  <c r="P139" i="31"/>
  <c r="N142" i="31"/>
  <c r="N142" i="3" s="1"/>
  <c r="M142" i="3"/>
  <c r="L143" i="3"/>
  <c r="M143" i="31"/>
  <c r="L144" i="31"/>
  <c r="H207" i="19"/>
  <c r="I206" i="23"/>
  <c r="K144" i="3"/>
  <c r="K145" i="31"/>
  <c r="G207" i="19"/>
  <c r="H207" i="23"/>
  <c r="F207" i="19"/>
  <c r="I207" i="22"/>
  <c r="I206" i="19"/>
  <c r="D207" i="23"/>
  <c r="I206" i="13"/>
  <c r="D207" i="19"/>
  <c r="I206" i="25"/>
  <c r="I206" i="24"/>
  <c r="F208" i="27"/>
  <c r="G208" i="27"/>
  <c r="H208" i="27"/>
  <c r="A208" i="13"/>
  <c r="C208" i="13"/>
  <c r="G208" i="13" s="1"/>
  <c r="B209" i="13"/>
  <c r="H207" i="25"/>
  <c r="F207" i="25"/>
  <c r="G207" i="25"/>
  <c r="E207" i="25"/>
  <c r="D207" i="25"/>
  <c r="A208" i="24"/>
  <c r="B209" i="24"/>
  <c r="C208" i="24"/>
  <c r="G208" i="24" s="1"/>
  <c r="F207" i="24"/>
  <c r="E207" i="24"/>
  <c r="H207" i="24"/>
  <c r="D207" i="24"/>
  <c r="G207" i="24"/>
  <c r="I206" i="21"/>
  <c r="G208" i="20"/>
  <c r="H208" i="20"/>
  <c r="F208" i="20"/>
  <c r="C209" i="22"/>
  <c r="G209" i="22" s="1"/>
  <c r="B210" i="22"/>
  <c r="A209" i="22"/>
  <c r="I207" i="20"/>
  <c r="C208" i="25"/>
  <c r="G208" i="25" s="1"/>
  <c r="B209" i="25"/>
  <c r="A208" i="25"/>
  <c r="E207" i="13"/>
  <c r="D207" i="21"/>
  <c r="E207" i="21"/>
  <c r="F207" i="21"/>
  <c r="G207" i="21"/>
  <c r="H207" i="21"/>
  <c r="I207" i="27"/>
  <c r="F207" i="26"/>
  <c r="H207" i="26"/>
  <c r="E207" i="26"/>
  <c r="D207" i="26"/>
  <c r="G207" i="26"/>
  <c r="I206" i="26"/>
  <c r="B209" i="23"/>
  <c r="C208" i="23"/>
  <c r="D208" i="23" s="1"/>
  <c r="A208" i="23"/>
  <c r="G207" i="13"/>
  <c r="B209" i="21"/>
  <c r="A208" i="21"/>
  <c r="C208" i="21"/>
  <c r="F208" i="21" s="1"/>
  <c r="G207" i="23"/>
  <c r="A208" i="19"/>
  <c r="C208" i="19"/>
  <c r="E208" i="19" s="1"/>
  <c r="B209" i="19"/>
  <c r="D208" i="20"/>
  <c r="H207" i="13"/>
  <c r="A208" i="26"/>
  <c r="C208" i="26"/>
  <c r="B209" i="26"/>
  <c r="A209" i="27"/>
  <c r="C209" i="27"/>
  <c r="D209" i="27" s="1"/>
  <c r="B210" i="27"/>
  <c r="C209" i="20"/>
  <c r="E209" i="20" s="1"/>
  <c r="A209" i="20"/>
  <c r="B210" i="20"/>
  <c r="F208" i="22"/>
  <c r="H208" i="22"/>
  <c r="G208" i="22"/>
  <c r="E208" i="22"/>
  <c r="D208" i="22"/>
  <c r="E207" i="23"/>
  <c r="F207" i="13"/>
  <c r="D208" i="27"/>
  <c r="I210" i="3" l="1"/>
  <c r="T135" i="3"/>
  <c r="J135" i="3" s="1"/>
  <c r="T136" i="31"/>
  <c r="I210" i="31"/>
  <c r="C212" i="31"/>
  <c r="H212" i="31" s="1"/>
  <c r="B213" i="31"/>
  <c r="A212" i="31"/>
  <c r="H211" i="3"/>
  <c r="G211" i="3"/>
  <c r="D211" i="3"/>
  <c r="E211" i="3"/>
  <c r="H211" i="31"/>
  <c r="G211" i="31"/>
  <c r="S136" i="3"/>
  <c r="S137" i="31"/>
  <c r="B213" i="3"/>
  <c r="C212" i="3"/>
  <c r="D212" i="3" s="1"/>
  <c r="A212" i="3"/>
  <c r="E211" i="31"/>
  <c r="F211" i="31"/>
  <c r="M143" i="3"/>
  <c r="O141" i="3"/>
  <c r="R137" i="3"/>
  <c r="R138" i="31"/>
  <c r="Q138" i="3"/>
  <c r="Q139" i="31"/>
  <c r="Q139" i="3" s="1"/>
  <c r="L144" i="3"/>
  <c r="P139" i="3"/>
  <c r="P140" i="31"/>
  <c r="O142" i="31"/>
  <c r="N143" i="31"/>
  <c r="N143" i="3" s="1"/>
  <c r="M144" i="31"/>
  <c r="L145" i="31"/>
  <c r="D208" i="24"/>
  <c r="F208" i="13"/>
  <c r="E208" i="24"/>
  <c r="K145" i="3"/>
  <c r="K146" i="31"/>
  <c r="H209" i="27"/>
  <c r="D209" i="22"/>
  <c r="H208" i="24"/>
  <c r="I207" i="19"/>
  <c r="F208" i="24"/>
  <c r="H208" i="19"/>
  <c r="I207" i="23"/>
  <c r="F208" i="23"/>
  <c r="H208" i="21"/>
  <c r="E208" i="23"/>
  <c r="G208" i="19"/>
  <c r="H208" i="23"/>
  <c r="I208" i="27"/>
  <c r="F208" i="19"/>
  <c r="D208" i="19"/>
  <c r="G208" i="23"/>
  <c r="I207" i="13"/>
  <c r="B211" i="27"/>
  <c r="C210" i="27"/>
  <c r="F210" i="27" s="1"/>
  <c r="A210" i="27"/>
  <c r="I207" i="26"/>
  <c r="A209" i="25"/>
  <c r="C209" i="25"/>
  <c r="B210" i="25"/>
  <c r="I208" i="22"/>
  <c r="A210" i="20"/>
  <c r="B211" i="20"/>
  <c r="C210" i="20"/>
  <c r="B210" i="26"/>
  <c r="A209" i="26"/>
  <c r="C209" i="26"/>
  <c r="D208" i="21"/>
  <c r="E208" i="21"/>
  <c r="I207" i="21"/>
  <c r="D208" i="25"/>
  <c r="E208" i="25"/>
  <c r="A209" i="13"/>
  <c r="B210" i="13"/>
  <c r="C209" i="13"/>
  <c r="E209" i="13" s="1"/>
  <c r="C209" i="19"/>
  <c r="E209" i="19" s="1"/>
  <c r="A209" i="19"/>
  <c r="B210" i="19"/>
  <c r="E209" i="27"/>
  <c r="G209" i="20"/>
  <c r="F209" i="20"/>
  <c r="H209" i="20"/>
  <c r="B210" i="21"/>
  <c r="C209" i="21"/>
  <c r="A209" i="21"/>
  <c r="G209" i="27"/>
  <c r="A209" i="24"/>
  <c r="B210" i="24"/>
  <c r="C209" i="24"/>
  <c r="H208" i="13"/>
  <c r="D209" i="20"/>
  <c r="A210" i="22"/>
  <c r="C210" i="22"/>
  <c r="B211" i="22"/>
  <c r="D208" i="13"/>
  <c r="F209" i="27"/>
  <c r="D208" i="26"/>
  <c r="F208" i="26"/>
  <c r="H208" i="26"/>
  <c r="G208" i="26"/>
  <c r="E208" i="26"/>
  <c r="I208" i="20"/>
  <c r="H208" i="25"/>
  <c r="B210" i="23"/>
  <c r="A209" i="23"/>
  <c r="C209" i="23"/>
  <c r="H209" i="23" s="1"/>
  <c r="F208" i="25"/>
  <c r="H209" i="22"/>
  <c r="F209" i="22"/>
  <c r="E209" i="22"/>
  <c r="I207" i="24"/>
  <c r="I207" i="25"/>
  <c r="E208" i="13"/>
  <c r="G208" i="21"/>
  <c r="H212" i="3" l="1"/>
  <c r="T136" i="3"/>
  <c r="J136" i="3" s="1"/>
  <c r="T137" i="31"/>
  <c r="J137" i="31" s="1"/>
  <c r="G212" i="3"/>
  <c r="J136" i="31"/>
  <c r="I211" i="3"/>
  <c r="D212" i="31"/>
  <c r="F212" i="31"/>
  <c r="B214" i="31"/>
  <c r="A213" i="31"/>
  <c r="C213" i="31"/>
  <c r="E213" i="31" s="1"/>
  <c r="E212" i="31"/>
  <c r="S137" i="3"/>
  <c r="S138" i="31"/>
  <c r="G212" i="31"/>
  <c r="I211" i="31"/>
  <c r="B214" i="3"/>
  <c r="A213" i="3"/>
  <c r="C213" i="3"/>
  <c r="E212" i="3"/>
  <c r="F212" i="3"/>
  <c r="R138" i="3"/>
  <c r="R139" i="31"/>
  <c r="Q140" i="31"/>
  <c r="Q140" i="3" s="1"/>
  <c r="P140" i="3"/>
  <c r="P141" i="31"/>
  <c r="O142" i="3"/>
  <c r="O143" i="31"/>
  <c r="M145" i="31"/>
  <c r="L145" i="3"/>
  <c r="N144" i="31"/>
  <c r="N144" i="3" s="1"/>
  <c r="M144" i="3"/>
  <c r="L146" i="31"/>
  <c r="L146" i="3" s="1"/>
  <c r="E209" i="23"/>
  <c r="G209" i="13"/>
  <c r="I208" i="24"/>
  <c r="K146" i="3"/>
  <c r="K147" i="31"/>
  <c r="I208" i="19"/>
  <c r="I209" i="27"/>
  <c r="I208" i="23"/>
  <c r="D209" i="13"/>
  <c r="I209" i="22"/>
  <c r="F209" i="13"/>
  <c r="H209" i="13"/>
  <c r="F209" i="25"/>
  <c r="H209" i="25"/>
  <c r="I209" i="20"/>
  <c r="G209" i="19"/>
  <c r="I208" i="25"/>
  <c r="B212" i="20"/>
  <c r="C211" i="20"/>
  <c r="A211" i="20"/>
  <c r="A210" i="23"/>
  <c r="C210" i="23"/>
  <c r="E210" i="23" s="1"/>
  <c r="B211" i="23"/>
  <c r="I208" i="26"/>
  <c r="E209" i="25"/>
  <c r="D209" i="19"/>
  <c r="H209" i="19"/>
  <c r="G210" i="27"/>
  <c r="D210" i="27"/>
  <c r="H210" i="27"/>
  <c r="F209" i="23"/>
  <c r="I208" i="13"/>
  <c r="B211" i="21"/>
  <c r="A210" i="21"/>
  <c r="C210" i="21"/>
  <c r="F209" i="19"/>
  <c r="I208" i="21"/>
  <c r="G209" i="25"/>
  <c r="B212" i="27"/>
  <c r="C211" i="27"/>
  <c r="A211" i="27"/>
  <c r="A210" i="24"/>
  <c r="C210" i="24"/>
  <c r="F210" i="24" s="1"/>
  <c r="B211" i="24"/>
  <c r="H210" i="20"/>
  <c r="E210" i="20"/>
  <c r="D210" i="20"/>
  <c r="F210" i="20"/>
  <c r="G210" i="20"/>
  <c r="D209" i="21"/>
  <c r="H209" i="21"/>
  <c r="E209" i="21"/>
  <c r="F209" i="21"/>
  <c r="G209" i="21"/>
  <c r="G209" i="23"/>
  <c r="D209" i="25"/>
  <c r="B212" i="22"/>
  <c r="C211" i="22"/>
  <c r="A211" i="22"/>
  <c r="A210" i="19"/>
  <c r="B211" i="19"/>
  <c r="C210" i="19"/>
  <c r="G210" i="19" s="1"/>
  <c r="G209" i="26"/>
  <c r="E209" i="26"/>
  <c r="F209" i="26"/>
  <c r="H209" i="26"/>
  <c r="D209" i="26"/>
  <c r="E210" i="27"/>
  <c r="B211" i="26"/>
  <c r="A210" i="26"/>
  <c r="C210" i="26"/>
  <c r="F210" i="26" s="1"/>
  <c r="D209" i="23"/>
  <c r="G210" i="22"/>
  <c r="H210" i="22"/>
  <c r="D210" i="22"/>
  <c r="F210" i="22"/>
  <c r="E210" i="22"/>
  <c r="D209" i="24"/>
  <c r="H209" i="24"/>
  <c r="G209" i="24"/>
  <c r="F209" i="24"/>
  <c r="E209" i="24"/>
  <c r="C210" i="13"/>
  <c r="D210" i="13" s="1"/>
  <c r="B211" i="13"/>
  <c r="A210" i="13"/>
  <c r="A210" i="25"/>
  <c r="C210" i="25"/>
  <c r="B211" i="25"/>
  <c r="M145" i="3" l="1"/>
  <c r="T137" i="3"/>
  <c r="J137" i="3" s="1"/>
  <c r="T138" i="31"/>
  <c r="G213" i="31"/>
  <c r="D213" i="31"/>
  <c r="I212" i="31"/>
  <c r="A214" i="31"/>
  <c r="C214" i="31"/>
  <c r="F214" i="31" s="1"/>
  <c r="B215" i="31"/>
  <c r="H213" i="31"/>
  <c r="C214" i="3"/>
  <c r="H214" i="3" s="1"/>
  <c r="A214" i="3"/>
  <c r="B215" i="3"/>
  <c r="G213" i="3"/>
  <c r="D213" i="3"/>
  <c r="H213" i="3"/>
  <c r="E213" i="3"/>
  <c r="F213" i="3"/>
  <c r="F213" i="31"/>
  <c r="I212" i="3"/>
  <c r="S138" i="3"/>
  <c r="S139" i="31"/>
  <c r="R139" i="3"/>
  <c r="R140" i="31"/>
  <c r="Q141" i="31"/>
  <c r="O143" i="3"/>
  <c r="P142" i="31"/>
  <c r="P141" i="3"/>
  <c r="O144" i="31"/>
  <c r="N145" i="31"/>
  <c r="M146" i="31"/>
  <c r="L147" i="31"/>
  <c r="G210" i="23"/>
  <c r="K148" i="31"/>
  <c r="K147" i="3"/>
  <c r="D210" i="19"/>
  <c r="F210" i="19"/>
  <c r="I209" i="23"/>
  <c r="I209" i="13"/>
  <c r="C211" i="25"/>
  <c r="F211" i="25" s="1"/>
  <c r="B212" i="25"/>
  <c r="A211" i="25"/>
  <c r="B213" i="20"/>
  <c r="A212" i="20"/>
  <c r="C212" i="20"/>
  <c r="F212" i="20" s="1"/>
  <c r="A211" i="21"/>
  <c r="B212" i="21"/>
  <c r="C211" i="21"/>
  <c r="G211" i="21" s="1"/>
  <c r="C211" i="23"/>
  <c r="H211" i="23" s="1"/>
  <c r="B212" i="23"/>
  <c r="A211" i="23"/>
  <c r="E210" i="19"/>
  <c r="I209" i="25"/>
  <c r="G211" i="27"/>
  <c r="D211" i="27"/>
  <c r="H211" i="27"/>
  <c r="F211" i="27"/>
  <c r="E211" i="27"/>
  <c r="I209" i="19"/>
  <c r="I210" i="22"/>
  <c r="H210" i="26"/>
  <c r="G210" i="13"/>
  <c r="I209" i="26"/>
  <c r="H210" i="19"/>
  <c r="I210" i="20"/>
  <c r="A212" i="27"/>
  <c r="B213" i="27"/>
  <c r="C212" i="27"/>
  <c r="G210" i="21"/>
  <c r="D210" i="21"/>
  <c r="E210" i="21"/>
  <c r="H210" i="21"/>
  <c r="F210" i="21"/>
  <c r="G211" i="22"/>
  <c r="D211" i="22"/>
  <c r="E211" i="22"/>
  <c r="H211" i="22"/>
  <c r="F211" i="22"/>
  <c r="D210" i="25"/>
  <c r="G210" i="25"/>
  <c r="H210" i="25"/>
  <c r="E210" i="25"/>
  <c r="F210" i="25"/>
  <c r="C211" i="26"/>
  <c r="G211" i="26" s="1"/>
  <c r="B212" i="26"/>
  <c r="A211" i="26"/>
  <c r="C212" i="22"/>
  <c r="A212" i="22"/>
  <c r="B213" i="22"/>
  <c r="H210" i="24"/>
  <c r="H210" i="13"/>
  <c r="D210" i="26"/>
  <c r="B212" i="19"/>
  <c r="C211" i="19"/>
  <c r="F211" i="19" s="1"/>
  <c r="A211" i="19"/>
  <c r="D210" i="23"/>
  <c r="G210" i="24"/>
  <c r="B212" i="13"/>
  <c r="C211" i="13"/>
  <c r="D211" i="13" s="1"/>
  <c r="A211" i="13"/>
  <c r="I209" i="21"/>
  <c r="E210" i="13"/>
  <c r="E210" i="24"/>
  <c r="F211" i="21"/>
  <c r="F210" i="13"/>
  <c r="I209" i="24"/>
  <c r="G210" i="26"/>
  <c r="C211" i="24"/>
  <c r="A211" i="24"/>
  <c r="B212" i="24"/>
  <c r="I210" i="27"/>
  <c r="F210" i="23"/>
  <c r="D210" i="24"/>
  <c r="H210" i="23"/>
  <c r="D211" i="20"/>
  <c r="E211" i="20"/>
  <c r="H211" i="20"/>
  <c r="F211" i="20"/>
  <c r="G211" i="20"/>
  <c r="E210" i="26"/>
  <c r="T138" i="3" l="1"/>
  <c r="J138" i="3" s="1"/>
  <c r="T139" i="31"/>
  <c r="I213" i="3"/>
  <c r="I213" i="31"/>
  <c r="J138" i="31"/>
  <c r="D214" i="3"/>
  <c r="F214" i="3"/>
  <c r="G214" i="3"/>
  <c r="E214" i="3"/>
  <c r="G214" i="31"/>
  <c r="E214" i="31"/>
  <c r="H214" i="31"/>
  <c r="A215" i="3"/>
  <c r="B216" i="3"/>
  <c r="C215" i="3"/>
  <c r="D214" i="31"/>
  <c r="S139" i="3"/>
  <c r="S140" i="31"/>
  <c r="B216" i="31"/>
  <c r="C215" i="31"/>
  <c r="A215" i="31"/>
  <c r="R140" i="3"/>
  <c r="R141" i="31"/>
  <c r="Q141" i="3"/>
  <c r="Q142" i="31"/>
  <c r="P142" i="3"/>
  <c r="P143" i="31"/>
  <c r="O144" i="3"/>
  <c r="O145" i="31"/>
  <c r="O145" i="3" s="1"/>
  <c r="M146" i="3"/>
  <c r="N145" i="3"/>
  <c r="N146" i="31"/>
  <c r="L147" i="3"/>
  <c r="M147" i="31"/>
  <c r="L148" i="31"/>
  <c r="E212" i="20"/>
  <c r="K148" i="3"/>
  <c r="K149" i="31"/>
  <c r="E211" i="25"/>
  <c r="G211" i="25"/>
  <c r="H211" i="25"/>
  <c r="G211" i="23"/>
  <c r="E211" i="23"/>
  <c r="D211" i="25"/>
  <c r="I210" i="13"/>
  <c r="H211" i="19"/>
  <c r="G212" i="20"/>
  <c r="F211" i="13"/>
  <c r="G211" i="19"/>
  <c r="I210" i="19"/>
  <c r="H211" i="13"/>
  <c r="E211" i="19"/>
  <c r="D212" i="27"/>
  <c r="H212" i="27"/>
  <c r="E212" i="27"/>
  <c r="G212" i="27"/>
  <c r="F212" i="27"/>
  <c r="I211" i="20"/>
  <c r="I211" i="22"/>
  <c r="A212" i="23"/>
  <c r="C212" i="23"/>
  <c r="H212" i="23" s="1"/>
  <c r="B213" i="23"/>
  <c r="C213" i="22"/>
  <c r="F213" i="22" s="1"/>
  <c r="A213" i="22"/>
  <c r="B214" i="22"/>
  <c r="B214" i="27"/>
  <c r="A213" i="27"/>
  <c r="C213" i="27"/>
  <c r="G213" i="27" s="1"/>
  <c r="A213" i="20"/>
  <c r="B214" i="20"/>
  <c r="C213" i="20"/>
  <c r="F213" i="20" s="1"/>
  <c r="I210" i="24"/>
  <c r="A212" i="13"/>
  <c r="B213" i="13"/>
  <c r="C212" i="13"/>
  <c r="E212" i="13" s="1"/>
  <c r="E211" i="21"/>
  <c r="H211" i="21"/>
  <c r="D211" i="21"/>
  <c r="H211" i="26"/>
  <c r="F211" i="26"/>
  <c r="I211" i="27"/>
  <c r="E211" i="26"/>
  <c r="I210" i="25"/>
  <c r="B213" i="21"/>
  <c r="A212" i="21"/>
  <c r="C212" i="21"/>
  <c r="E211" i="13"/>
  <c r="I210" i="23"/>
  <c r="I210" i="26"/>
  <c r="D211" i="23"/>
  <c r="D211" i="24"/>
  <c r="E211" i="24"/>
  <c r="F211" i="24"/>
  <c r="G211" i="24"/>
  <c r="H211" i="24"/>
  <c r="A212" i="19"/>
  <c r="B213" i="19"/>
  <c r="C212" i="19"/>
  <c r="F212" i="19" s="1"/>
  <c r="G212" i="22"/>
  <c r="F212" i="22"/>
  <c r="D212" i="22"/>
  <c r="H212" i="22"/>
  <c r="E212" i="22"/>
  <c r="C212" i="25"/>
  <c r="A212" i="25"/>
  <c r="B213" i="25"/>
  <c r="C212" i="24"/>
  <c r="A212" i="24"/>
  <c r="B213" i="24"/>
  <c r="G211" i="13"/>
  <c r="D211" i="19"/>
  <c r="A212" i="26"/>
  <c r="C212" i="26"/>
  <c r="B213" i="26"/>
  <c r="I210" i="21"/>
  <c r="F211" i="23"/>
  <c r="D211" i="26"/>
  <c r="H212" i="20"/>
  <c r="D212" i="20"/>
  <c r="T139" i="3" l="1"/>
  <c r="J139" i="3" s="1"/>
  <c r="T140" i="31"/>
  <c r="J140" i="31" s="1"/>
  <c r="J139" i="31"/>
  <c r="I214" i="31"/>
  <c r="H215" i="3"/>
  <c r="D215" i="3"/>
  <c r="E215" i="3"/>
  <c r="F215" i="3"/>
  <c r="G215" i="3"/>
  <c r="A216" i="31"/>
  <c r="C216" i="31"/>
  <c r="H216" i="31" s="1"/>
  <c r="B217" i="31"/>
  <c r="G215" i="31"/>
  <c r="H215" i="31"/>
  <c r="F215" i="31"/>
  <c r="E215" i="31"/>
  <c r="D215" i="31"/>
  <c r="S140" i="3"/>
  <c r="S141" i="31"/>
  <c r="I214" i="3"/>
  <c r="C216" i="3"/>
  <c r="F216" i="3" s="1"/>
  <c r="B217" i="3"/>
  <c r="A216" i="3"/>
  <c r="M147" i="3"/>
  <c r="R141" i="3"/>
  <c r="R142" i="31"/>
  <c r="Q142" i="3"/>
  <c r="Q143" i="31"/>
  <c r="P143" i="3"/>
  <c r="P144" i="31"/>
  <c r="N146" i="3"/>
  <c r="O146" i="31"/>
  <c r="N147" i="31"/>
  <c r="M148" i="31"/>
  <c r="L148" i="3"/>
  <c r="L149" i="31"/>
  <c r="G213" i="22"/>
  <c r="K150" i="31"/>
  <c r="K149" i="3"/>
  <c r="H212" i="19"/>
  <c r="I211" i="25"/>
  <c r="G213" i="20"/>
  <c r="D212" i="19"/>
  <c r="D212" i="13"/>
  <c r="I211" i="21"/>
  <c r="I211" i="13"/>
  <c r="I211" i="19"/>
  <c r="E212" i="19"/>
  <c r="I211" i="26"/>
  <c r="I211" i="23"/>
  <c r="F212" i="13"/>
  <c r="D212" i="23"/>
  <c r="G212" i="13"/>
  <c r="H212" i="13"/>
  <c r="E212" i="23"/>
  <c r="E212" i="24"/>
  <c r="H212" i="24"/>
  <c r="G212" i="24"/>
  <c r="F212" i="24"/>
  <c r="D212" i="24"/>
  <c r="D212" i="26"/>
  <c r="E212" i="26"/>
  <c r="G212" i="26"/>
  <c r="H212" i="26"/>
  <c r="F212" i="26"/>
  <c r="C214" i="27"/>
  <c r="H214" i="27" s="1"/>
  <c r="B215" i="27"/>
  <c r="A214" i="27"/>
  <c r="E213" i="20"/>
  <c r="B215" i="22"/>
  <c r="C214" i="22"/>
  <c r="A214" i="22"/>
  <c r="G212" i="23"/>
  <c r="C213" i="13"/>
  <c r="F213" i="13" s="1"/>
  <c r="A213" i="13"/>
  <c r="B214" i="13"/>
  <c r="I211" i="24"/>
  <c r="C213" i="21"/>
  <c r="B214" i="21"/>
  <c r="A213" i="21"/>
  <c r="I212" i="20"/>
  <c r="I212" i="22"/>
  <c r="B214" i="19"/>
  <c r="A213" i="19"/>
  <c r="C213" i="19"/>
  <c r="D213" i="19" s="1"/>
  <c r="C213" i="23"/>
  <c r="G213" i="23" s="1"/>
  <c r="B214" i="23"/>
  <c r="A213" i="23"/>
  <c r="A213" i="26"/>
  <c r="C213" i="26"/>
  <c r="E213" i="26" s="1"/>
  <c r="B214" i="26"/>
  <c r="F212" i="25"/>
  <c r="H212" i="25"/>
  <c r="A213" i="24"/>
  <c r="C213" i="24"/>
  <c r="G213" i="24" s="1"/>
  <c r="B214" i="24"/>
  <c r="B215" i="20"/>
  <c r="C214" i="20"/>
  <c r="A214" i="20"/>
  <c r="D212" i="25"/>
  <c r="G212" i="25"/>
  <c r="D212" i="21"/>
  <c r="F212" i="21"/>
  <c r="E212" i="21"/>
  <c r="H212" i="21"/>
  <c r="D213" i="20"/>
  <c r="H213" i="20"/>
  <c r="H213" i="22"/>
  <c r="D213" i="22"/>
  <c r="E213" i="22"/>
  <c r="I212" i="27"/>
  <c r="B214" i="25"/>
  <c r="A213" i="25"/>
  <c r="C213" i="25"/>
  <c r="G212" i="19"/>
  <c r="E212" i="25"/>
  <c r="G212" i="21"/>
  <c r="H213" i="27"/>
  <c r="F213" i="27"/>
  <c r="E213" i="27"/>
  <c r="D213" i="27"/>
  <c r="F212" i="23"/>
  <c r="I215" i="3" l="1"/>
  <c r="T140" i="3"/>
  <c r="J140" i="3" s="1"/>
  <c r="T141" i="31"/>
  <c r="A217" i="3"/>
  <c r="C217" i="3"/>
  <c r="G217" i="3" s="1"/>
  <c r="B218" i="3"/>
  <c r="I215" i="31"/>
  <c r="D216" i="31"/>
  <c r="F216" i="31"/>
  <c r="G216" i="31"/>
  <c r="E216" i="3"/>
  <c r="S141" i="3"/>
  <c r="S142" i="31"/>
  <c r="E216" i="31"/>
  <c r="D216" i="3"/>
  <c r="G216" i="3"/>
  <c r="H216" i="3"/>
  <c r="A217" i="31"/>
  <c r="C217" i="31"/>
  <c r="H217" i="31" s="1"/>
  <c r="B218" i="31"/>
  <c r="R142" i="3"/>
  <c r="R143" i="31"/>
  <c r="R143" i="3" s="1"/>
  <c r="Q143" i="3"/>
  <c r="Q144" i="31"/>
  <c r="O146" i="3"/>
  <c r="P145" i="31"/>
  <c r="P144" i="3"/>
  <c r="N148" i="31"/>
  <c r="N148" i="3" s="1"/>
  <c r="M149" i="31"/>
  <c r="M149" i="3" s="1"/>
  <c r="O147" i="31"/>
  <c r="N147" i="3"/>
  <c r="M148" i="3"/>
  <c r="L149" i="3"/>
  <c r="L150" i="31"/>
  <c r="D213" i="13"/>
  <c r="F213" i="23"/>
  <c r="K151" i="31"/>
  <c r="K150" i="3"/>
  <c r="E213" i="13"/>
  <c r="D213" i="23"/>
  <c r="D213" i="26"/>
  <c r="G213" i="26"/>
  <c r="H213" i="26"/>
  <c r="F213" i="19"/>
  <c r="E213" i="19"/>
  <c r="I212" i="19"/>
  <c r="I213" i="27"/>
  <c r="I212" i="24"/>
  <c r="I212" i="13"/>
  <c r="I212" i="23"/>
  <c r="I212" i="25"/>
  <c r="I212" i="26"/>
  <c r="A214" i="25"/>
  <c r="C214" i="25"/>
  <c r="F214" i="25" s="1"/>
  <c r="B215" i="25"/>
  <c r="A214" i="13"/>
  <c r="C214" i="13"/>
  <c r="G214" i="13" s="1"/>
  <c r="B215" i="13"/>
  <c r="F214" i="20"/>
  <c r="D214" i="20"/>
  <c r="H214" i="20"/>
  <c r="E214" i="20"/>
  <c r="G214" i="20"/>
  <c r="E213" i="23"/>
  <c r="A214" i="21"/>
  <c r="C214" i="21"/>
  <c r="B215" i="21"/>
  <c r="B216" i="27"/>
  <c r="A215" i="27"/>
  <c r="C215" i="27"/>
  <c r="A215" i="20"/>
  <c r="B216" i="20"/>
  <c r="C215" i="20"/>
  <c r="E215" i="20" s="1"/>
  <c r="H213" i="21"/>
  <c r="G213" i="21"/>
  <c r="F213" i="21"/>
  <c r="E213" i="21"/>
  <c r="D214" i="27"/>
  <c r="G214" i="27"/>
  <c r="E214" i="27"/>
  <c r="F214" i="27"/>
  <c r="C214" i="26"/>
  <c r="A214" i="26"/>
  <c r="B215" i="26"/>
  <c r="C214" i="23"/>
  <c r="H214" i="23" s="1"/>
  <c r="B215" i="23"/>
  <c r="A214" i="23"/>
  <c r="B215" i="19"/>
  <c r="A214" i="19"/>
  <c r="C214" i="19"/>
  <c r="G214" i="19" s="1"/>
  <c r="B215" i="24"/>
  <c r="C214" i="24"/>
  <c r="G214" i="24" s="1"/>
  <c r="A214" i="24"/>
  <c r="I213" i="22"/>
  <c r="I212" i="21"/>
  <c r="E213" i="24"/>
  <c r="D213" i="24"/>
  <c r="H213" i="24"/>
  <c r="F213" i="24"/>
  <c r="G213" i="19"/>
  <c r="G213" i="13"/>
  <c r="F214" i="22"/>
  <c r="H214" i="22"/>
  <c r="E214" i="22"/>
  <c r="D214" i="22"/>
  <c r="G214" i="22"/>
  <c r="I213" i="20"/>
  <c r="H213" i="25"/>
  <c r="F213" i="25"/>
  <c r="G213" i="25"/>
  <c r="E213" i="25"/>
  <c r="D213" i="25"/>
  <c r="H213" i="23"/>
  <c r="H213" i="19"/>
  <c r="D213" i="21"/>
  <c r="H213" i="13"/>
  <c r="B216" i="22"/>
  <c r="A215" i="22"/>
  <c r="C215" i="22"/>
  <c r="F213" i="26"/>
  <c r="E217" i="3" l="1"/>
  <c r="T141" i="3"/>
  <c r="J141" i="3" s="1"/>
  <c r="T142" i="31"/>
  <c r="J142" i="31" s="1"/>
  <c r="J141" i="31"/>
  <c r="C218" i="31"/>
  <c r="H218" i="31" s="1"/>
  <c r="A218" i="31"/>
  <c r="B219" i="31"/>
  <c r="I216" i="3"/>
  <c r="I216" i="31"/>
  <c r="S142" i="3"/>
  <c r="S143" i="31"/>
  <c r="A218" i="3"/>
  <c r="B219" i="3"/>
  <c r="C218" i="3"/>
  <c r="G217" i="31"/>
  <c r="F217" i="31"/>
  <c r="E217" i="31"/>
  <c r="D217" i="31"/>
  <c r="D217" i="3"/>
  <c r="F217" i="3"/>
  <c r="H217" i="3"/>
  <c r="R144" i="31"/>
  <c r="L150" i="3"/>
  <c r="Q144" i="3"/>
  <c r="Q145" i="31"/>
  <c r="N149" i="31"/>
  <c r="N149" i="3" s="1"/>
  <c r="P145" i="3"/>
  <c r="P146" i="31"/>
  <c r="O148" i="31"/>
  <c r="O147" i="3"/>
  <c r="M150" i="31"/>
  <c r="L151" i="31"/>
  <c r="L151" i="3" s="1"/>
  <c r="F214" i="19"/>
  <c r="K152" i="31"/>
  <c r="K151" i="3"/>
  <c r="I213" i="26"/>
  <c r="E214" i="19"/>
  <c r="E214" i="24"/>
  <c r="H214" i="25"/>
  <c r="E214" i="25"/>
  <c r="I214" i="27"/>
  <c r="I213" i="23"/>
  <c r="I214" i="20"/>
  <c r="I213" i="13"/>
  <c r="I213" i="19"/>
  <c r="E214" i="23"/>
  <c r="E214" i="13"/>
  <c r="H214" i="19"/>
  <c r="G214" i="23"/>
  <c r="F214" i="13"/>
  <c r="D214" i="19"/>
  <c r="D214" i="13"/>
  <c r="H214" i="13"/>
  <c r="H214" i="21"/>
  <c r="E214" i="21"/>
  <c r="G214" i="21"/>
  <c r="D214" i="21"/>
  <c r="F214" i="21"/>
  <c r="I213" i="21"/>
  <c r="D214" i="23"/>
  <c r="D215" i="20"/>
  <c r="G215" i="20"/>
  <c r="H215" i="20"/>
  <c r="F215" i="20"/>
  <c r="B217" i="20"/>
  <c r="A216" i="20"/>
  <c r="C216" i="20"/>
  <c r="G216" i="20" s="1"/>
  <c r="A215" i="25"/>
  <c r="B216" i="25"/>
  <c r="C215" i="25"/>
  <c r="G215" i="25" s="1"/>
  <c r="B216" i="23"/>
  <c r="A215" i="23"/>
  <c r="C215" i="23"/>
  <c r="E215" i="23" s="1"/>
  <c r="D214" i="25"/>
  <c r="G214" i="25"/>
  <c r="C216" i="22"/>
  <c r="E216" i="22" s="1"/>
  <c r="A216" i="22"/>
  <c r="B217" i="22"/>
  <c r="I213" i="25"/>
  <c r="F214" i="24"/>
  <c r="D214" i="24"/>
  <c r="D215" i="22"/>
  <c r="H215" i="22"/>
  <c r="G215" i="22"/>
  <c r="E215" i="22"/>
  <c r="F215" i="22"/>
  <c r="I214" i="22"/>
  <c r="I213" i="24"/>
  <c r="C215" i="24"/>
  <c r="B216" i="24"/>
  <c r="A215" i="24"/>
  <c r="B216" i="19"/>
  <c r="C215" i="19"/>
  <c r="D215" i="19" s="1"/>
  <c r="A215" i="19"/>
  <c r="A215" i="26"/>
  <c r="C215" i="26"/>
  <c r="B216" i="26"/>
  <c r="H214" i="24"/>
  <c r="H214" i="26"/>
  <c r="E214" i="26"/>
  <c r="F214" i="26"/>
  <c r="G214" i="26"/>
  <c r="D214" i="26"/>
  <c r="B216" i="21"/>
  <c r="A215" i="21"/>
  <c r="C215" i="21"/>
  <c r="H215" i="21" s="1"/>
  <c r="F215" i="27"/>
  <c r="G215" i="27"/>
  <c r="D215" i="27"/>
  <c r="H215" i="27"/>
  <c r="E215" i="27"/>
  <c r="F214" i="23"/>
  <c r="B217" i="27"/>
  <c r="C216" i="27"/>
  <c r="A216" i="27"/>
  <c r="A215" i="13"/>
  <c r="C215" i="13"/>
  <c r="D215" i="13" s="1"/>
  <c r="B216" i="13"/>
  <c r="I217" i="31" l="1"/>
  <c r="F218" i="31"/>
  <c r="O148" i="3"/>
  <c r="T142" i="3"/>
  <c r="J142" i="3" s="1"/>
  <c r="H46" i="2" s="1"/>
  <c r="I46" i="2" s="1"/>
  <c r="A47" i="2" s="1"/>
  <c r="T143" i="31"/>
  <c r="S143" i="3"/>
  <c r="S144" i="31"/>
  <c r="C219" i="31"/>
  <c r="H219" i="31" s="1"/>
  <c r="B220" i="31"/>
  <c r="A219" i="31"/>
  <c r="E218" i="3"/>
  <c r="D218" i="3"/>
  <c r="G218" i="3"/>
  <c r="F218" i="3"/>
  <c r="H218" i="3"/>
  <c r="D218" i="31"/>
  <c r="I217" i="3"/>
  <c r="E218" i="31"/>
  <c r="G218" i="31"/>
  <c r="A219" i="3"/>
  <c r="C219" i="3"/>
  <c r="B220" i="3"/>
  <c r="R144" i="3"/>
  <c r="R145" i="31"/>
  <c r="N150" i="31"/>
  <c r="Q145" i="3"/>
  <c r="Q146" i="31"/>
  <c r="O149" i="31"/>
  <c r="P146" i="3"/>
  <c r="P147" i="31"/>
  <c r="M150" i="3"/>
  <c r="M151" i="31"/>
  <c r="M151" i="3" s="1"/>
  <c r="L152" i="31"/>
  <c r="E215" i="13"/>
  <c r="K153" i="31"/>
  <c r="K152" i="3"/>
  <c r="D216" i="20"/>
  <c r="G216" i="22"/>
  <c r="I214" i="19"/>
  <c r="I214" i="13"/>
  <c r="I214" i="21"/>
  <c r="I214" i="24"/>
  <c r="G215" i="23"/>
  <c r="H215" i="23"/>
  <c r="I215" i="27"/>
  <c r="G215" i="19"/>
  <c r="D215" i="23"/>
  <c r="F215" i="23"/>
  <c r="A216" i="21"/>
  <c r="B217" i="21"/>
  <c r="C216" i="21"/>
  <c r="E216" i="21" s="1"/>
  <c r="G215" i="26"/>
  <c r="H215" i="26"/>
  <c r="E215" i="26"/>
  <c r="D215" i="26"/>
  <c r="F215" i="26"/>
  <c r="A216" i="19"/>
  <c r="C216" i="19"/>
  <c r="H216" i="19" s="1"/>
  <c r="B217" i="19"/>
  <c r="C217" i="22"/>
  <c r="A217" i="22"/>
  <c r="B218" i="22"/>
  <c r="E216" i="20"/>
  <c r="F216" i="20"/>
  <c r="I215" i="20"/>
  <c r="F215" i="21"/>
  <c r="E215" i="21"/>
  <c r="A216" i="25"/>
  <c r="B217" i="25"/>
  <c r="C216" i="25"/>
  <c r="H216" i="25" s="1"/>
  <c r="G215" i="13"/>
  <c r="I214" i="26"/>
  <c r="I214" i="23"/>
  <c r="B217" i="13"/>
  <c r="C216" i="13"/>
  <c r="F216" i="13" s="1"/>
  <c r="A216" i="13"/>
  <c r="C216" i="26"/>
  <c r="H216" i="26" s="1"/>
  <c r="A216" i="26"/>
  <c r="B217" i="26"/>
  <c r="H215" i="13"/>
  <c r="E215" i="19"/>
  <c r="C216" i="24"/>
  <c r="H216" i="24" s="1"/>
  <c r="B217" i="24"/>
  <c r="A216" i="24"/>
  <c r="I215" i="22"/>
  <c r="C217" i="20"/>
  <c r="A217" i="20"/>
  <c r="B218" i="20"/>
  <c r="F215" i="13"/>
  <c r="A217" i="27"/>
  <c r="C217" i="27"/>
  <c r="B218" i="27"/>
  <c r="F215" i="19"/>
  <c r="G215" i="24"/>
  <c r="H215" i="24"/>
  <c r="E215" i="24"/>
  <c r="D215" i="24"/>
  <c r="F215" i="24"/>
  <c r="H216" i="20"/>
  <c r="C216" i="23"/>
  <c r="D216" i="23" s="1"/>
  <c r="B217" i="23"/>
  <c r="A216" i="23"/>
  <c r="D215" i="21"/>
  <c r="F216" i="22"/>
  <c r="G215" i="21"/>
  <c r="E216" i="27"/>
  <c r="H216" i="27"/>
  <c r="G216" i="27"/>
  <c r="D216" i="27"/>
  <c r="F216" i="27"/>
  <c r="H215" i="19"/>
  <c r="H215" i="25"/>
  <c r="I214" i="25"/>
  <c r="E215" i="25"/>
  <c r="H216" i="22"/>
  <c r="D215" i="25"/>
  <c r="F215" i="25"/>
  <c r="D216" i="22"/>
  <c r="E47" i="2" l="1"/>
  <c r="D47" i="2"/>
  <c r="C47" i="2"/>
  <c r="B47" i="2"/>
  <c r="G47" i="2"/>
  <c r="F47" i="2"/>
  <c r="T143" i="3"/>
  <c r="J143" i="3" s="1"/>
  <c r="T144" i="31"/>
  <c r="J144" i="31" s="1"/>
  <c r="I218" i="31"/>
  <c r="J143" i="31"/>
  <c r="I218" i="3"/>
  <c r="E219" i="31"/>
  <c r="C220" i="3"/>
  <c r="D220" i="3" s="1"/>
  <c r="A220" i="3"/>
  <c r="B221" i="3"/>
  <c r="F219" i="31"/>
  <c r="D219" i="31"/>
  <c r="S144" i="3"/>
  <c r="S145" i="31"/>
  <c r="G219" i="3"/>
  <c r="F219" i="3"/>
  <c r="D219" i="3"/>
  <c r="H219" i="3"/>
  <c r="E219" i="3"/>
  <c r="G219" i="31"/>
  <c r="A220" i="31"/>
  <c r="C220" i="31"/>
  <c r="F220" i="31" s="1"/>
  <c r="B221" i="31"/>
  <c r="R145" i="3"/>
  <c r="R146" i="31"/>
  <c r="O149" i="3"/>
  <c r="Q146" i="3"/>
  <c r="Q147" i="31"/>
  <c r="O150" i="31"/>
  <c r="O150" i="3" s="1"/>
  <c r="N150" i="3"/>
  <c r="P147" i="3"/>
  <c r="P148" i="31"/>
  <c r="N151" i="31"/>
  <c r="M152" i="31"/>
  <c r="L152" i="3"/>
  <c r="L153" i="31"/>
  <c r="K154" i="31"/>
  <c r="K153" i="3"/>
  <c r="E216" i="13"/>
  <c r="I215" i="19"/>
  <c r="I215" i="23"/>
  <c r="I216" i="20"/>
  <c r="G216" i="23"/>
  <c r="D216" i="13"/>
  <c r="H216" i="23"/>
  <c r="I215" i="13"/>
  <c r="F216" i="23"/>
  <c r="E216" i="23"/>
  <c r="I215" i="21"/>
  <c r="I216" i="27"/>
  <c r="F216" i="25"/>
  <c r="A218" i="22"/>
  <c r="B219" i="22"/>
  <c r="C218" i="22"/>
  <c r="H218" i="22" s="1"/>
  <c r="I215" i="24"/>
  <c r="H217" i="20"/>
  <c r="D217" i="20"/>
  <c r="F217" i="20"/>
  <c r="B218" i="25"/>
  <c r="A217" i="25"/>
  <c r="C217" i="25"/>
  <c r="F217" i="25" s="1"/>
  <c r="G217" i="22"/>
  <c r="D217" i="22"/>
  <c r="H217" i="22"/>
  <c r="E217" i="22"/>
  <c r="E217" i="27"/>
  <c r="F217" i="27"/>
  <c r="H217" i="27"/>
  <c r="D217" i="27"/>
  <c r="G217" i="27"/>
  <c r="A218" i="20"/>
  <c r="C218" i="20"/>
  <c r="F218" i="20" s="1"/>
  <c r="B219" i="20"/>
  <c r="B218" i="26"/>
  <c r="A217" i="26"/>
  <c r="C217" i="26"/>
  <c r="D217" i="26" s="1"/>
  <c r="F216" i="26"/>
  <c r="G216" i="26"/>
  <c r="D216" i="26"/>
  <c r="B218" i="13"/>
  <c r="C217" i="13"/>
  <c r="G217" i="13" s="1"/>
  <c r="A217" i="13"/>
  <c r="E216" i="19"/>
  <c r="I215" i="26"/>
  <c r="D216" i="25"/>
  <c r="C217" i="21"/>
  <c r="A217" i="21"/>
  <c r="B218" i="21"/>
  <c r="G217" i="20"/>
  <c r="A217" i="24"/>
  <c r="B218" i="24"/>
  <c r="C217" i="24"/>
  <c r="F216" i="19"/>
  <c r="E216" i="25"/>
  <c r="E217" i="20"/>
  <c r="B218" i="23"/>
  <c r="A217" i="23"/>
  <c r="C217" i="23"/>
  <c r="E217" i="23" s="1"/>
  <c r="F217" i="22"/>
  <c r="D216" i="24"/>
  <c r="E216" i="24"/>
  <c r="G216" i="24"/>
  <c r="G216" i="13"/>
  <c r="D216" i="19"/>
  <c r="F216" i="24"/>
  <c r="I216" i="22"/>
  <c r="G216" i="25"/>
  <c r="I215" i="25"/>
  <c r="B219" i="27"/>
  <c r="C218" i="27"/>
  <c r="A218" i="27"/>
  <c r="E216" i="26"/>
  <c r="H216" i="13"/>
  <c r="G216" i="19"/>
  <c r="C217" i="19"/>
  <c r="F217" i="19" s="1"/>
  <c r="B218" i="19"/>
  <c r="A217" i="19"/>
  <c r="H216" i="21"/>
  <c r="D216" i="21"/>
  <c r="F216" i="21"/>
  <c r="G216" i="21"/>
  <c r="G220" i="31" l="1"/>
  <c r="H220" i="31"/>
  <c r="E220" i="31"/>
  <c r="T144" i="3"/>
  <c r="J144" i="3" s="1"/>
  <c r="T145" i="31"/>
  <c r="I219" i="31"/>
  <c r="B222" i="3"/>
  <c r="A221" i="3"/>
  <c r="C221" i="3"/>
  <c r="E221" i="3" s="1"/>
  <c r="B222" i="31"/>
  <c r="C221" i="31"/>
  <c r="A221" i="31"/>
  <c r="I219" i="3"/>
  <c r="E220" i="3"/>
  <c r="F220" i="3"/>
  <c r="H220" i="3"/>
  <c r="S145" i="3"/>
  <c r="S146" i="31"/>
  <c r="D220" i="31"/>
  <c r="N151" i="3"/>
  <c r="G220" i="3"/>
  <c r="R146" i="3"/>
  <c r="R147" i="31"/>
  <c r="Q147" i="3"/>
  <c r="Q148" i="31"/>
  <c r="P148" i="3"/>
  <c r="P149" i="31"/>
  <c r="O151" i="31"/>
  <c r="M152" i="3"/>
  <c r="N152" i="31"/>
  <c r="N152" i="3" s="1"/>
  <c r="L153" i="3"/>
  <c r="M153" i="31"/>
  <c r="L154" i="31"/>
  <c r="D218" i="22"/>
  <c r="D218" i="20"/>
  <c r="H217" i="13"/>
  <c r="K154" i="3"/>
  <c r="K155" i="31"/>
  <c r="G218" i="20"/>
  <c r="E217" i="13"/>
  <c r="E217" i="26"/>
  <c r="F217" i="26"/>
  <c r="E217" i="19"/>
  <c r="D217" i="19"/>
  <c r="I216" i="23"/>
  <c r="I216" i="26"/>
  <c r="I216" i="13"/>
  <c r="A219" i="27"/>
  <c r="B220" i="27"/>
  <c r="C219" i="27"/>
  <c r="E219" i="27" s="1"/>
  <c r="I216" i="24"/>
  <c r="D217" i="21"/>
  <c r="H217" i="21"/>
  <c r="G217" i="21"/>
  <c r="H217" i="26"/>
  <c r="G217" i="26"/>
  <c r="E217" i="25"/>
  <c r="H217" i="25"/>
  <c r="H217" i="24"/>
  <c r="D217" i="24"/>
  <c r="F217" i="24"/>
  <c r="I216" i="25"/>
  <c r="F218" i="22"/>
  <c r="C218" i="19"/>
  <c r="F218" i="19" s="1"/>
  <c r="B219" i="19"/>
  <c r="A218" i="19"/>
  <c r="E218" i="22"/>
  <c r="B219" i="23"/>
  <c r="A218" i="23"/>
  <c r="C218" i="23"/>
  <c r="F218" i="23" s="1"/>
  <c r="A219" i="22"/>
  <c r="C219" i="22"/>
  <c r="B220" i="22"/>
  <c r="I216" i="21"/>
  <c r="G217" i="25"/>
  <c r="D217" i="23"/>
  <c r="E217" i="24"/>
  <c r="B219" i="24"/>
  <c r="A218" i="24"/>
  <c r="C218" i="24"/>
  <c r="C218" i="13"/>
  <c r="H218" i="13" s="1"/>
  <c r="B219" i="13"/>
  <c r="A218" i="13"/>
  <c r="B219" i="26"/>
  <c r="C218" i="26"/>
  <c r="A218" i="26"/>
  <c r="B219" i="25"/>
  <c r="A218" i="25"/>
  <c r="C218" i="25"/>
  <c r="H217" i="23"/>
  <c r="H217" i="19"/>
  <c r="G218" i="22"/>
  <c r="I216" i="19"/>
  <c r="G217" i="23"/>
  <c r="G217" i="24"/>
  <c r="D217" i="13"/>
  <c r="E218" i="20"/>
  <c r="H218" i="20"/>
  <c r="I217" i="20"/>
  <c r="H218" i="27"/>
  <c r="D218" i="27"/>
  <c r="E218" i="27"/>
  <c r="F218" i="27"/>
  <c r="G218" i="27"/>
  <c r="B219" i="21"/>
  <c r="A218" i="21"/>
  <c r="C218" i="21"/>
  <c r="F218" i="21" s="1"/>
  <c r="I217" i="27"/>
  <c r="C219" i="20"/>
  <c r="A219" i="20"/>
  <c r="B220" i="20"/>
  <c r="G217" i="19"/>
  <c r="F217" i="23"/>
  <c r="E217" i="21"/>
  <c r="D217" i="25"/>
  <c r="F217" i="13"/>
  <c r="I217" i="22"/>
  <c r="F217" i="21"/>
  <c r="G221" i="3" l="1"/>
  <c r="T145" i="3"/>
  <c r="J145" i="3" s="1"/>
  <c r="T146" i="31"/>
  <c r="J146" i="31" s="1"/>
  <c r="J145" i="31"/>
  <c r="I220" i="3"/>
  <c r="I220" i="31"/>
  <c r="S146" i="3"/>
  <c r="S147" i="31"/>
  <c r="F221" i="31"/>
  <c r="E221" i="31"/>
  <c r="B223" i="3"/>
  <c r="A222" i="3"/>
  <c r="C222" i="3"/>
  <c r="E222" i="3" s="1"/>
  <c r="G221" i="31"/>
  <c r="B223" i="31"/>
  <c r="A222" i="31"/>
  <c r="C222" i="31"/>
  <c r="H221" i="31"/>
  <c r="F221" i="3"/>
  <c r="D221" i="3"/>
  <c r="H221" i="3"/>
  <c r="D221" i="31"/>
  <c r="R147" i="3"/>
  <c r="R148" i="31"/>
  <c r="Q148" i="3"/>
  <c r="Q149" i="31"/>
  <c r="P149" i="3"/>
  <c r="P150" i="31"/>
  <c r="O152" i="31"/>
  <c r="O152" i="3" s="1"/>
  <c r="O151" i="3"/>
  <c r="M153" i="3"/>
  <c r="N153" i="31"/>
  <c r="L154" i="3"/>
  <c r="M154" i="31"/>
  <c r="F218" i="13"/>
  <c r="L155" i="31"/>
  <c r="K156" i="31"/>
  <c r="K155" i="3"/>
  <c r="G218" i="13"/>
  <c r="D218" i="13"/>
  <c r="E218" i="13"/>
  <c r="I217" i="13"/>
  <c r="I217" i="26"/>
  <c r="I217" i="19"/>
  <c r="I218" i="22"/>
  <c r="D218" i="19"/>
  <c r="A220" i="22"/>
  <c r="B221" i="22"/>
  <c r="C220" i="22"/>
  <c r="D220" i="22" s="1"/>
  <c r="C219" i="19"/>
  <c r="D219" i="19" s="1"/>
  <c r="A219" i="19"/>
  <c r="B220" i="19"/>
  <c r="A219" i="21"/>
  <c r="C219" i="21"/>
  <c r="B220" i="21"/>
  <c r="I218" i="20"/>
  <c r="G219" i="27"/>
  <c r="A219" i="24"/>
  <c r="B220" i="24"/>
  <c r="C219" i="24"/>
  <c r="F219" i="22"/>
  <c r="G219" i="22"/>
  <c r="E219" i="22"/>
  <c r="H219" i="22"/>
  <c r="D219" i="22"/>
  <c r="C219" i="23"/>
  <c r="F219" i="23" s="1"/>
  <c r="A219" i="23"/>
  <c r="B220" i="23"/>
  <c r="A220" i="27"/>
  <c r="B221" i="27"/>
  <c r="C220" i="27"/>
  <c r="H218" i="21"/>
  <c r="D218" i="21"/>
  <c r="E218" i="24"/>
  <c r="F218" i="24"/>
  <c r="G218" i="24"/>
  <c r="H218" i="24"/>
  <c r="D218" i="24"/>
  <c r="H218" i="25"/>
  <c r="E218" i="25"/>
  <c r="F218" i="25"/>
  <c r="D218" i="25"/>
  <c r="G218" i="25"/>
  <c r="I217" i="23"/>
  <c r="H218" i="23"/>
  <c r="G218" i="19"/>
  <c r="B220" i="26"/>
  <c r="C219" i="26"/>
  <c r="D219" i="26" s="1"/>
  <c r="A219" i="26"/>
  <c r="B221" i="20"/>
  <c r="A220" i="20"/>
  <c r="C220" i="20"/>
  <c r="H220" i="20" s="1"/>
  <c r="D219" i="20"/>
  <c r="E219" i="20"/>
  <c r="F219" i="20"/>
  <c r="G219" i="20"/>
  <c r="A219" i="25"/>
  <c r="B220" i="25"/>
  <c r="C219" i="25"/>
  <c r="E218" i="23"/>
  <c r="I217" i="25"/>
  <c r="E218" i="21"/>
  <c r="I218" i="27"/>
  <c r="A219" i="13"/>
  <c r="B220" i="13"/>
  <c r="C219" i="13"/>
  <c r="F219" i="13" s="1"/>
  <c r="F219" i="27"/>
  <c r="G218" i="23"/>
  <c r="E218" i="19"/>
  <c r="I217" i="24"/>
  <c r="G218" i="21"/>
  <c r="G218" i="26"/>
  <c r="F218" i="26"/>
  <c r="E218" i="26"/>
  <c r="H218" i="26"/>
  <c r="D218" i="26"/>
  <c r="D219" i="27"/>
  <c r="D218" i="23"/>
  <c r="H218" i="19"/>
  <c r="I217" i="21"/>
  <c r="H219" i="20"/>
  <c r="H219" i="27"/>
  <c r="H222" i="3" l="1"/>
  <c r="T146" i="3"/>
  <c r="J146" i="3" s="1"/>
  <c r="T147" i="31"/>
  <c r="A223" i="3"/>
  <c r="B224" i="3"/>
  <c r="C223" i="3"/>
  <c r="E223" i="3" s="1"/>
  <c r="S147" i="3"/>
  <c r="S148" i="31"/>
  <c r="I221" i="31"/>
  <c r="H222" i="31"/>
  <c r="E222" i="31"/>
  <c r="F222" i="31"/>
  <c r="D222" i="31"/>
  <c r="F222" i="3"/>
  <c r="G222" i="3"/>
  <c r="D222" i="3"/>
  <c r="C223" i="31"/>
  <c r="D223" i="31" s="1"/>
  <c r="A223" i="31"/>
  <c r="B224" i="31"/>
  <c r="I221" i="3"/>
  <c r="G222" i="31"/>
  <c r="R148" i="3"/>
  <c r="R149" i="31"/>
  <c r="Q149" i="3"/>
  <c r="Q150" i="31"/>
  <c r="Q150" i="3" s="1"/>
  <c r="N153" i="3"/>
  <c r="P150" i="3"/>
  <c r="P151" i="31"/>
  <c r="O153" i="31"/>
  <c r="M154" i="3"/>
  <c r="N154" i="31"/>
  <c r="L155" i="3"/>
  <c r="M155" i="31"/>
  <c r="L156" i="31"/>
  <c r="I218" i="13"/>
  <c r="D219" i="13"/>
  <c r="K157" i="31"/>
  <c r="K156" i="3"/>
  <c r="G219" i="13"/>
  <c r="H219" i="13"/>
  <c r="I218" i="19"/>
  <c r="E219" i="26"/>
  <c r="I219" i="27"/>
  <c r="H219" i="23"/>
  <c r="I218" i="26"/>
  <c r="I218" i="25"/>
  <c r="D219" i="23"/>
  <c r="E219" i="23"/>
  <c r="I218" i="21"/>
  <c r="I219" i="20"/>
  <c r="D220" i="27"/>
  <c r="G220" i="27"/>
  <c r="E220" i="27"/>
  <c r="H220" i="27"/>
  <c r="F220" i="27"/>
  <c r="B221" i="23"/>
  <c r="C220" i="23"/>
  <c r="G220" i="23" s="1"/>
  <c r="A220" i="23"/>
  <c r="F219" i="24"/>
  <c r="D219" i="24"/>
  <c r="E219" i="24"/>
  <c r="H219" i="24"/>
  <c r="G219" i="24"/>
  <c r="E220" i="22"/>
  <c r="G220" i="22"/>
  <c r="A220" i="26"/>
  <c r="B221" i="26"/>
  <c r="C220" i="26"/>
  <c r="G220" i="26" s="1"/>
  <c r="H219" i="21"/>
  <c r="E219" i="21"/>
  <c r="G219" i="21"/>
  <c r="F219" i="21"/>
  <c r="A220" i="13"/>
  <c r="C220" i="13"/>
  <c r="E220" i="13" s="1"/>
  <c r="B221" i="13"/>
  <c r="D220" i="20"/>
  <c r="F220" i="20"/>
  <c r="E220" i="20"/>
  <c r="I218" i="24"/>
  <c r="A221" i="27"/>
  <c r="B222" i="27"/>
  <c r="C221" i="27"/>
  <c r="B221" i="24"/>
  <c r="C220" i="24"/>
  <c r="A220" i="24"/>
  <c r="H219" i="19"/>
  <c r="C221" i="22"/>
  <c r="B222" i="22"/>
  <c r="A221" i="22"/>
  <c r="G219" i="26"/>
  <c r="F219" i="26"/>
  <c r="D219" i="21"/>
  <c r="C220" i="25"/>
  <c r="B221" i="25"/>
  <c r="A220" i="25"/>
  <c r="C221" i="20"/>
  <c r="A221" i="20"/>
  <c r="B222" i="20"/>
  <c r="H220" i="22"/>
  <c r="G219" i="23"/>
  <c r="I219" i="22"/>
  <c r="G219" i="19"/>
  <c r="H219" i="26"/>
  <c r="A220" i="21"/>
  <c r="B221" i="21"/>
  <c r="C220" i="21"/>
  <c r="G219" i="25"/>
  <c r="E219" i="25"/>
  <c r="F219" i="25"/>
  <c r="F219" i="19"/>
  <c r="I218" i="23"/>
  <c r="D219" i="25"/>
  <c r="E219" i="13"/>
  <c r="F220" i="22"/>
  <c r="E219" i="19"/>
  <c r="H219" i="25"/>
  <c r="A220" i="19"/>
  <c r="C220" i="19"/>
  <c r="G220" i="19" s="1"/>
  <c r="B221" i="19"/>
  <c r="G220" i="20"/>
  <c r="T147" i="3" l="1"/>
  <c r="J147" i="3" s="1"/>
  <c r="T148" i="31"/>
  <c r="J147" i="31"/>
  <c r="G223" i="31"/>
  <c r="H223" i="31"/>
  <c r="I222" i="31"/>
  <c r="F223" i="31"/>
  <c r="D223" i="3"/>
  <c r="G223" i="3"/>
  <c r="S148" i="3"/>
  <c r="S149" i="31"/>
  <c r="H223" i="3"/>
  <c r="B225" i="3"/>
  <c r="A224" i="3"/>
  <c r="C224" i="3"/>
  <c r="F223" i="3"/>
  <c r="E223" i="31"/>
  <c r="C224" i="31"/>
  <c r="H224" i="31" s="1"/>
  <c r="B225" i="31"/>
  <c r="A224" i="31"/>
  <c r="I222" i="3"/>
  <c r="R149" i="3"/>
  <c r="R150" i="31"/>
  <c r="M155" i="3"/>
  <c r="Q151" i="31"/>
  <c r="O153" i="3"/>
  <c r="P151" i="3"/>
  <c r="P152" i="31"/>
  <c r="N154" i="3"/>
  <c r="O154" i="31"/>
  <c r="N155" i="31"/>
  <c r="N155" i="3" s="1"/>
  <c r="M156" i="31"/>
  <c r="L156" i="3"/>
  <c r="L157" i="31"/>
  <c r="F220" i="13"/>
  <c r="K157" i="3"/>
  <c r="K158" i="31"/>
  <c r="I219" i="13"/>
  <c r="E220" i="19"/>
  <c r="H220" i="13"/>
  <c r="G220" i="13"/>
  <c r="I219" i="26"/>
  <c r="D220" i="13"/>
  <c r="I219" i="25"/>
  <c r="D220" i="23"/>
  <c r="F220" i="23"/>
  <c r="I219" i="19"/>
  <c r="I219" i="23"/>
  <c r="E220" i="23"/>
  <c r="A222" i="20"/>
  <c r="C222" i="20"/>
  <c r="G222" i="20" s="1"/>
  <c r="B223" i="20"/>
  <c r="A221" i="19"/>
  <c r="C221" i="19"/>
  <c r="F221" i="19" s="1"/>
  <c r="B222" i="19"/>
  <c r="F221" i="27"/>
  <c r="D221" i="27"/>
  <c r="G221" i="27"/>
  <c r="H221" i="27"/>
  <c r="E221" i="27"/>
  <c r="I220" i="27"/>
  <c r="B222" i="25"/>
  <c r="C221" i="25"/>
  <c r="A221" i="25"/>
  <c r="E221" i="22"/>
  <c r="F221" i="22"/>
  <c r="H221" i="22"/>
  <c r="G221" i="22"/>
  <c r="D221" i="22"/>
  <c r="C221" i="13"/>
  <c r="H221" i="13" s="1"/>
  <c r="B222" i="13"/>
  <c r="A221" i="13"/>
  <c r="H220" i="26"/>
  <c r="D220" i="26"/>
  <c r="F220" i="26"/>
  <c r="H220" i="19"/>
  <c r="H220" i="25"/>
  <c r="F220" i="25"/>
  <c r="E220" i="25"/>
  <c r="G220" i="25"/>
  <c r="D220" i="25"/>
  <c r="C221" i="26"/>
  <c r="A221" i="26"/>
  <c r="B222" i="26"/>
  <c r="I219" i="24"/>
  <c r="B222" i="23"/>
  <c r="A221" i="23"/>
  <c r="C221" i="23"/>
  <c r="E221" i="23" s="1"/>
  <c r="D220" i="21"/>
  <c r="H220" i="21"/>
  <c r="B222" i="24"/>
  <c r="C221" i="24"/>
  <c r="D221" i="24" s="1"/>
  <c r="A221" i="24"/>
  <c r="E221" i="20"/>
  <c r="F221" i="20"/>
  <c r="H221" i="20"/>
  <c r="D221" i="20"/>
  <c r="G221" i="20"/>
  <c r="B223" i="27"/>
  <c r="C222" i="27"/>
  <c r="G222" i="27" s="1"/>
  <c r="A222" i="27"/>
  <c r="A222" i="22"/>
  <c r="B223" i="22"/>
  <c r="C222" i="22"/>
  <c r="D222" i="22" s="1"/>
  <c r="D220" i="19"/>
  <c r="I219" i="21"/>
  <c r="G220" i="21"/>
  <c r="C221" i="21"/>
  <c r="B222" i="21"/>
  <c r="A221" i="21"/>
  <c r="I220" i="22"/>
  <c r="E220" i="21"/>
  <c r="F220" i="19"/>
  <c r="E220" i="26"/>
  <c r="G220" i="24"/>
  <c r="D220" i="24"/>
  <c r="F220" i="24"/>
  <c r="H220" i="24"/>
  <c r="E220" i="24"/>
  <c r="I220" i="20"/>
  <c r="F220" i="21"/>
  <c r="H220" i="23"/>
  <c r="I223" i="31" l="1"/>
  <c r="I223" i="3"/>
  <c r="T148" i="3"/>
  <c r="J148" i="3" s="1"/>
  <c r="T149" i="31"/>
  <c r="J149" i="31" s="1"/>
  <c r="J148" i="31"/>
  <c r="E224" i="31"/>
  <c r="G224" i="3"/>
  <c r="E224" i="3"/>
  <c r="H224" i="3"/>
  <c r="B226" i="31"/>
  <c r="A225" i="31"/>
  <c r="C225" i="31"/>
  <c r="D225" i="31" s="1"/>
  <c r="S149" i="3"/>
  <c r="S150" i="31"/>
  <c r="G224" i="31"/>
  <c r="B226" i="3"/>
  <c r="A225" i="3"/>
  <c r="C225" i="3"/>
  <c r="E225" i="3" s="1"/>
  <c r="F224" i="3"/>
  <c r="F224" i="31"/>
  <c r="D224" i="3"/>
  <c r="D224" i="31"/>
  <c r="R150" i="3"/>
  <c r="R151" i="31"/>
  <c r="Q151" i="3"/>
  <c r="Q152" i="31"/>
  <c r="O154" i="3"/>
  <c r="P152" i="3"/>
  <c r="P153" i="31"/>
  <c r="N156" i="31"/>
  <c r="O155" i="31"/>
  <c r="M156" i="3"/>
  <c r="L157" i="3"/>
  <c r="M157" i="31"/>
  <c r="L158" i="31"/>
  <c r="H221" i="23"/>
  <c r="K159" i="31"/>
  <c r="K158" i="3"/>
  <c r="I220" i="13"/>
  <c r="G221" i="13"/>
  <c r="F221" i="13"/>
  <c r="D221" i="13"/>
  <c r="E221" i="13"/>
  <c r="D221" i="19"/>
  <c r="D222" i="27"/>
  <c r="E221" i="19"/>
  <c r="I220" i="25"/>
  <c r="I221" i="22"/>
  <c r="I220" i="23"/>
  <c r="I221" i="27"/>
  <c r="H222" i="20"/>
  <c r="F222" i="20"/>
  <c r="G221" i="19"/>
  <c r="H221" i="19"/>
  <c r="I220" i="24"/>
  <c r="B224" i="27"/>
  <c r="C223" i="27"/>
  <c r="D223" i="27" s="1"/>
  <c r="A223" i="27"/>
  <c r="C222" i="24"/>
  <c r="D222" i="24" s="1"/>
  <c r="A222" i="24"/>
  <c r="B223" i="24"/>
  <c r="I220" i="19"/>
  <c r="B223" i="23"/>
  <c r="C222" i="23"/>
  <c r="F222" i="23" s="1"/>
  <c r="A222" i="23"/>
  <c r="A223" i="20"/>
  <c r="B224" i="20"/>
  <c r="C223" i="20"/>
  <c r="F221" i="24"/>
  <c r="I221" i="20"/>
  <c r="I220" i="21"/>
  <c r="E222" i="20"/>
  <c r="D222" i="20"/>
  <c r="H222" i="27"/>
  <c r="E222" i="27"/>
  <c r="H222" i="22"/>
  <c r="E222" i="22"/>
  <c r="F222" i="22"/>
  <c r="G222" i="22"/>
  <c r="D221" i="23"/>
  <c r="G221" i="24"/>
  <c r="B224" i="22"/>
  <c r="C223" i="22"/>
  <c r="A223" i="22"/>
  <c r="F221" i="23"/>
  <c r="B223" i="13"/>
  <c r="C222" i="13"/>
  <c r="D222" i="13" s="1"/>
  <c r="A222" i="13"/>
  <c r="H221" i="25"/>
  <c r="E221" i="25"/>
  <c r="D221" i="25"/>
  <c r="G221" i="25"/>
  <c r="F221" i="25"/>
  <c r="A222" i="19"/>
  <c r="C222" i="19"/>
  <c r="D222" i="19" s="1"/>
  <c r="B223" i="19"/>
  <c r="H221" i="24"/>
  <c r="D221" i="21"/>
  <c r="F221" i="21"/>
  <c r="E221" i="21"/>
  <c r="H221" i="21"/>
  <c r="A222" i="26"/>
  <c r="C222" i="26"/>
  <c r="H222" i="26" s="1"/>
  <c r="B223" i="26"/>
  <c r="E221" i="24"/>
  <c r="B223" i="21"/>
  <c r="C222" i="21"/>
  <c r="A222" i="21"/>
  <c r="G221" i="23"/>
  <c r="E221" i="26"/>
  <c r="G221" i="26"/>
  <c r="F221" i="26"/>
  <c r="D221" i="26"/>
  <c r="H221" i="26"/>
  <c r="I220" i="26"/>
  <c r="B223" i="25"/>
  <c r="A222" i="25"/>
  <c r="C222" i="25"/>
  <c r="F222" i="27"/>
  <c r="G221" i="21"/>
  <c r="G225" i="31" l="1"/>
  <c r="T149" i="3"/>
  <c r="J149" i="3" s="1"/>
  <c r="T150" i="31"/>
  <c r="B227" i="31"/>
  <c r="A226" i="31"/>
  <c r="C226" i="31"/>
  <c r="S150" i="3"/>
  <c r="S151" i="31"/>
  <c r="I224" i="3"/>
  <c r="C226" i="3"/>
  <c r="A226" i="3"/>
  <c r="B227" i="3"/>
  <c r="I224" i="31"/>
  <c r="E225" i="31"/>
  <c r="F225" i="31"/>
  <c r="H225" i="31"/>
  <c r="G225" i="3"/>
  <c r="D225" i="3"/>
  <c r="F225" i="3"/>
  <c r="H225" i="3"/>
  <c r="R151" i="3"/>
  <c r="R152" i="31"/>
  <c r="Q152" i="3"/>
  <c r="Q153" i="31"/>
  <c r="Q153" i="3" s="1"/>
  <c r="O155" i="3"/>
  <c r="P153" i="3"/>
  <c r="P154" i="31"/>
  <c r="N156" i="3"/>
  <c r="O156" i="31"/>
  <c r="M157" i="3"/>
  <c r="N157" i="31"/>
  <c r="L158" i="3"/>
  <c r="M158" i="31"/>
  <c r="L159" i="31"/>
  <c r="L159" i="3" s="1"/>
  <c r="E222" i="13"/>
  <c r="I221" i="13"/>
  <c r="G222" i="19"/>
  <c r="H222" i="13"/>
  <c r="K160" i="31"/>
  <c r="K159" i="3"/>
  <c r="E223" i="27"/>
  <c r="I221" i="19"/>
  <c r="I222" i="27"/>
  <c r="I221" i="26"/>
  <c r="I221" i="24"/>
  <c r="I221" i="21"/>
  <c r="G222" i="23"/>
  <c r="H222" i="19"/>
  <c r="D222" i="23"/>
  <c r="F222" i="19"/>
  <c r="E222" i="19"/>
  <c r="I222" i="22"/>
  <c r="A224" i="22"/>
  <c r="C224" i="22"/>
  <c r="D224" i="22" s="1"/>
  <c r="B225" i="22"/>
  <c r="F222" i="24"/>
  <c r="D222" i="25"/>
  <c r="E222" i="25"/>
  <c r="F222" i="25"/>
  <c r="G222" i="25"/>
  <c r="H222" i="25"/>
  <c r="E222" i="26"/>
  <c r="F222" i="26"/>
  <c r="G222" i="26"/>
  <c r="I221" i="25"/>
  <c r="D223" i="20"/>
  <c r="E223" i="20"/>
  <c r="H223" i="20"/>
  <c r="F223" i="20"/>
  <c r="G223" i="20"/>
  <c r="H223" i="27"/>
  <c r="G223" i="27"/>
  <c r="F223" i="27"/>
  <c r="E222" i="24"/>
  <c r="G222" i="24"/>
  <c r="A223" i="13"/>
  <c r="B224" i="13"/>
  <c r="C223" i="13"/>
  <c r="H223" i="13" s="1"/>
  <c r="I221" i="23"/>
  <c r="I222" i="20"/>
  <c r="C224" i="20"/>
  <c r="B225" i="20"/>
  <c r="A224" i="20"/>
  <c r="C223" i="23"/>
  <c r="H223" i="23" s="1"/>
  <c r="B224" i="23"/>
  <c r="A223" i="23"/>
  <c r="B225" i="27"/>
  <c r="A224" i="27"/>
  <c r="C224" i="27"/>
  <c r="H222" i="21"/>
  <c r="F222" i="21"/>
  <c r="G222" i="21"/>
  <c r="D222" i="21"/>
  <c r="E222" i="21"/>
  <c r="C223" i="19"/>
  <c r="G223" i="19" s="1"/>
  <c r="B224" i="19"/>
  <c r="A223" i="19"/>
  <c r="F222" i="13"/>
  <c r="H222" i="23"/>
  <c r="H222" i="24"/>
  <c r="A223" i="26"/>
  <c r="C223" i="26"/>
  <c r="B224" i="26"/>
  <c r="B224" i="25"/>
  <c r="C223" i="25"/>
  <c r="G223" i="25" s="1"/>
  <c r="A223" i="25"/>
  <c r="C223" i="21"/>
  <c r="B224" i="21"/>
  <c r="A223" i="21"/>
  <c r="G222" i="13"/>
  <c r="H223" i="22"/>
  <c r="E223" i="22"/>
  <c r="F223" i="22"/>
  <c r="D223" i="22"/>
  <c r="G223" i="22"/>
  <c r="E222" i="23"/>
  <c r="A223" i="24"/>
  <c r="C223" i="24"/>
  <c r="B224" i="24"/>
  <c r="D222" i="26"/>
  <c r="I225" i="3" l="1"/>
  <c r="T150" i="3"/>
  <c r="J150" i="3" s="1"/>
  <c r="T151" i="31"/>
  <c r="J150" i="31"/>
  <c r="H226" i="31"/>
  <c r="G226" i="31"/>
  <c r="I225" i="31"/>
  <c r="F226" i="31"/>
  <c r="D226" i="31"/>
  <c r="E226" i="31"/>
  <c r="A227" i="31"/>
  <c r="B228" i="31"/>
  <c r="C227" i="31"/>
  <c r="H227" i="31" s="1"/>
  <c r="D226" i="3"/>
  <c r="E226" i="3"/>
  <c r="H226" i="3"/>
  <c r="G226" i="3"/>
  <c r="F226" i="3"/>
  <c r="S151" i="3"/>
  <c r="S152" i="31"/>
  <c r="A227" i="3"/>
  <c r="B228" i="3"/>
  <c r="C227" i="3"/>
  <c r="G227" i="3" s="1"/>
  <c r="R152" i="3"/>
  <c r="R153" i="31"/>
  <c r="Q154" i="31"/>
  <c r="P154" i="3"/>
  <c r="P155" i="31"/>
  <c r="O156" i="3"/>
  <c r="N157" i="3"/>
  <c r="O157" i="31"/>
  <c r="M158" i="3"/>
  <c r="N158" i="31"/>
  <c r="M159" i="31"/>
  <c r="L160" i="31"/>
  <c r="K160" i="3"/>
  <c r="K161" i="31"/>
  <c r="E223" i="13"/>
  <c r="F223" i="13"/>
  <c r="F224" i="22"/>
  <c r="F223" i="25"/>
  <c r="H224" i="22"/>
  <c r="I223" i="27"/>
  <c r="I222" i="23"/>
  <c r="I222" i="19"/>
  <c r="E223" i="19"/>
  <c r="D223" i="23"/>
  <c r="G223" i="13"/>
  <c r="I222" i="24"/>
  <c r="D223" i="13"/>
  <c r="I222" i="13"/>
  <c r="G223" i="23"/>
  <c r="I223" i="22"/>
  <c r="F223" i="21"/>
  <c r="E223" i="21"/>
  <c r="H223" i="21"/>
  <c r="D223" i="21"/>
  <c r="G223" i="21"/>
  <c r="H223" i="25"/>
  <c r="A224" i="19"/>
  <c r="C224" i="19"/>
  <c r="G224" i="19" s="1"/>
  <c r="B225" i="19"/>
  <c r="A224" i="23"/>
  <c r="B225" i="23"/>
  <c r="C224" i="23"/>
  <c r="D224" i="23" s="1"/>
  <c r="D223" i="25"/>
  <c r="C225" i="22"/>
  <c r="A225" i="22"/>
  <c r="B226" i="22"/>
  <c r="D223" i="26"/>
  <c r="H223" i="26"/>
  <c r="F223" i="26"/>
  <c r="E224" i="27"/>
  <c r="H224" i="27"/>
  <c r="D224" i="27"/>
  <c r="F224" i="27"/>
  <c r="G224" i="27"/>
  <c r="E224" i="22"/>
  <c r="G224" i="22"/>
  <c r="C224" i="24"/>
  <c r="F224" i="24" s="1"/>
  <c r="B225" i="24"/>
  <c r="A224" i="24"/>
  <c r="I223" i="20"/>
  <c r="I222" i="26"/>
  <c r="H223" i="24"/>
  <c r="D223" i="24"/>
  <c r="E223" i="24"/>
  <c r="F223" i="24"/>
  <c r="G223" i="24"/>
  <c r="D223" i="19"/>
  <c r="A224" i="25"/>
  <c r="B225" i="25"/>
  <c r="C224" i="25"/>
  <c r="F223" i="19"/>
  <c r="E223" i="23"/>
  <c r="B226" i="20"/>
  <c r="C225" i="20"/>
  <c r="A225" i="20"/>
  <c r="I222" i="25"/>
  <c r="B225" i="21"/>
  <c r="C224" i="21"/>
  <c r="G224" i="21" s="1"/>
  <c r="A224" i="21"/>
  <c r="I222" i="21"/>
  <c r="C225" i="27"/>
  <c r="E225" i="27" s="1"/>
  <c r="A225" i="27"/>
  <c r="B226" i="27"/>
  <c r="E223" i="25"/>
  <c r="B225" i="26"/>
  <c r="C224" i="26"/>
  <c r="A224" i="26"/>
  <c r="H223" i="19"/>
  <c r="F223" i="23"/>
  <c r="F224" i="20"/>
  <c r="G224" i="20"/>
  <c r="D224" i="20"/>
  <c r="H224" i="20"/>
  <c r="E224" i="20"/>
  <c r="A224" i="13"/>
  <c r="B225" i="13"/>
  <c r="C224" i="13"/>
  <c r="E224" i="13" s="1"/>
  <c r="G223" i="26"/>
  <c r="E223" i="26"/>
  <c r="D227" i="31" l="1"/>
  <c r="H227" i="3"/>
  <c r="T151" i="3"/>
  <c r="J151" i="3" s="1"/>
  <c r="T152" i="31"/>
  <c r="J151" i="31"/>
  <c r="I226" i="3"/>
  <c r="I226" i="31"/>
  <c r="F227" i="3"/>
  <c r="E227" i="3"/>
  <c r="D227" i="3"/>
  <c r="S152" i="3"/>
  <c r="S153" i="31"/>
  <c r="B229" i="31"/>
  <c r="A228" i="31"/>
  <c r="C228" i="31"/>
  <c r="G227" i="31"/>
  <c r="E227" i="31"/>
  <c r="F227" i="31"/>
  <c r="A228" i="3"/>
  <c r="C228" i="3"/>
  <c r="B229" i="3"/>
  <c r="R153" i="3"/>
  <c r="R154" i="31"/>
  <c r="Q154" i="3"/>
  <c r="Q155" i="31"/>
  <c r="Q155" i="3" s="1"/>
  <c r="P155" i="3"/>
  <c r="P156" i="31"/>
  <c r="O157" i="3"/>
  <c r="N158" i="3"/>
  <c r="O158" i="31"/>
  <c r="M159" i="3"/>
  <c r="N159" i="31"/>
  <c r="N159" i="3" s="1"/>
  <c r="L160" i="3"/>
  <c r="M160" i="31"/>
  <c r="F224" i="13"/>
  <c r="L161" i="31"/>
  <c r="K161" i="3"/>
  <c r="K162" i="31"/>
  <c r="D224" i="13"/>
  <c r="G224" i="23"/>
  <c r="I223" i="13"/>
  <c r="I224" i="22"/>
  <c r="F224" i="21"/>
  <c r="F224" i="19"/>
  <c r="I223" i="21"/>
  <c r="H224" i="23"/>
  <c r="E224" i="19"/>
  <c r="I223" i="23"/>
  <c r="F224" i="23"/>
  <c r="D224" i="19"/>
  <c r="I224" i="20"/>
  <c r="E224" i="23"/>
  <c r="I223" i="24"/>
  <c r="G224" i="13"/>
  <c r="D224" i="21"/>
  <c r="H224" i="21"/>
  <c r="E224" i="25"/>
  <c r="G224" i="25"/>
  <c r="F224" i="25"/>
  <c r="H224" i="25"/>
  <c r="D224" i="25"/>
  <c r="C225" i="21"/>
  <c r="G225" i="21" s="1"/>
  <c r="A225" i="21"/>
  <c r="B226" i="21"/>
  <c r="B226" i="25"/>
  <c r="A225" i="25"/>
  <c r="C225" i="25"/>
  <c r="F225" i="25" s="1"/>
  <c r="I223" i="26"/>
  <c r="C225" i="19"/>
  <c r="F225" i="19" s="1"/>
  <c r="A225" i="19"/>
  <c r="B226" i="19"/>
  <c r="A225" i="13"/>
  <c r="C225" i="13"/>
  <c r="G225" i="13" s="1"/>
  <c r="B226" i="13"/>
  <c r="B227" i="22"/>
  <c r="A226" i="22"/>
  <c r="C226" i="22"/>
  <c r="B227" i="27"/>
  <c r="A226" i="27"/>
  <c r="C226" i="27"/>
  <c r="H226" i="27" s="1"/>
  <c r="I223" i="19"/>
  <c r="B226" i="23"/>
  <c r="A225" i="23"/>
  <c r="C225" i="23"/>
  <c r="D225" i="23" s="1"/>
  <c r="H224" i="26"/>
  <c r="D224" i="26"/>
  <c r="E224" i="26"/>
  <c r="G224" i="26"/>
  <c r="F224" i="26"/>
  <c r="F225" i="20"/>
  <c r="G225" i="20"/>
  <c r="E225" i="20"/>
  <c r="H225" i="20"/>
  <c r="D225" i="20"/>
  <c r="I224" i="27"/>
  <c r="F225" i="22"/>
  <c r="E225" i="22"/>
  <c r="G225" i="22"/>
  <c r="D225" i="22"/>
  <c r="H225" i="22"/>
  <c r="D224" i="24"/>
  <c r="G224" i="24"/>
  <c r="E224" i="24"/>
  <c r="H224" i="24"/>
  <c r="H224" i="13"/>
  <c r="C225" i="26"/>
  <c r="A225" i="26"/>
  <c r="B226" i="26"/>
  <c r="F225" i="27"/>
  <c r="H225" i="27"/>
  <c r="G225" i="27"/>
  <c r="B227" i="20"/>
  <c r="A226" i="20"/>
  <c r="C226" i="20"/>
  <c r="A225" i="24"/>
  <c r="C225" i="24"/>
  <c r="B226" i="24"/>
  <c r="I223" i="25"/>
  <c r="H224" i="19"/>
  <c r="D225" i="27"/>
  <c r="E224" i="21"/>
  <c r="I227" i="3" l="1"/>
  <c r="T152" i="3"/>
  <c r="J152" i="3" s="1"/>
  <c r="T153" i="31"/>
  <c r="J152" i="31"/>
  <c r="F228" i="3"/>
  <c r="E228" i="3"/>
  <c r="G228" i="3"/>
  <c r="H228" i="3"/>
  <c r="D228" i="3"/>
  <c r="A229" i="31"/>
  <c r="B230" i="31"/>
  <c r="C229" i="31"/>
  <c r="H229" i="31" s="1"/>
  <c r="C229" i="3"/>
  <c r="H229" i="3" s="1"/>
  <c r="A229" i="3"/>
  <c r="B230" i="3"/>
  <c r="G228" i="31"/>
  <c r="D228" i="31"/>
  <c r="F228" i="31"/>
  <c r="E228" i="31"/>
  <c r="H228" i="31"/>
  <c r="S153" i="3"/>
  <c r="S154" i="31"/>
  <c r="I227" i="31"/>
  <c r="R154" i="3"/>
  <c r="R155" i="31"/>
  <c r="Q156" i="31"/>
  <c r="O159" i="31"/>
  <c r="P156" i="3"/>
  <c r="P157" i="31"/>
  <c r="H225" i="19"/>
  <c r="O158" i="3"/>
  <c r="M160" i="3"/>
  <c r="N160" i="31"/>
  <c r="L161" i="3"/>
  <c r="M161" i="31"/>
  <c r="D225" i="19"/>
  <c r="L162" i="31"/>
  <c r="G225" i="19"/>
  <c r="E225" i="19"/>
  <c r="K162" i="3"/>
  <c r="K163" i="31"/>
  <c r="H225" i="23"/>
  <c r="I224" i="23"/>
  <c r="I224" i="24"/>
  <c r="G225" i="25"/>
  <c r="F226" i="27"/>
  <c r="G226" i="27"/>
  <c r="I224" i="13"/>
  <c r="F225" i="23"/>
  <c r="D226" i="27"/>
  <c r="I224" i="19"/>
  <c r="G225" i="23"/>
  <c r="B227" i="26"/>
  <c r="A226" i="26"/>
  <c r="C226" i="26"/>
  <c r="D226" i="26" s="1"/>
  <c r="A226" i="13"/>
  <c r="C226" i="13"/>
  <c r="E226" i="13" s="1"/>
  <c r="B227" i="13"/>
  <c r="F226" i="22"/>
  <c r="G226" i="22"/>
  <c r="H226" i="22"/>
  <c r="E226" i="22"/>
  <c r="D226" i="22"/>
  <c r="C226" i="21"/>
  <c r="E226" i="21" s="1"/>
  <c r="A226" i="21"/>
  <c r="B227" i="21"/>
  <c r="F226" i="20"/>
  <c r="H226" i="20"/>
  <c r="D226" i="20"/>
  <c r="G226" i="20"/>
  <c r="E226" i="20"/>
  <c r="E225" i="26"/>
  <c r="D225" i="26"/>
  <c r="F225" i="26"/>
  <c r="G225" i="26"/>
  <c r="H225" i="26"/>
  <c r="I225" i="22"/>
  <c r="C226" i="19"/>
  <c r="F226" i="19" s="1"/>
  <c r="A226" i="19"/>
  <c r="B227" i="19"/>
  <c r="C227" i="22"/>
  <c r="F227" i="22" s="1"/>
  <c r="A227" i="22"/>
  <c r="B228" i="22"/>
  <c r="H225" i="21"/>
  <c r="F225" i="21"/>
  <c r="E225" i="21"/>
  <c r="I225" i="27"/>
  <c r="A227" i="20"/>
  <c r="C227" i="20"/>
  <c r="B228" i="20"/>
  <c r="D225" i="21"/>
  <c r="A226" i="23"/>
  <c r="B227" i="23"/>
  <c r="C226" i="23"/>
  <c r="D226" i="23" s="1"/>
  <c r="H225" i="13"/>
  <c r="I224" i="21"/>
  <c r="B228" i="27"/>
  <c r="A227" i="27"/>
  <c r="C227" i="27"/>
  <c r="F227" i="27" s="1"/>
  <c r="E225" i="23"/>
  <c r="E225" i="13"/>
  <c r="D225" i="25"/>
  <c r="E225" i="25"/>
  <c r="H225" i="25"/>
  <c r="I224" i="25"/>
  <c r="D225" i="24"/>
  <c r="G225" i="24"/>
  <c r="H225" i="24"/>
  <c r="E225" i="24"/>
  <c r="F225" i="24"/>
  <c r="F225" i="13"/>
  <c r="C226" i="24"/>
  <c r="A226" i="24"/>
  <c r="B227" i="24"/>
  <c r="I225" i="20"/>
  <c r="I224" i="26"/>
  <c r="D225" i="13"/>
  <c r="C226" i="25"/>
  <c r="E226" i="25" s="1"/>
  <c r="A226" i="25"/>
  <c r="B227" i="25"/>
  <c r="E226" i="27"/>
  <c r="G229" i="3" l="1"/>
  <c r="T153" i="3"/>
  <c r="J153" i="3" s="1"/>
  <c r="T154" i="31"/>
  <c r="I228" i="31"/>
  <c r="J153" i="31"/>
  <c r="S154" i="3"/>
  <c r="S155" i="31"/>
  <c r="I228" i="3"/>
  <c r="A230" i="31"/>
  <c r="B231" i="31"/>
  <c r="C230" i="31"/>
  <c r="F230" i="31" s="1"/>
  <c r="E229" i="31"/>
  <c r="D229" i="31"/>
  <c r="F229" i="31"/>
  <c r="F229" i="3"/>
  <c r="C230" i="3"/>
  <c r="G230" i="3" s="1"/>
  <c r="A230" i="3"/>
  <c r="B231" i="3"/>
  <c r="G229" i="31"/>
  <c r="E229" i="3"/>
  <c r="D229" i="3"/>
  <c r="R155" i="3"/>
  <c r="R156" i="31"/>
  <c r="M161" i="3"/>
  <c r="Q156" i="3"/>
  <c r="Q157" i="31"/>
  <c r="P157" i="3"/>
  <c r="P158" i="31"/>
  <c r="O159" i="3"/>
  <c r="N160" i="3"/>
  <c r="O160" i="31"/>
  <c r="N161" i="31"/>
  <c r="L162" i="3"/>
  <c r="M162" i="31"/>
  <c r="L163" i="31"/>
  <c r="H227" i="27"/>
  <c r="I225" i="19"/>
  <c r="H226" i="23"/>
  <c r="H226" i="13"/>
  <c r="D226" i="21"/>
  <c r="G226" i="21"/>
  <c r="H226" i="21"/>
  <c r="F226" i="21"/>
  <c r="K163" i="3"/>
  <c r="K164" i="31"/>
  <c r="E226" i="23"/>
  <c r="H226" i="26"/>
  <c r="I226" i="27"/>
  <c r="G226" i="23"/>
  <c r="G226" i="13"/>
  <c r="I225" i="23"/>
  <c r="D226" i="13"/>
  <c r="I225" i="13"/>
  <c r="F226" i="13"/>
  <c r="H226" i="25"/>
  <c r="H227" i="20"/>
  <c r="F227" i="20"/>
  <c r="G227" i="20"/>
  <c r="E227" i="20"/>
  <c r="D227" i="20"/>
  <c r="D227" i="22"/>
  <c r="H227" i="22"/>
  <c r="G227" i="22"/>
  <c r="E227" i="22"/>
  <c r="E226" i="26"/>
  <c r="G226" i="26"/>
  <c r="H226" i="19"/>
  <c r="I226" i="20"/>
  <c r="B228" i="21"/>
  <c r="A227" i="21"/>
  <c r="C227" i="21"/>
  <c r="F227" i="21" s="1"/>
  <c r="D227" i="27"/>
  <c r="A227" i="24"/>
  <c r="B228" i="24"/>
  <c r="C227" i="24"/>
  <c r="I225" i="25"/>
  <c r="A228" i="27"/>
  <c r="B229" i="27"/>
  <c r="C228" i="27"/>
  <c r="B228" i="23"/>
  <c r="A227" i="23"/>
  <c r="C227" i="23"/>
  <c r="G227" i="23" s="1"/>
  <c r="D226" i="25"/>
  <c r="G226" i="19"/>
  <c r="B228" i="26"/>
  <c r="A227" i="26"/>
  <c r="C227" i="26"/>
  <c r="G226" i="25"/>
  <c r="A228" i="22"/>
  <c r="B229" i="22"/>
  <c r="C228" i="22"/>
  <c r="H228" i="22" s="1"/>
  <c r="E227" i="27"/>
  <c r="C227" i="25"/>
  <c r="A227" i="25"/>
  <c r="B228" i="25"/>
  <c r="H226" i="24"/>
  <c r="E226" i="24"/>
  <c r="D226" i="24"/>
  <c r="G226" i="24"/>
  <c r="F226" i="24"/>
  <c r="I225" i="21"/>
  <c r="E226" i="19"/>
  <c r="I225" i="26"/>
  <c r="G227" i="27"/>
  <c r="D226" i="19"/>
  <c r="I226" i="22"/>
  <c r="I225" i="24"/>
  <c r="F226" i="23"/>
  <c r="A228" i="20"/>
  <c r="C228" i="20"/>
  <c r="B229" i="20"/>
  <c r="B228" i="19"/>
  <c r="A227" i="19"/>
  <c r="C227" i="19"/>
  <c r="H227" i="19" s="1"/>
  <c r="F226" i="26"/>
  <c r="C227" i="13"/>
  <c r="D227" i="13" s="1"/>
  <c r="B228" i="13"/>
  <c r="A227" i="13"/>
  <c r="F226" i="25"/>
  <c r="D230" i="3" l="1"/>
  <c r="D230" i="31"/>
  <c r="I229" i="3"/>
  <c r="T154" i="3"/>
  <c r="J154" i="3" s="1"/>
  <c r="H47" i="2" s="1"/>
  <c r="I47" i="2" s="1"/>
  <c r="A48" i="2" s="1"/>
  <c r="C48" i="2" s="1"/>
  <c r="T155" i="31"/>
  <c r="J154" i="31"/>
  <c r="A231" i="3"/>
  <c r="B232" i="3"/>
  <c r="C231" i="3"/>
  <c r="E231" i="3" s="1"/>
  <c r="E230" i="3"/>
  <c r="I229" i="31"/>
  <c r="S155" i="3"/>
  <c r="S156" i="31"/>
  <c r="G230" i="31"/>
  <c r="H230" i="31"/>
  <c r="E230" i="31"/>
  <c r="F230" i="3"/>
  <c r="B232" i="31"/>
  <c r="A231" i="31"/>
  <c r="C231" i="31"/>
  <c r="H230" i="3"/>
  <c r="O160" i="3"/>
  <c r="R156" i="3"/>
  <c r="R157" i="31"/>
  <c r="Q157" i="3"/>
  <c r="Q158" i="31"/>
  <c r="P158" i="3"/>
  <c r="P159" i="31"/>
  <c r="N162" i="31"/>
  <c r="N162" i="3" s="1"/>
  <c r="N161" i="3"/>
  <c r="O161" i="31"/>
  <c r="M162" i="3"/>
  <c r="M163" i="31"/>
  <c r="L163" i="3"/>
  <c r="L164" i="31"/>
  <c r="G227" i="21"/>
  <c r="I226" i="21"/>
  <c r="F227" i="19"/>
  <c r="K164" i="3"/>
  <c r="K165" i="31"/>
  <c r="D227" i="19"/>
  <c r="E227" i="19"/>
  <c r="D227" i="23"/>
  <c r="H227" i="23"/>
  <c r="E227" i="23"/>
  <c r="I226" i="23"/>
  <c r="I226" i="13"/>
  <c r="I227" i="20"/>
  <c r="G227" i="19"/>
  <c r="G228" i="22"/>
  <c r="I226" i="26"/>
  <c r="F227" i="23"/>
  <c r="A228" i="25"/>
  <c r="C228" i="25"/>
  <c r="F228" i="25" s="1"/>
  <c r="B229" i="25"/>
  <c r="H227" i="13"/>
  <c r="F227" i="25"/>
  <c r="D227" i="25"/>
  <c r="G227" i="25"/>
  <c r="E227" i="25"/>
  <c r="D227" i="26"/>
  <c r="G227" i="26"/>
  <c r="E227" i="26"/>
  <c r="H227" i="26"/>
  <c r="F227" i="26"/>
  <c r="G227" i="24"/>
  <c r="H227" i="24"/>
  <c r="E227" i="24"/>
  <c r="F227" i="24"/>
  <c r="D227" i="24"/>
  <c r="B230" i="22"/>
  <c r="C229" i="22"/>
  <c r="H229" i="22" s="1"/>
  <c r="A229" i="22"/>
  <c r="C229" i="20"/>
  <c r="G229" i="20" s="1"/>
  <c r="B230" i="20"/>
  <c r="A229" i="20"/>
  <c r="E228" i="20"/>
  <c r="F228" i="20"/>
  <c r="G228" i="20"/>
  <c r="D228" i="20"/>
  <c r="H228" i="20"/>
  <c r="G227" i="13"/>
  <c r="E227" i="21"/>
  <c r="B229" i="24"/>
  <c r="C228" i="24"/>
  <c r="A228" i="24"/>
  <c r="B229" i="21"/>
  <c r="A228" i="21"/>
  <c r="C228" i="21"/>
  <c r="F227" i="13"/>
  <c r="E227" i="13"/>
  <c r="I226" i="24"/>
  <c r="A228" i="23"/>
  <c r="C228" i="23"/>
  <c r="E228" i="23" s="1"/>
  <c r="B229" i="23"/>
  <c r="H227" i="21"/>
  <c r="F228" i="22"/>
  <c r="I227" i="22"/>
  <c r="H227" i="25"/>
  <c r="A228" i="19"/>
  <c r="B229" i="19"/>
  <c r="C228" i="19"/>
  <c r="G228" i="19" s="1"/>
  <c r="B230" i="27"/>
  <c r="C229" i="27"/>
  <c r="H229" i="27" s="1"/>
  <c r="A229" i="27"/>
  <c r="I227" i="27"/>
  <c r="B229" i="26"/>
  <c r="C228" i="26"/>
  <c r="G228" i="26" s="1"/>
  <c r="A228" i="26"/>
  <c r="B229" i="13"/>
  <c r="C228" i="13"/>
  <c r="G228" i="13" s="1"/>
  <c r="A228" i="13"/>
  <c r="I226" i="19"/>
  <c r="I226" i="25"/>
  <c r="F228" i="27"/>
  <c r="H228" i="27"/>
  <c r="G228" i="27"/>
  <c r="D228" i="27"/>
  <c r="E228" i="27"/>
  <c r="D227" i="21"/>
  <c r="D228" i="22"/>
  <c r="E228" i="22"/>
  <c r="F48" i="2" l="1"/>
  <c r="D48" i="2"/>
  <c r="B48" i="2"/>
  <c r="I230" i="31"/>
  <c r="G48" i="2"/>
  <c r="I230" i="3"/>
  <c r="E48" i="2"/>
  <c r="T155" i="3"/>
  <c r="J155" i="3" s="1"/>
  <c r="T156" i="31"/>
  <c r="J156" i="31" s="1"/>
  <c r="J155" i="31"/>
  <c r="F231" i="3"/>
  <c r="G231" i="3"/>
  <c r="F231" i="31"/>
  <c r="D231" i="31"/>
  <c r="H231" i="31"/>
  <c r="G231" i="31"/>
  <c r="E231" i="31"/>
  <c r="B233" i="31"/>
  <c r="A232" i="31"/>
  <c r="C232" i="31"/>
  <c r="G232" i="31" s="1"/>
  <c r="A232" i="3"/>
  <c r="C232" i="3"/>
  <c r="E232" i="3" s="1"/>
  <c r="B233" i="3"/>
  <c r="S156" i="3"/>
  <c r="S157" i="31"/>
  <c r="H231" i="3"/>
  <c r="D231" i="3"/>
  <c r="R157" i="3"/>
  <c r="R158" i="31"/>
  <c r="Q158" i="3"/>
  <c r="Q159" i="31"/>
  <c r="N163" i="31"/>
  <c r="P159" i="3"/>
  <c r="P160" i="31"/>
  <c r="H229" i="20"/>
  <c r="O161" i="3"/>
  <c r="O162" i="31"/>
  <c r="M164" i="31"/>
  <c r="M163" i="3"/>
  <c r="L164" i="3"/>
  <c r="L165" i="31"/>
  <c r="D228" i="19"/>
  <c r="I227" i="19"/>
  <c r="F229" i="20"/>
  <c r="E228" i="19"/>
  <c r="K165" i="3"/>
  <c r="K166" i="31"/>
  <c r="H228" i="13"/>
  <c r="I227" i="23"/>
  <c r="F228" i="23"/>
  <c r="F228" i="13"/>
  <c r="H228" i="23"/>
  <c r="I227" i="13"/>
  <c r="F228" i="19"/>
  <c r="E229" i="22"/>
  <c r="H228" i="19"/>
  <c r="C230" i="27"/>
  <c r="G230" i="27" s="1"/>
  <c r="A230" i="27"/>
  <c r="B231" i="27"/>
  <c r="B230" i="23"/>
  <c r="C229" i="23"/>
  <c r="F229" i="23" s="1"/>
  <c r="A229" i="23"/>
  <c r="G229" i="27"/>
  <c r="A230" i="22"/>
  <c r="C230" i="22"/>
  <c r="G230" i="22" s="1"/>
  <c r="B231" i="22"/>
  <c r="H228" i="26"/>
  <c r="F228" i="26"/>
  <c r="D229" i="27"/>
  <c r="I227" i="24"/>
  <c r="C229" i="25"/>
  <c r="B230" i="25"/>
  <c r="A229" i="25"/>
  <c r="A229" i="24"/>
  <c r="B230" i="24"/>
  <c r="C229" i="24"/>
  <c r="G229" i="24" s="1"/>
  <c r="A229" i="13"/>
  <c r="C229" i="13"/>
  <c r="D229" i="13" s="1"/>
  <c r="B230" i="13"/>
  <c r="A229" i="26"/>
  <c r="B230" i="26"/>
  <c r="C229" i="26"/>
  <c r="H229" i="26" s="1"/>
  <c r="F228" i="21"/>
  <c r="G228" i="21"/>
  <c r="E228" i="21"/>
  <c r="D228" i="21"/>
  <c r="H228" i="21"/>
  <c r="D229" i="22"/>
  <c r="I227" i="26"/>
  <c r="E228" i="25"/>
  <c r="H228" i="25"/>
  <c r="I228" i="22"/>
  <c r="E228" i="26"/>
  <c r="G228" i="25"/>
  <c r="I227" i="21"/>
  <c r="E229" i="27"/>
  <c r="A229" i="21"/>
  <c r="B230" i="21"/>
  <c r="C229" i="21"/>
  <c r="B231" i="20"/>
  <c r="A230" i="20"/>
  <c r="C230" i="20"/>
  <c r="F230" i="20" s="1"/>
  <c r="E228" i="13"/>
  <c r="D228" i="23"/>
  <c r="D228" i="25"/>
  <c r="I228" i="20"/>
  <c r="D229" i="20"/>
  <c r="E229" i="20"/>
  <c r="I227" i="25"/>
  <c r="F229" i="22"/>
  <c r="G229" i="22"/>
  <c r="I228" i="27"/>
  <c r="D228" i="13"/>
  <c r="C229" i="19"/>
  <c r="D229" i="19" s="1"/>
  <c r="A229" i="19"/>
  <c r="B230" i="19"/>
  <c r="G228" i="23"/>
  <c r="E228" i="24"/>
  <c r="G228" i="24"/>
  <c r="F228" i="24"/>
  <c r="H228" i="24"/>
  <c r="D228" i="24"/>
  <c r="F229" i="27"/>
  <c r="D228" i="26"/>
  <c r="F232" i="31" l="1"/>
  <c r="E232" i="31"/>
  <c r="F232" i="3"/>
  <c r="H232" i="3"/>
  <c r="T156" i="3"/>
  <c r="J156" i="3" s="1"/>
  <c r="T157" i="31"/>
  <c r="I231" i="3"/>
  <c r="C233" i="3"/>
  <c r="H233" i="3" s="1"/>
  <c r="A233" i="3"/>
  <c r="B234" i="3"/>
  <c r="G232" i="3"/>
  <c r="C233" i="31"/>
  <c r="D233" i="31" s="1"/>
  <c r="B234" i="31"/>
  <c r="A233" i="31"/>
  <c r="I231" i="31"/>
  <c r="S157" i="3"/>
  <c r="S158" i="31"/>
  <c r="H232" i="31"/>
  <c r="D232" i="31"/>
  <c r="D232" i="3"/>
  <c r="R158" i="3"/>
  <c r="R159" i="31"/>
  <c r="Q159" i="3"/>
  <c r="Q160" i="31"/>
  <c r="Q160" i="3" s="1"/>
  <c r="N163" i="3"/>
  <c r="N164" i="31"/>
  <c r="N164" i="3" s="1"/>
  <c r="P160" i="3"/>
  <c r="P161" i="31"/>
  <c r="O162" i="3"/>
  <c r="O163" i="31"/>
  <c r="M164" i="3"/>
  <c r="L165" i="3"/>
  <c r="M165" i="31"/>
  <c r="F230" i="22"/>
  <c r="L166" i="31"/>
  <c r="H230" i="22"/>
  <c r="F230" i="27"/>
  <c r="H229" i="13"/>
  <c r="D230" i="22"/>
  <c r="E230" i="22"/>
  <c r="E230" i="27"/>
  <c r="G229" i="13"/>
  <c r="D229" i="24"/>
  <c r="K166" i="3"/>
  <c r="K167" i="31"/>
  <c r="E229" i="13"/>
  <c r="E229" i="24"/>
  <c r="E229" i="23"/>
  <c r="H230" i="20"/>
  <c r="H229" i="24"/>
  <c r="I228" i="19"/>
  <c r="I228" i="13"/>
  <c r="I228" i="21"/>
  <c r="G229" i="19"/>
  <c r="F229" i="26"/>
  <c r="E229" i="19"/>
  <c r="I228" i="24"/>
  <c r="F229" i="19"/>
  <c r="I228" i="25"/>
  <c r="E229" i="21"/>
  <c r="G229" i="21"/>
  <c r="H229" i="21"/>
  <c r="F229" i="21"/>
  <c r="C230" i="24"/>
  <c r="G230" i="24" s="1"/>
  <c r="A230" i="24"/>
  <c r="B231" i="24"/>
  <c r="A230" i="19"/>
  <c r="C230" i="19"/>
  <c r="G230" i="19" s="1"/>
  <c r="B231" i="19"/>
  <c r="C231" i="22"/>
  <c r="F231" i="22" s="1"/>
  <c r="A231" i="22"/>
  <c r="B232" i="22"/>
  <c r="I229" i="20"/>
  <c r="B231" i="13"/>
  <c r="A230" i="13"/>
  <c r="C230" i="13"/>
  <c r="G230" i="13" s="1"/>
  <c r="A230" i="25"/>
  <c r="C230" i="25"/>
  <c r="B231" i="25"/>
  <c r="G229" i="26"/>
  <c r="D229" i="26"/>
  <c r="E229" i="26"/>
  <c r="G229" i="25"/>
  <c r="D229" i="25"/>
  <c r="F229" i="25"/>
  <c r="E229" i="25"/>
  <c r="H229" i="25"/>
  <c r="C230" i="23"/>
  <c r="E230" i="23" s="1"/>
  <c r="B231" i="23"/>
  <c r="A230" i="23"/>
  <c r="D229" i="21"/>
  <c r="A230" i="21"/>
  <c r="B231" i="21"/>
  <c r="C230" i="21"/>
  <c r="E230" i="20"/>
  <c r="G230" i="20"/>
  <c r="D230" i="20"/>
  <c r="B232" i="27"/>
  <c r="C231" i="27"/>
  <c r="F231" i="27" s="1"/>
  <c r="A231" i="27"/>
  <c r="I228" i="26"/>
  <c r="I228" i="23"/>
  <c r="I229" i="22"/>
  <c r="I229" i="27"/>
  <c r="G229" i="23"/>
  <c r="B231" i="26"/>
  <c r="C230" i="26"/>
  <c r="H230" i="26" s="1"/>
  <c r="A230" i="26"/>
  <c r="H229" i="19"/>
  <c r="C231" i="20"/>
  <c r="B232" i="20"/>
  <c r="A231" i="20"/>
  <c r="F229" i="13"/>
  <c r="D229" i="23"/>
  <c r="H230" i="27"/>
  <c r="D230" i="27"/>
  <c r="H229" i="23"/>
  <c r="F229" i="24"/>
  <c r="I232" i="31" l="1"/>
  <c r="T157" i="3"/>
  <c r="J157" i="3" s="1"/>
  <c r="T158" i="31"/>
  <c r="J157" i="31"/>
  <c r="I232" i="3"/>
  <c r="B235" i="31"/>
  <c r="C234" i="31"/>
  <c r="A234" i="31"/>
  <c r="A234" i="3"/>
  <c r="C234" i="3"/>
  <c r="G234" i="3" s="1"/>
  <c r="B235" i="3"/>
  <c r="F233" i="3"/>
  <c r="G233" i="3"/>
  <c r="E233" i="3"/>
  <c r="D233" i="3"/>
  <c r="S158" i="3"/>
  <c r="S159" i="31"/>
  <c r="E233" i="31"/>
  <c r="G233" i="31"/>
  <c r="F233" i="31"/>
  <c r="H233" i="31"/>
  <c r="R159" i="3"/>
  <c r="R160" i="31"/>
  <c r="Q161" i="31"/>
  <c r="P161" i="3"/>
  <c r="P162" i="31"/>
  <c r="O163" i="3"/>
  <c r="O164" i="31"/>
  <c r="M165" i="3"/>
  <c r="N165" i="31"/>
  <c r="M166" i="31"/>
  <c r="L166" i="3"/>
  <c r="L167" i="31"/>
  <c r="I230" i="22"/>
  <c r="I229" i="24"/>
  <c r="E231" i="22"/>
  <c r="K167" i="3"/>
  <c r="K168" i="31"/>
  <c r="I229" i="13"/>
  <c r="H230" i="13"/>
  <c r="E230" i="24"/>
  <c r="D230" i="13"/>
  <c r="E230" i="13"/>
  <c r="F230" i="13"/>
  <c r="D231" i="22"/>
  <c r="I230" i="27"/>
  <c r="I229" i="19"/>
  <c r="H230" i="24"/>
  <c r="H231" i="22"/>
  <c r="G231" i="22"/>
  <c r="H230" i="19"/>
  <c r="E231" i="27"/>
  <c r="B232" i="26"/>
  <c r="A231" i="26"/>
  <c r="C231" i="26"/>
  <c r="G231" i="26" s="1"/>
  <c r="B232" i="21"/>
  <c r="C231" i="21"/>
  <c r="H231" i="21" s="1"/>
  <c r="A231" i="21"/>
  <c r="C231" i="23"/>
  <c r="F231" i="23" s="1"/>
  <c r="A231" i="23"/>
  <c r="B232" i="23"/>
  <c r="I229" i="21"/>
  <c r="C232" i="27"/>
  <c r="B233" i="27"/>
  <c r="A232" i="27"/>
  <c r="F230" i="23"/>
  <c r="C232" i="20"/>
  <c r="G232" i="20" s="1"/>
  <c r="A232" i="20"/>
  <c r="B233" i="20"/>
  <c r="E230" i="21"/>
  <c r="H230" i="21"/>
  <c r="G230" i="21"/>
  <c r="F230" i="21"/>
  <c r="D230" i="21"/>
  <c r="I229" i="26"/>
  <c r="C231" i="19"/>
  <c r="H231" i="19" s="1"/>
  <c r="A231" i="19"/>
  <c r="B232" i="19"/>
  <c r="A232" i="22"/>
  <c r="C232" i="22"/>
  <c r="H232" i="22" s="1"/>
  <c r="B233" i="22"/>
  <c r="H231" i="27"/>
  <c r="G231" i="27"/>
  <c r="I229" i="23"/>
  <c r="I230" i="20"/>
  <c r="G230" i="23"/>
  <c r="C231" i="25"/>
  <c r="A231" i="25"/>
  <c r="B232" i="25"/>
  <c r="F230" i="19"/>
  <c r="A231" i="24"/>
  <c r="C231" i="24"/>
  <c r="B232" i="24"/>
  <c r="D231" i="27"/>
  <c r="E230" i="26"/>
  <c r="D230" i="26"/>
  <c r="F230" i="26"/>
  <c r="D230" i="23"/>
  <c r="I229" i="25"/>
  <c r="D230" i="25"/>
  <c r="G230" i="25"/>
  <c r="H230" i="25"/>
  <c r="E230" i="25"/>
  <c r="F230" i="25"/>
  <c r="D230" i="19"/>
  <c r="G230" i="26"/>
  <c r="G231" i="20"/>
  <c r="H231" i="20"/>
  <c r="F231" i="20"/>
  <c r="E231" i="20"/>
  <c r="D231" i="20"/>
  <c r="H230" i="23"/>
  <c r="C231" i="13"/>
  <c r="D231" i="13" s="1"/>
  <c r="A231" i="13"/>
  <c r="B232" i="13"/>
  <c r="E230" i="19"/>
  <c r="D230" i="24"/>
  <c r="F230" i="24"/>
  <c r="I233" i="31" l="1"/>
  <c r="T158" i="3"/>
  <c r="J158" i="3" s="1"/>
  <c r="T159" i="31"/>
  <c r="J158" i="31"/>
  <c r="A235" i="3"/>
  <c r="C235" i="3"/>
  <c r="F235" i="3" s="1"/>
  <c r="B236" i="3"/>
  <c r="F234" i="31"/>
  <c r="H234" i="31"/>
  <c r="D234" i="31"/>
  <c r="E234" i="31"/>
  <c r="G234" i="31"/>
  <c r="D234" i="3"/>
  <c r="B236" i="31"/>
  <c r="C235" i="31"/>
  <c r="A235" i="31"/>
  <c r="E234" i="3"/>
  <c r="I233" i="3"/>
  <c r="S159" i="3"/>
  <c r="S160" i="31"/>
  <c r="F234" i="3"/>
  <c r="H234" i="3"/>
  <c r="R160" i="3"/>
  <c r="R161" i="31"/>
  <c r="Q161" i="3"/>
  <c r="Q162" i="31"/>
  <c r="L167" i="3"/>
  <c r="P162" i="3"/>
  <c r="P163" i="31"/>
  <c r="N165" i="3"/>
  <c r="O164" i="3"/>
  <c r="O165" i="31"/>
  <c r="M166" i="3"/>
  <c r="N166" i="31"/>
  <c r="N166" i="3" s="1"/>
  <c r="M167" i="31"/>
  <c r="L168" i="31"/>
  <c r="I230" i="13"/>
  <c r="D232" i="20"/>
  <c r="E231" i="21"/>
  <c r="K169" i="31"/>
  <c r="K168" i="3"/>
  <c r="I230" i="21"/>
  <c r="I231" i="22"/>
  <c r="F231" i="26"/>
  <c r="H231" i="26"/>
  <c r="I231" i="27"/>
  <c r="C232" i="24"/>
  <c r="D232" i="24" s="1"/>
  <c r="A232" i="24"/>
  <c r="B233" i="24"/>
  <c r="G231" i="24"/>
  <c r="F231" i="24"/>
  <c r="D231" i="24"/>
  <c r="E231" i="24"/>
  <c r="H231" i="24"/>
  <c r="E231" i="13"/>
  <c r="E232" i="20"/>
  <c r="F231" i="19"/>
  <c r="B233" i="21"/>
  <c r="C232" i="21"/>
  <c r="A232" i="21"/>
  <c r="G231" i="13"/>
  <c r="G232" i="22"/>
  <c r="I230" i="23"/>
  <c r="D232" i="22"/>
  <c r="E231" i="19"/>
  <c r="D231" i="23"/>
  <c r="E231" i="26"/>
  <c r="D231" i="26"/>
  <c r="I230" i="25"/>
  <c r="G231" i="23"/>
  <c r="H231" i="13"/>
  <c r="I230" i="19"/>
  <c r="C232" i="25"/>
  <c r="A232" i="25"/>
  <c r="B233" i="25"/>
  <c r="G231" i="19"/>
  <c r="B234" i="27"/>
  <c r="A233" i="27"/>
  <c r="C233" i="27"/>
  <c r="H231" i="23"/>
  <c r="C233" i="22"/>
  <c r="H233" i="22" s="1"/>
  <c r="A233" i="22"/>
  <c r="B234" i="22"/>
  <c r="B234" i="20"/>
  <c r="C233" i="20"/>
  <c r="G233" i="20" s="1"/>
  <c r="A233" i="20"/>
  <c r="E231" i="23"/>
  <c r="F231" i="13"/>
  <c r="G231" i="21"/>
  <c r="H232" i="20"/>
  <c r="I230" i="26"/>
  <c r="D231" i="19"/>
  <c r="G232" i="27"/>
  <c r="H232" i="27"/>
  <c r="F232" i="27"/>
  <c r="D232" i="27"/>
  <c r="E232" i="27"/>
  <c r="C232" i="23"/>
  <c r="G232" i="23" s="1"/>
  <c r="B233" i="23"/>
  <c r="A232" i="23"/>
  <c r="A232" i="26"/>
  <c r="B233" i="26"/>
  <c r="C232" i="26"/>
  <c r="I230" i="24"/>
  <c r="F232" i="22"/>
  <c r="F231" i="21"/>
  <c r="E232" i="22"/>
  <c r="B233" i="13"/>
  <c r="C232" i="13"/>
  <c r="H232" i="13" s="1"/>
  <c r="A232" i="13"/>
  <c r="I231" i="20"/>
  <c r="D231" i="21"/>
  <c r="G231" i="25"/>
  <c r="E231" i="25"/>
  <c r="H231" i="25"/>
  <c r="D231" i="25"/>
  <c r="F231" i="25"/>
  <c r="C232" i="19"/>
  <c r="F232" i="19" s="1"/>
  <c r="B233" i="19"/>
  <c r="A232" i="19"/>
  <c r="F232" i="20"/>
  <c r="G235" i="3" l="1"/>
  <c r="T159" i="3"/>
  <c r="J159" i="3" s="1"/>
  <c r="T160" i="31"/>
  <c r="J160" i="31" s="1"/>
  <c r="J159" i="31"/>
  <c r="E235" i="3"/>
  <c r="D235" i="3"/>
  <c r="H235" i="3"/>
  <c r="S160" i="3"/>
  <c r="S161" i="31"/>
  <c r="F235" i="31"/>
  <c r="D235" i="31"/>
  <c r="H235" i="31"/>
  <c r="E235" i="31"/>
  <c r="G235" i="31"/>
  <c r="I234" i="31"/>
  <c r="A236" i="31"/>
  <c r="C236" i="31"/>
  <c r="B237" i="31"/>
  <c r="I234" i="3"/>
  <c r="C236" i="3"/>
  <c r="G236" i="3" s="1"/>
  <c r="B237" i="3"/>
  <c r="A236" i="3"/>
  <c r="R161" i="3"/>
  <c r="R162" i="31"/>
  <c r="Q162" i="3"/>
  <c r="Q163" i="31"/>
  <c r="O165" i="3"/>
  <c r="P163" i="3"/>
  <c r="P164" i="31"/>
  <c r="O166" i="31"/>
  <c r="N167" i="31"/>
  <c r="N167" i="3" s="1"/>
  <c r="L168" i="3"/>
  <c r="M167" i="3"/>
  <c r="M168" i="31"/>
  <c r="L169" i="31"/>
  <c r="K169" i="3"/>
  <c r="K170" i="31"/>
  <c r="E232" i="19"/>
  <c r="I231" i="13"/>
  <c r="I231" i="24"/>
  <c r="I231" i="19"/>
  <c r="I231" i="21"/>
  <c r="I232" i="22"/>
  <c r="D232" i="19"/>
  <c r="D232" i="21"/>
  <c r="F232" i="21"/>
  <c r="A233" i="23"/>
  <c r="B234" i="23"/>
  <c r="C233" i="23"/>
  <c r="E233" i="23" s="1"/>
  <c r="B234" i="19"/>
  <c r="C233" i="19"/>
  <c r="H233" i="19" s="1"/>
  <c r="A233" i="19"/>
  <c r="D233" i="20"/>
  <c r="C234" i="22"/>
  <c r="A234" i="22"/>
  <c r="B235" i="22"/>
  <c r="C233" i="25"/>
  <c r="B234" i="25"/>
  <c r="A233" i="25"/>
  <c r="I232" i="20"/>
  <c r="B234" i="24"/>
  <c r="C233" i="24"/>
  <c r="A233" i="24"/>
  <c r="D232" i="26"/>
  <c r="G232" i="26"/>
  <c r="H232" i="26"/>
  <c r="E232" i="26"/>
  <c r="F232" i="26"/>
  <c r="B235" i="27"/>
  <c r="C234" i="27"/>
  <c r="H234" i="27" s="1"/>
  <c r="A234" i="27"/>
  <c r="C233" i="13"/>
  <c r="E233" i="13" s="1"/>
  <c r="A233" i="13"/>
  <c r="B234" i="13"/>
  <c r="A233" i="26"/>
  <c r="C233" i="26"/>
  <c r="D233" i="26" s="1"/>
  <c r="B234" i="26"/>
  <c r="C234" i="20"/>
  <c r="B235" i="20"/>
  <c r="A234" i="20"/>
  <c r="F232" i="13"/>
  <c r="E232" i="23"/>
  <c r="I232" i="27"/>
  <c r="I231" i="26"/>
  <c r="E232" i="21"/>
  <c r="C233" i="21"/>
  <c r="E233" i="21" s="1"/>
  <c r="A233" i="21"/>
  <c r="B234" i="21"/>
  <c r="D232" i="13"/>
  <c r="H232" i="21"/>
  <c r="E233" i="22"/>
  <c r="G233" i="22"/>
  <c r="D232" i="25"/>
  <c r="G232" i="25"/>
  <c r="E232" i="25"/>
  <c r="F232" i="25"/>
  <c r="H232" i="25"/>
  <c r="E233" i="20"/>
  <c r="E232" i="24"/>
  <c r="H232" i="24"/>
  <c r="F232" i="24"/>
  <c r="G232" i="19"/>
  <c r="I231" i="25"/>
  <c r="E232" i="13"/>
  <c r="D233" i="22"/>
  <c r="D232" i="23"/>
  <c r="G232" i="21"/>
  <c r="I231" i="23"/>
  <c r="G232" i="24"/>
  <c r="F233" i="20"/>
  <c r="F232" i="23"/>
  <c r="H232" i="19"/>
  <c r="G232" i="13"/>
  <c r="H232" i="23"/>
  <c r="D233" i="27"/>
  <c r="H233" i="27"/>
  <c r="E233" i="27"/>
  <c r="F233" i="27"/>
  <c r="G233" i="27"/>
  <c r="F233" i="22"/>
  <c r="H233" i="20"/>
  <c r="T160" i="3" l="1"/>
  <c r="J160" i="3" s="1"/>
  <c r="T161" i="31"/>
  <c r="J161" i="31" s="1"/>
  <c r="I235" i="3"/>
  <c r="D236" i="3"/>
  <c r="H236" i="3"/>
  <c r="C237" i="31"/>
  <c r="A237" i="31"/>
  <c r="B238" i="31"/>
  <c r="I235" i="31"/>
  <c r="B238" i="3"/>
  <c r="C237" i="3"/>
  <c r="G237" i="3" s="1"/>
  <c r="A237" i="3"/>
  <c r="E236" i="31"/>
  <c r="H236" i="31"/>
  <c r="G236" i="31"/>
  <c r="F236" i="31"/>
  <c r="D236" i="31"/>
  <c r="F236" i="3"/>
  <c r="S161" i="3"/>
  <c r="S162" i="31"/>
  <c r="E236" i="3"/>
  <c r="R162" i="3"/>
  <c r="R163" i="31"/>
  <c r="Q163" i="3"/>
  <c r="Q164" i="31"/>
  <c r="O166" i="3"/>
  <c r="P164" i="3"/>
  <c r="P165" i="31"/>
  <c r="M168" i="3"/>
  <c r="O167" i="31"/>
  <c r="N168" i="31"/>
  <c r="N168" i="3" s="1"/>
  <c r="L169" i="3"/>
  <c r="M169" i="31"/>
  <c r="H233" i="26"/>
  <c r="G233" i="26"/>
  <c r="L170" i="31"/>
  <c r="K171" i="31"/>
  <c r="K170" i="3"/>
  <c r="D233" i="19"/>
  <c r="I232" i="19"/>
  <c r="I232" i="13"/>
  <c r="I232" i="24"/>
  <c r="I233" i="22"/>
  <c r="D234" i="20"/>
  <c r="F234" i="20"/>
  <c r="E234" i="20"/>
  <c r="H234" i="20"/>
  <c r="B235" i="26"/>
  <c r="C234" i="26"/>
  <c r="D234" i="26" s="1"/>
  <c r="A234" i="26"/>
  <c r="A235" i="22"/>
  <c r="C235" i="22"/>
  <c r="G235" i="22" s="1"/>
  <c r="B236" i="22"/>
  <c r="F233" i="26"/>
  <c r="A234" i="23"/>
  <c r="B235" i="23"/>
  <c r="C234" i="23"/>
  <c r="D234" i="23" s="1"/>
  <c r="F233" i="21"/>
  <c r="D233" i="21"/>
  <c r="I233" i="27"/>
  <c r="I232" i="26"/>
  <c r="G234" i="20"/>
  <c r="D233" i="13"/>
  <c r="E234" i="27"/>
  <c r="D234" i="27"/>
  <c r="G234" i="27"/>
  <c r="F233" i="24"/>
  <c r="G233" i="24"/>
  <c r="E233" i="24"/>
  <c r="D233" i="24"/>
  <c r="H233" i="24"/>
  <c r="E234" i="22"/>
  <c r="F234" i="22"/>
  <c r="D234" i="22"/>
  <c r="H234" i="22"/>
  <c r="G234" i="22"/>
  <c r="C234" i="19"/>
  <c r="H234" i="19" s="1"/>
  <c r="A234" i="19"/>
  <c r="B235" i="19"/>
  <c r="I232" i="23"/>
  <c r="I232" i="25"/>
  <c r="F234" i="27"/>
  <c r="H233" i="13"/>
  <c r="A235" i="27"/>
  <c r="B236" i="27"/>
  <c r="C235" i="27"/>
  <c r="B235" i="24"/>
  <c r="A234" i="24"/>
  <c r="C234" i="24"/>
  <c r="I233" i="20"/>
  <c r="G233" i="21"/>
  <c r="A234" i="13"/>
  <c r="C234" i="13"/>
  <c r="G234" i="13" s="1"/>
  <c r="B235" i="13"/>
  <c r="B235" i="21"/>
  <c r="C234" i="21"/>
  <c r="A234" i="21"/>
  <c r="F233" i="13"/>
  <c r="F233" i="23"/>
  <c r="I232" i="21"/>
  <c r="C235" i="20"/>
  <c r="B236" i="20"/>
  <c r="A235" i="20"/>
  <c r="G233" i="13"/>
  <c r="F233" i="19"/>
  <c r="H233" i="23"/>
  <c r="H233" i="21"/>
  <c r="C234" i="25"/>
  <c r="A234" i="25"/>
  <c r="B235" i="25"/>
  <c r="G233" i="19"/>
  <c r="D233" i="23"/>
  <c r="E233" i="26"/>
  <c r="H233" i="25"/>
  <c r="E233" i="25"/>
  <c r="F233" i="25"/>
  <c r="D233" i="25"/>
  <c r="G233" i="25"/>
  <c r="E233" i="19"/>
  <c r="G233" i="23"/>
  <c r="I236" i="31" l="1"/>
  <c r="T161" i="3"/>
  <c r="J161" i="3" s="1"/>
  <c r="T162" i="31"/>
  <c r="J162" i="31" s="1"/>
  <c r="E237" i="31"/>
  <c r="F237" i="31"/>
  <c r="H237" i="31"/>
  <c r="G237" i="31"/>
  <c r="H237" i="3"/>
  <c r="F237" i="3"/>
  <c r="E237" i="3"/>
  <c r="D237" i="3"/>
  <c r="S162" i="3"/>
  <c r="S163" i="31"/>
  <c r="I236" i="3"/>
  <c r="A238" i="3"/>
  <c r="B239" i="3"/>
  <c r="C238" i="3"/>
  <c r="H238" i="3" s="1"/>
  <c r="B239" i="31"/>
  <c r="C238" i="31"/>
  <c r="D238" i="31" s="1"/>
  <c r="A238" i="31"/>
  <c r="D237" i="31"/>
  <c r="R163" i="3"/>
  <c r="R164" i="31"/>
  <c r="Q164" i="3"/>
  <c r="Q165" i="31"/>
  <c r="L170" i="3"/>
  <c r="P165" i="3"/>
  <c r="P166" i="31"/>
  <c r="O167" i="3"/>
  <c r="O168" i="31"/>
  <c r="N169" i="31"/>
  <c r="M169" i="3"/>
  <c r="M170" i="31"/>
  <c r="L171" i="31"/>
  <c r="F234" i="13"/>
  <c r="E234" i="13"/>
  <c r="H234" i="13"/>
  <c r="K171" i="3"/>
  <c r="K172" i="31"/>
  <c r="I233" i="26"/>
  <c r="D234" i="13"/>
  <c r="I233" i="19"/>
  <c r="I233" i="21"/>
  <c r="A235" i="24"/>
  <c r="C235" i="24"/>
  <c r="D235" i="24" s="1"/>
  <c r="B236" i="24"/>
  <c r="G234" i="19"/>
  <c r="B236" i="26"/>
  <c r="C235" i="26"/>
  <c r="A235" i="26"/>
  <c r="C235" i="13"/>
  <c r="E235" i="13" s="1"/>
  <c r="A235" i="13"/>
  <c r="B236" i="13"/>
  <c r="H235" i="27"/>
  <c r="F235" i="27"/>
  <c r="E235" i="27"/>
  <c r="G235" i="27"/>
  <c r="D235" i="27"/>
  <c r="F234" i="19"/>
  <c r="I234" i="22"/>
  <c r="C235" i="23"/>
  <c r="D235" i="23" s="1"/>
  <c r="A235" i="23"/>
  <c r="B236" i="23"/>
  <c r="I233" i="23"/>
  <c r="B236" i="25"/>
  <c r="A235" i="25"/>
  <c r="C235" i="25"/>
  <c r="B237" i="20"/>
  <c r="C236" i="20"/>
  <c r="A236" i="20"/>
  <c r="A236" i="27"/>
  <c r="C236" i="27"/>
  <c r="B237" i="27"/>
  <c r="E234" i="19"/>
  <c r="I234" i="27"/>
  <c r="H234" i="23"/>
  <c r="H234" i="26"/>
  <c r="E234" i="26"/>
  <c r="G234" i="26"/>
  <c r="F234" i="26"/>
  <c r="I233" i="25"/>
  <c r="G235" i="20"/>
  <c r="F235" i="20"/>
  <c r="E235" i="20"/>
  <c r="D235" i="20"/>
  <c r="H235" i="20"/>
  <c r="C236" i="22"/>
  <c r="B237" i="22"/>
  <c r="A236" i="22"/>
  <c r="G234" i="25"/>
  <c r="F234" i="25"/>
  <c r="D234" i="25"/>
  <c r="H234" i="25"/>
  <c r="E234" i="25"/>
  <c r="A235" i="21"/>
  <c r="C235" i="21"/>
  <c r="B236" i="21"/>
  <c r="A235" i="19"/>
  <c r="B236" i="19"/>
  <c r="C235" i="19"/>
  <c r="E235" i="19" s="1"/>
  <c r="I233" i="13"/>
  <c r="G234" i="23"/>
  <c r="D235" i="22"/>
  <c r="H235" i="22"/>
  <c r="E235" i="22"/>
  <c r="F235" i="22"/>
  <c r="I234" i="20"/>
  <c r="F234" i="24"/>
  <c r="E234" i="24"/>
  <c r="H234" i="24"/>
  <c r="D234" i="24"/>
  <c r="G234" i="24"/>
  <c r="F234" i="21"/>
  <c r="H234" i="21"/>
  <c r="E234" i="21"/>
  <c r="D234" i="21"/>
  <c r="D234" i="19"/>
  <c r="E234" i="23"/>
  <c r="I233" i="24"/>
  <c r="F234" i="23"/>
  <c r="G234" i="21"/>
  <c r="T162" i="3" l="1"/>
  <c r="J162" i="3" s="1"/>
  <c r="T163" i="31"/>
  <c r="J163" i="31" s="1"/>
  <c r="I237" i="31"/>
  <c r="B240" i="31"/>
  <c r="A239" i="31"/>
  <c r="C239" i="31"/>
  <c r="D238" i="3"/>
  <c r="F238" i="3"/>
  <c r="G238" i="3"/>
  <c r="S163" i="3"/>
  <c r="S164" i="31"/>
  <c r="G238" i="31"/>
  <c r="E238" i="31"/>
  <c r="F238" i="31"/>
  <c r="C239" i="3"/>
  <c r="A239" i="3"/>
  <c r="B240" i="3"/>
  <c r="I237" i="3"/>
  <c r="H238" i="31"/>
  <c r="E238" i="3"/>
  <c r="R164" i="3"/>
  <c r="R165" i="31"/>
  <c r="L171" i="3"/>
  <c r="Q165" i="3"/>
  <c r="Q166" i="31"/>
  <c r="P166" i="3"/>
  <c r="P167" i="31"/>
  <c r="N169" i="3"/>
  <c r="O169" i="31"/>
  <c r="O168" i="3"/>
  <c r="M170" i="3"/>
  <c r="N170" i="31"/>
  <c r="M171" i="31"/>
  <c r="L172" i="31"/>
  <c r="G235" i="24"/>
  <c r="I234" i="13"/>
  <c r="K172" i="3"/>
  <c r="K173" i="31"/>
  <c r="D235" i="13"/>
  <c r="H235" i="13"/>
  <c r="G235" i="13"/>
  <c r="E235" i="24"/>
  <c r="F235" i="13"/>
  <c r="I234" i="23"/>
  <c r="H235" i="19"/>
  <c r="I234" i="26"/>
  <c r="G235" i="19"/>
  <c r="F236" i="27"/>
  <c r="G236" i="27"/>
  <c r="H236" i="27"/>
  <c r="E236" i="27"/>
  <c r="D236" i="27"/>
  <c r="I234" i="25"/>
  <c r="C236" i="26"/>
  <c r="G236" i="26" s="1"/>
  <c r="A236" i="26"/>
  <c r="B237" i="26"/>
  <c r="I234" i="24"/>
  <c r="I235" i="22"/>
  <c r="C236" i="19"/>
  <c r="G236" i="19" s="1"/>
  <c r="A236" i="19"/>
  <c r="B237" i="19"/>
  <c r="H236" i="20"/>
  <c r="E236" i="20"/>
  <c r="G236" i="20"/>
  <c r="D236" i="20"/>
  <c r="F236" i="20"/>
  <c r="F235" i="23"/>
  <c r="I235" i="27"/>
  <c r="F235" i="26"/>
  <c r="E235" i="26"/>
  <c r="G235" i="26"/>
  <c r="H235" i="26"/>
  <c r="E235" i="23"/>
  <c r="I234" i="19"/>
  <c r="B238" i="20"/>
  <c r="A237" i="20"/>
  <c r="C237" i="20"/>
  <c r="G235" i="23"/>
  <c r="B237" i="13"/>
  <c r="C236" i="13"/>
  <c r="G236" i="13" s="1"/>
  <c r="A236" i="13"/>
  <c r="B237" i="24"/>
  <c r="A236" i="24"/>
  <c r="C236" i="24"/>
  <c r="I234" i="21"/>
  <c r="F235" i="25"/>
  <c r="D235" i="25"/>
  <c r="E235" i="25"/>
  <c r="G235" i="25"/>
  <c r="H235" i="25"/>
  <c r="H235" i="23"/>
  <c r="D235" i="19"/>
  <c r="D235" i="21"/>
  <c r="E235" i="21"/>
  <c r="G235" i="21"/>
  <c r="F235" i="21"/>
  <c r="H235" i="21"/>
  <c r="B238" i="22"/>
  <c r="C237" i="22"/>
  <c r="A237" i="22"/>
  <c r="B237" i="23"/>
  <c r="A236" i="23"/>
  <c r="C236" i="23"/>
  <c r="D236" i="23" s="1"/>
  <c r="I235" i="20"/>
  <c r="B237" i="21"/>
  <c r="C236" i="21"/>
  <c r="A236" i="21"/>
  <c r="H235" i="24"/>
  <c r="F235" i="24"/>
  <c r="F235" i="19"/>
  <c r="D236" i="22"/>
  <c r="E236" i="22"/>
  <c r="F236" i="22"/>
  <c r="H236" i="22"/>
  <c r="B238" i="27"/>
  <c r="A237" i="27"/>
  <c r="C237" i="27"/>
  <c r="B237" i="25"/>
  <c r="C236" i="25"/>
  <c r="A236" i="25"/>
  <c r="D235" i="26"/>
  <c r="G236" i="22"/>
  <c r="T163" i="3" l="1"/>
  <c r="J163" i="3" s="1"/>
  <c r="T164" i="31"/>
  <c r="I238" i="3"/>
  <c r="I238" i="31"/>
  <c r="H239" i="31"/>
  <c r="F239" i="31"/>
  <c r="D239" i="31"/>
  <c r="C240" i="3"/>
  <c r="D240" i="3" s="1"/>
  <c r="B241" i="3"/>
  <c r="A240" i="3"/>
  <c r="G239" i="31"/>
  <c r="S164" i="3"/>
  <c r="S165" i="31"/>
  <c r="A240" i="31"/>
  <c r="B241" i="31"/>
  <c r="C240" i="31"/>
  <c r="F240" i="31" s="1"/>
  <c r="H239" i="3"/>
  <c r="D239" i="3"/>
  <c r="F239" i="3"/>
  <c r="G239" i="3"/>
  <c r="E239" i="3"/>
  <c r="E239" i="31"/>
  <c r="R165" i="3"/>
  <c r="R166" i="31"/>
  <c r="N170" i="3"/>
  <c r="Q166" i="3"/>
  <c r="Q167" i="31"/>
  <c r="O169" i="3"/>
  <c r="P167" i="3"/>
  <c r="P168" i="31"/>
  <c r="O170" i="31"/>
  <c r="N171" i="31"/>
  <c r="M171" i="3"/>
  <c r="L172" i="3"/>
  <c r="M172" i="31"/>
  <c r="L173" i="31"/>
  <c r="H236" i="26"/>
  <c r="K173" i="3"/>
  <c r="K174" i="31"/>
  <c r="I235" i="13"/>
  <c r="E236" i="23"/>
  <c r="H236" i="13"/>
  <c r="H236" i="23"/>
  <c r="D236" i="13"/>
  <c r="I236" i="27"/>
  <c r="I235" i="23"/>
  <c r="E236" i="13"/>
  <c r="I235" i="24"/>
  <c r="F236" i="13"/>
  <c r="A238" i="27"/>
  <c r="C238" i="27"/>
  <c r="E238" i="27" s="1"/>
  <c r="B239" i="27"/>
  <c r="I235" i="26"/>
  <c r="G236" i="21"/>
  <c r="D236" i="21"/>
  <c r="H236" i="21"/>
  <c r="A238" i="20"/>
  <c r="C238" i="20"/>
  <c r="B239" i="20"/>
  <c r="F236" i="19"/>
  <c r="C237" i="24"/>
  <c r="D237" i="24" s="1"/>
  <c r="B238" i="24"/>
  <c r="A237" i="24"/>
  <c r="E236" i="19"/>
  <c r="F236" i="25"/>
  <c r="G236" i="25"/>
  <c r="H236" i="25"/>
  <c r="D236" i="25"/>
  <c r="E236" i="25"/>
  <c r="I236" i="22"/>
  <c r="I235" i="19"/>
  <c r="D236" i="19"/>
  <c r="C237" i="26"/>
  <c r="B238" i="26"/>
  <c r="A237" i="26"/>
  <c r="G237" i="20"/>
  <c r="E237" i="20"/>
  <c r="H237" i="20"/>
  <c r="D237" i="20"/>
  <c r="F237" i="20"/>
  <c r="I235" i="25"/>
  <c r="C237" i="21"/>
  <c r="E237" i="21" s="1"/>
  <c r="A237" i="21"/>
  <c r="B238" i="21"/>
  <c r="A237" i="23"/>
  <c r="B238" i="23"/>
  <c r="C237" i="23"/>
  <c r="G237" i="23" s="1"/>
  <c r="C237" i="25"/>
  <c r="H237" i="25" s="1"/>
  <c r="B238" i="25"/>
  <c r="A237" i="25"/>
  <c r="G236" i="23"/>
  <c r="D237" i="22"/>
  <c r="H237" i="22"/>
  <c r="E237" i="22"/>
  <c r="G237" i="22"/>
  <c r="F237" i="22"/>
  <c r="F236" i="24"/>
  <c r="H236" i="24"/>
  <c r="D236" i="24"/>
  <c r="G236" i="24"/>
  <c r="E236" i="24"/>
  <c r="H236" i="19"/>
  <c r="I235" i="21"/>
  <c r="G237" i="27"/>
  <c r="H237" i="27"/>
  <c r="E237" i="27"/>
  <c r="D237" i="27"/>
  <c r="F237" i="27"/>
  <c r="F236" i="21"/>
  <c r="F236" i="23"/>
  <c r="A238" i="22"/>
  <c r="C238" i="22"/>
  <c r="B239" i="22"/>
  <c r="B238" i="13"/>
  <c r="A237" i="13"/>
  <c r="C237" i="13"/>
  <c r="E237" i="13" s="1"/>
  <c r="I236" i="20"/>
  <c r="A237" i="19"/>
  <c r="C237" i="19"/>
  <c r="G237" i="19" s="1"/>
  <c r="B238" i="19"/>
  <c r="F236" i="26"/>
  <c r="E236" i="26"/>
  <c r="D236" i="26"/>
  <c r="E236" i="21"/>
  <c r="E240" i="31" l="1"/>
  <c r="D240" i="31"/>
  <c r="T164" i="3"/>
  <c r="J164" i="3" s="1"/>
  <c r="T165" i="31"/>
  <c r="J164" i="31"/>
  <c r="G240" i="31"/>
  <c r="I239" i="31"/>
  <c r="H240" i="31"/>
  <c r="A241" i="3"/>
  <c r="B242" i="3"/>
  <c r="C241" i="3"/>
  <c r="I239" i="3"/>
  <c r="S165" i="3"/>
  <c r="S166" i="31"/>
  <c r="F240" i="3"/>
  <c r="E240" i="3"/>
  <c r="H240" i="3"/>
  <c r="G240" i="3"/>
  <c r="A241" i="31"/>
  <c r="C241" i="31"/>
  <c r="B242" i="31"/>
  <c r="R166" i="3"/>
  <c r="R167" i="31"/>
  <c r="L173" i="3"/>
  <c r="Q167" i="3"/>
  <c r="Q168" i="31"/>
  <c r="P168" i="3"/>
  <c r="P169" i="31"/>
  <c r="O170" i="3"/>
  <c r="N172" i="31"/>
  <c r="N172" i="3" s="1"/>
  <c r="N171" i="3"/>
  <c r="O171" i="31"/>
  <c r="M172" i="3"/>
  <c r="M173" i="31"/>
  <c r="M173" i="3" s="1"/>
  <c r="L174" i="31"/>
  <c r="H237" i="23"/>
  <c r="D238" i="27"/>
  <c r="E237" i="23"/>
  <c r="D237" i="23"/>
  <c r="K174" i="3"/>
  <c r="K175" i="31"/>
  <c r="I236" i="23"/>
  <c r="I236" i="26"/>
  <c r="I236" i="13"/>
  <c r="I236" i="24"/>
  <c r="F237" i="24"/>
  <c r="C238" i="13"/>
  <c r="H238" i="13" s="1"/>
  <c r="A238" i="13"/>
  <c r="B239" i="13"/>
  <c r="A239" i="22"/>
  <c r="C239" i="22"/>
  <c r="H239" i="22" s="1"/>
  <c r="B240" i="22"/>
  <c r="G237" i="21"/>
  <c r="D237" i="21"/>
  <c r="F237" i="21"/>
  <c r="H237" i="21"/>
  <c r="C238" i="26"/>
  <c r="D238" i="26" s="1"/>
  <c r="B239" i="26"/>
  <c r="A238" i="26"/>
  <c r="I236" i="21"/>
  <c r="F237" i="19"/>
  <c r="H237" i="13"/>
  <c r="H238" i="22"/>
  <c r="F238" i="22"/>
  <c r="G238" i="22"/>
  <c r="E238" i="22"/>
  <c r="D238" i="22"/>
  <c r="I237" i="22"/>
  <c r="F237" i="23"/>
  <c r="E237" i="26"/>
  <c r="H237" i="26"/>
  <c r="D237" i="26"/>
  <c r="G237" i="26"/>
  <c r="F237" i="26"/>
  <c r="A238" i="24"/>
  <c r="C238" i="24"/>
  <c r="B239" i="24"/>
  <c r="B239" i="19"/>
  <c r="C238" i="19"/>
  <c r="G238" i="19" s="1"/>
  <c r="A238" i="19"/>
  <c r="B239" i="21"/>
  <c r="A238" i="21"/>
  <c r="C238" i="21"/>
  <c r="H238" i="21" s="1"/>
  <c r="G237" i="24"/>
  <c r="H237" i="24"/>
  <c r="D237" i="19"/>
  <c r="F237" i="13"/>
  <c r="I237" i="20"/>
  <c r="A239" i="27"/>
  <c r="C239" i="27"/>
  <c r="B240" i="27"/>
  <c r="D237" i="25"/>
  <c r="F237" i="25"/>
  <c r="E237" i="25"/>
  <c r="G237" i="25"/>
  <c r="I237" i="27"/>
  <c r="I236" i="25"/>
  <c r="E237" i="19"/>
  <c r="D237" i="13"/>
  <c r="I236" i="19"/>
  <c r="E237" i="24"/>
  <c r="H237" i="19"/>
  <c r="G237" i="13"/>
  <c r="C238" i="25"/>
  <c r="B239" i="25"/>
  <c r="A238" i="25"/>
  <c r="B239" i="23"/>
  <c r="A238" i="23"/>
  <c r="C238" i="23"/>
  <c r="D238" i="23" s="1"/>
  <c r="C239" i="20"/>
  <c r="A239" i="20"/>
  <c r="B240" i="20"/>
  <c r="H238" i="27"/>
  <c r="G238" i="27"/>
  <c r="F238" i="27"/>
  <c r="E238" i="20"/>
  <c r="H238" i="20"/>
  <c r="F238" i="20"/>
  <c r="G238" i="20"/>
  <c r="D238" i="20"/>
  <c r="I240" i="31" l="1"/>
  <c r="T165" i="3"/>
  <c r="J165" i="3" s="1"/>
  <c r="T166" i="31"/>
  <c r="J166" i="31" s="1"/>
  <c r="J165" i="31"/>
  <c r="G241" i="3"/>
  <c r="H241" i="3"/>
  <c r="C242" i="31"/>
  <c r="E242" i="31" s="1"/>
  <c r="A242" i="31"/>
  <c r="B243" i="31"/>
  <c r="I240" i="3"/>
  <c r="H241" i="31"/>
  <c r="F241" i="31"/>
  <c r="D241" i="31"/>
  <c r="E241" i="31"/>
  <c r="G241" i="31"/>
  <c r="D241" i="3"/>
  <c r="E241" i="3"/>
  <c r="B243" i="3"/>
  <c r="A242" i="3"/>
  <c r="C242" i="3"/>
  <c r="H242" i="3" s="1"/>
  <c r="S166" i="3"/>
  <c r="S167" i="31"/>
  <c r="F241" i="3"/>
  <c r="R167" i="3"/>
  <c r="R168" i="31"/>
  <c r="L174" i="3"/>
  <c r="Q168" i="3"/>
  <c r="Q169" i="31"/>
  <c r="P169" i="3"/>
  <c r="P170" i="31"/>
  <c r="O171" i="3"/>
  <c r="O172" i="31"/>
  <c r="N173" i="31"/>
  <c r="M174" i="31"/>
  <c r="I237" i="23"/>
  <c r="D238" i="19"/>
  <c r="L175" i="31"/>
  <c r="K176" i="31"/>
  <c r="K175" i="3"/>
  <c r="D238" i="13"/>
  <c r="E238" i="23"/>
  <c r="H238" i="19"/>
  <c r="F238" i="21"/>
  <c r="I238" i="27"/>
  <c r="I237" i="24"/>
  <c r="I237" i="21"/>
  <c r="I238" i="20"/>
  <c r="F238" i="19"/>
  <c r="I238" i="22"/>
  <c r="A239" i="13"/>
  <c r="B240" i="13"/>
  <c r="C239" i="13"/>
  <c r="E239" i="13" s="1"/>
  <c r="A239" i="23"/>
  <c r="B240" i="23"/>
  <c r="C239" i="23"/>
  <c r="D239" i="23" s="1"/>
  <c r="E238" i="19"/>
  <c r="E239" i="22"/>
  <c r="F239" i="22"/>
  <c r="G239" i="22"/>
  <c r="D239" i="22"/>
  <c r="D238" i="24"/>
  <c r="F238" i="24"/>
  <c r="E238" i="24"/>
  <c r="H238" i="24"/>
  <c r="G238" i="24"/>
  <c r="A240" i="20"/>
  <c r="C240" i="20"/>
  <c r="F240" i="20" s="1"/>
  <c r="B241" i="20"/>
  <c r="I237" i="19"/>
  <c r="A240" i="22"/>
  <c r="B241" i="22"/>
  <c r="C240" i="22"/>
  <c r="G240" i="22" s="1"/>
  <c r="E239" i="20"/>
  <c r="H239" i="20"/>
  <c r="G239" i="20"/>
  <c r="D239" i="20"/>
  <c r="F239" i="20"/>
  <c r="I237" i="13"/>
  <c r="I237" i="25"/>
  <c r="I237" i="26"/>
  <c r="C239" i="26"/>
  <c r="A239" i="26"/>
  <c r="B240" i="26"/>
  <c r="F238" i="23"/>
  <c r="C239" i="25"/>
  <c r="D239" i="25" s="1"/>
  <c r="A239" i="25"/>
  <c r="B240" i="25"/>
  <c r="A240" i="27"/>
  <c r="B241" i="27"/>
  <c r="C240" i="27"/>
  <c r="H240" i="27" s="1"/>
  <c r="G238" i="26"/>
  <c r="F238" i="26"/>
  <c r="H238" i="26"/>
  <c r="E238" i="26"/>
  <c r="E238" i="21"/>
  <c r="H238" i="23"/>
  <c r="E238" i="25"/>
  <c r="G238" i="25"/>
  <c r="D238" i="25"/>
  <c r="H238" i="25"/>
  <c r="F238" i="25"/>
  <c r="G239" i="27"/>
  <c r="H239" i="27"/>
  <c r="D239" i="27"/>
  <c r="E239" i="27"/>
  <c r="F239" i="27"/>
  <c r="B240" i="19"/>
  <c r="A239" i="19"/>
  <c r="C239" i="19"/>
  <c r="H239" i="19" s="1"/>
  <c r="E238" i="13"/>
  <c r="D238" i="21"/>
  <c r="G238" i="21"/>
  <c r="G238" i="23"/>
  <c r="A239" i="21"/>
  <c r="C239" i="21"/>
  <c r="B240" i="21"/>
  <c r="A239" i="24"/>
  <c r="C239" i="24"/>
  <c r="B240" i="24"/>
  <c r="G238" i="13"/>
  <c r="F238" i="13"/>
  <c r="D242" i="3" l="1"/>
  <c r="G242" i="3"/>
  <c r="I241" i="3"/>
  <c r="F242" i="3"/>
  <c r="T166" i="3"/>
  <c r="J166" i="3" s="1"/>
  <c r="H48" i="2" s="1"/>
  <c r="I48" i="2" s="1"/>
  <c r="A49" i="2" s="1"/>
  <c r="T167" i="31"/>
  <c r="D242" i="31"/>
  <c r="G242" i="31"/>
  <c r="H242" i="31"/>
  <c r="F242" i="31"/>
  <c r="B244" i="31"/>
  <c r="A243" i="31"/>
  <c r="C243" i="31"/>
  <c r="S167" i="3"/>
  <c r="S168" i="31"/>
  <c r="C243" i="3"/>
  <c r="B244" i="3"/>
  <c r="A243" i="3"/>
  <c r="I241" i="31"/>
  <c r="E242" i="3"/>
  <c r="R168" i="3"/>
  <c r="R169" i="31"/>
  <c r="Q169" i="3"/>
  <c r="Q170" i="31"/>
  <c r="Q170" i="3" s="1"/>
  <c r="P170" i="3"/>
  <c r="P171" i="31"/>
  <c r="N174" i="31"/>
  <c r="N173" i="3"/>
  <c r="O172" i="3"/>
  <c r="O173" i="31"/>
  <c r="M174" i="3"/>
  <c r="L175" i="3"/>
  <c r="M175" i="31"/>
  <c r="L176" i="31"/>
  <c r="F240" i="27"/>
  <c r="K176" i="3"/>
  <c r="K177" i="31"/>
  <c r="E239" i="19"/>
  <c r="G239" i="19"/>
  <c r="I238" i="19"/>
  <c r="I238" i="26"/>
  <c r="I238" i="23"/>
  <c r="D240" i="20"/>
  <c r="F239" i="19"/>
  <c r="I238" i="13"/>
  <c r="H240" i="20"/>
  <c r="I238" i="25"/>
  <c r="D239" i="19"/>
  <c r="F239" i="13"/>
  <c r="C240" i="21"/>
  <c r="D240" i="21" s="1"/>
  <c r="B241" i="21"/>
  <c r="A240" i="21"/>
  <c r="F240" i="22"/>
  <c r="H240" i="22"/>
  <c r="A240" i="13"/>
  <c r="C240" i="13"/>
  <c r="D240" i="13" s="1"/>
  <c r="B241" i="13"/>
  <c r="I239" i="27"/>
  <c r="C241" i="22"/>
  <c r="A241" i="22"/>
  <c r="B242" i="22"/>
  <c r="H239" i="25"/>
  <c r="A240" i="19"/>
  <c r="B241" i="19"/>
  <c r="C240" i="19"/>
  <c r="F240" i="19" s="1"/>
  <c r="E239" i="23"/>
  <c r="A240" i="24"/>
  <c r="B241" i="24"/>
  <c r="C240" i="24"/>
  <c r="E240" i="22"/>
  <c r="G240" i="27"/>
  <c r="D240" i="27"/>
  <c r="D240" i="22"/>
  <c r="I239" i="20"/>
  <c r="H239" i="23"/>
  <c r="D239" i="13"/>
  <c r="G239" i="25"/>
  <c r="H239" i="26"/>
  <c r="E239" i="26"/>
  <c r="D239" i="26"/>
  <c r="G239" i="26"/>
  <c r="F239" i="26"/>
  <c r="F239" i="21"/>
  <c r="G239" i="21"/>
  <c r="H239" i="21"/>
  <c r="D239" i="21"/>
  <c r="E239" i="21"/>
  <c r="B241" i="23"/>
  <c r="C240" i="23"/>
  <c r="F240" i="23" s="1"/>
  <c r="A240" i="23"/>
  <c r="H239" i="24"/>
  <c r="E239" i="24"/>
  <c r="D239" i="24"/>
  <c r="F239" i="24"/>
  <c r="G239" i="24"/>
  <c r="C241" i="27"/>
  <c r="B242" i="27"/>
  <c r="A241" i="27"/>
  <c r="A240" i="26"/>
  <c r="B241" i="26"/>
  <c r="C240" i="26"/>
  <c r="A241" i="20"/>
  <c r="C241" i="20"/>
  <c r="B242" i="20"/>
  <c r="I238" i="24"/>
  <c r="F239" i="23"/>
  <c r="H239" i="13"/>
  <c r="E240" i="27"/>
  <c r="B241" i="25"/>
  <c r="A240" i="25"/>
  <c r="C240" i="25"/>
  <c r="E239" i="25"/>
  <c r="F239" i="25"/>
  <c r="I238" i="21"/>
  <c r="G240" i="20"/>
  <c r="E240" i="20"/>
  <c r="I239" i="22"/>
  <c r="G239" i="23"/>
  <c r="G239" i="13"/>
  <c r="I242" i="3" l="1"/>
  <c r="I242" i="31"/>
  <c r="C49" i="2"/>
  <c r="B49" i="2"/>
  <c r="F49" i="2"/>
  <c r="D49" i="2"/>
  <c r="E49" i="2"/>
  <c r="G49" i="2"/>
  <c r="T167" i="3"/>
  <c r="J167" i="3" s="1"/>
  <c r="T168" i="31"/>
  <c r="J168" i="31" s="1"/>
  <c r="J167" i="31"/>
  <c r="C244" i="3"/>
  <c r="A244" i="3"/>
  <c r="B245" i="3"/>
  <c r="S168" i="3"/>
  <c r="S169" i="31"/>
  <c r="F243" i="3"/>
  <c r="G243" i="3"/>
  <c r="E243" i="3"/>
  <c r="D243" i="3"/>
  <c r="H243" i="3"/>
  <c r="A244" i="31"/>
  <c r="C244" i="31"/>
  <c r="E244" i="31" s="1"/>
  <c r="B245" i="31"/>
  <c r="F243" i="31"/>
  <c r="E243" i="31"/>
  <c r="D243" i="31"/>
  <c r="G243" i="31"/>
  <c r="H243" i="31"/>
  <c r="R169" i="3"/>
  <c r="R170" i="31"/>
  <c r="Q171" i="31"/>
  <c r="L176" i="3"/>
  <c r="O173" i="3"/>
  <c r="P171" i="3"/>
  <c r="P172" i="31"/>
  <c r="O174" i="31"/>
  <c r="N174" i="3"/>
  <c r="M175" i="3"/>
  <c r="N175" i="31"/>
  <c r="M176" i="31"/>
  <c r="L177" i="31"/>
  <c r="G240" i="23"/>
  <c r="K177" i="3"/>
  <c r="K178" i="31"/>
  <c r="H240" i="13"/>
  <c r="H240" i="23"/>
  <c r="E240" i="19"/>
  <c r="G240" i="19"/>
  <c r="I239" i="25"/>
  <c r="I239" i="19"/>
  <c r="I240" i="20"/>
  <c r="E240" i="13"/>
  <c r="H240" i="21"/>
  <c r="I239" i="23"/>
  <c r="D240" i="23"/>
  <c r="F240" i="13"/>
  <c r="E240" i="23"/>
  <c r="G240" i="13"/>
  <c r="D240" i="25"/>
  <c r="H240" i="25"/>
  <c r="D241" i="22"/>
  <c r="G241" i="22"/>
  <c r="H241" i="22"/>
  <c r="F241" i="22"/>
  <c r="E241" i="22"/>
  <c r="B242" i="25"/>
  <c r="C241" i="25"/>
  <c r="F241" i="25" s="1"/>
  <c r="A241" i="25"/>
  <c r="F240" i="26"/>
  <c r="E240" i="26"/>
  <c r="G240" i="26"/>
  <c r="H240" i="26"/>
  <c r="D240" i="26"/>
  <c r="I239" i="13"/>
  <c r="A241" i="24"/>
  <c r="B242" i="24"/>
  <c r="C241" i="24"/>
  <c r="G241" i="24" s="1"/>
  <c r="E240" i="21"/>
  <c r="C241" i="26"/>
  <c r="G241" i="26" s="1"/>
  <c r="A241" i="26"/>
  <c r="B242" i="26"/>
  <c r="A241" i="19"/>
  <c r="B242" i="19"/>
  <c r="C241" i="19"/>
  <c r="F241" i="19" s="1"/>
  <c r="D240" i="24"/>
  <c r="G240" i="24"/>
  <c r="F240" i="24"/>
  <c r="E240" i="24"/>
  <c r="H240" i="24"/>
  <c r="I239" i="24"/>
  <c r="C241" i="21"/>
  <c r="A241" i="21"/>
  <c r="B242" i="21"/>
  <c r="I240" i="22"/>
  <c r="E240" i="25"/>
  <c r="G240" i="21"/>
  <c r="F240" i="21"/>
  <c r="B243" i="27"/>
  <c r="A242" i="27"/>
  <c r="C242" i="27"/>
  <c r="F240" i="25"/>
  <c r="I239" i="26"/>
  <c r="I240" i="27"/>
  <c r="H240" i="19"/>
  <c r="C242" i="22"/>
  <c r="B243" i="22"/>
  <c r="A242" i="22"/>
  <c r="B242" i="13"/>
  <c r="A241" i="13"/>
  <c r="C241" i="13"/>
  <c r="H241" i="13" s="1"/>
  <c r="G240" i="25"/>
  <c r="D241" i="20"/>
  <c r="G241" i="20"/>
  <c r="H241" i="20"/>
  <c r="E241" i="20"/>
  <c r="F241" i="20"/>
  <c r="B242" i="23"/>
  <c r="C241" i="23"/>
  <c r="D241" i="23" s="1"/>
  <c r="A241" i="23"/>
  <c r="C242" i="20"/>
  <c r="B243" i="20"/>
  <c r="A242" i="20"/>
  <c r="F241" i="27"/>
  <c r="H241" i="27"/>
  <c r="G241" i="27"/>
  <c r="D241" i="27"/>
  <c r="E241" i="27"/>
  <c r="I239" i="21"/>
  <c r="D240" i="19"/>
  <c r="T168" i="3" l="1"/>
  <c r="J168" i="3" s="1"/>
  <c r="T169" i="31"/>
  <c r="J169" i="31" s="1"/>
  <c r="I243" i="3"/>
  <c r="H244" i="31"/>
  <c r="F244" i="31"/>
  <c r="F244" i="3"/>
  <c r="D244" i="3"/>
  <c r="D244" i="31"/>
  <c r="B246" i="31"/>
  <c r="C245" i="31"/>
  <c r="D245" i="31" s="1"/>
  <c r="A245" i="31"/>
  <c r="H244" i="3"/>
  <c r="G244" i="3"/>
  <c r="G244" i="31"/>
  <c r="I243" i="31"/>
  <c r="S169" i="3"/>
  <c r="S170" i="31"/>
  <c r="E244" i="3"/>
  <c r="B246" i="3"/>
  <c r="A245" i="3"/>
  <c r="C245" i="3"/>
  <c r="R170" i="3"/>
  <c r="R171" i="31"/>
  <c r="L177" i="3"/>
  <c r="Q171" i="3"/>
  <c r="Q172" i="31"/>
  <c r="P172" i="3"/>
  <c r="P173" i="31"/>
  <c r="N175" i="3"/>
  <c r="O175" i="31"/>
  <c r="O175" i="3" s="1"/>
  <c r="O174" i="3"/>
  <c r="N176" i="31"/>
  <c r="M177" i="31"/>
  <c r="M176" i="3"/>
  <c r="L178" i="31"/>
  <c r="F241" i="13"/>
  <c r="D241" i="19"/>
  <c r="E241" i="23"/>
  <c r="K178" i="3"/>
  <c r="K179" i="31"/>
  <c r="G241" i="13"/>
  <c r="H241" i="24"/>
  <c r="F241" i="23"/>
  <c r="I240" i="26"/>
  <c r="I240" i="23"/>
  <c r="I241" i="27"/>
  <c r="I240" i="13"/>
  <c r="G241" i="25"/>
  <c r="H241" i="19"/>
  <c r="I240" i="21"/>
  <c r="D241" i="25"/>
  <c r="G241" i="19"/>
  <c r="G241" i="23"/>
  <c r="H241" i="23"/>
  <c r="C242" i="21"/>
  <c r="B243" i="21"/>
  <c r="A242" i="21"/>
  <c r="I240" i="19"/>
  <c r="I241" i="20"/>
  <c r="B243" i="13"/>
  <c r="A242" i="13"/>
  <c r="C242" i="13"/>
  <c r="D242" i="13" s="1"/>
  <c r="H242" i="27"/>
  <c r="F242" i="27"/>
  <c r="G242" i="27"/>
  <c r="E242" i="27"/>
  <c r="D242" i="27"/>
  <c r="A242" i="19"/>
  <c r="B243" i="19"/>
  <c r="C242" i="19"/>
  <c r="E242" i="19" s="1"/>
  <c r="E241" i="24"/>
  <c r="D241" i="24"/>
  <c r="F241" i="24"/>
  <c r="I241" i="22"/>
  <c r="A243" i="20"/>
  <c r="C243" i="20"/>
  <c r="H243" i="20" s="1"/>
  <c r="B244" i="20"/>
  <c r="C242" i="24"/>
  <c r="A242" i="24"/>
  <c r="B243" i="24"/>
  <c r="D242" i="20"/>
  <c r="F242" i="20"/>
  <c r="E242" i="20"/>
  <c r="G242" i="20"/>
  <c r="H242" i="20"/>
  <c r="B243" i="23"/>
  <c r="A242" i="23"/>
  <c r="C242" i="23"/>
  <c r="D242" i="23" s="1"/>
  <c r="D241" i="13"/>
  <c r="C243" i="22"/>
  <c r="A243" i="22"/>
  <c r="B244" i="22"/>
  <c r="A243" i="27"/>
  <c r="B244" i="27"/>
  <c r="C243" i="27"/>
  <c r="I240" i="24"/>
  <c r="A242" i="26"/>
  <c r="C242" i="26"/>
  <c r="B243" i="26"/>
  <c r="E241" i="25"/>
  <c r="H241" i="25"/>
  <c r="I240" i="25"/>
  <c r="H241" i="26"/>
  <c r="E241" i="26"/>
  <c r="F241" i="26"/>
  <c r="H241" i="21"/>
  <c r="E241" i="21"/>
  <c r="D241" i="21"/>
  <c r="G241" i="21"/>
  <c r="F241" i="21"/>
  <c r="D241" i="26"/>
  <c r="E241" i="13"/>
  <c r="F242" i="22"/>
  <c r="G242" i="22"/>
  <c r="E242" i="22"/>
  <c r="D242" i="22"/>
  <c r="H242" i="22"/>
  <c r="E241" i="19"/>
  <c r="C242" i="25"/>
  <c r="B243" i="25"/>
  <c r="A242" i="25"/>
  <c r="F245" i="31" l="1"/>
  <c r="I244" i="31"/>
  <c r="H245" i="31"/>
  <c r="T169" i="3"/>
  <c r="J169" i="3" s="1"/>
  <c r="T170" i="31"/>
  <c r="G245" i="31"/>
  <c r="I244" i="3"/>
  <c r="H245" i="3"/>
  <c r="E245" i="3"/>
  <c r="F245" i="3"/>
  <c r="G245" i="3"/>
  <c r="D245" i="3"/>
  <c r="S170" i="3"/>
  <c r="S171" i="31"/>
  <c r="E245" i="31"/>
  <c r="B247" i="3"/>
  <c r="C246" i="3"/>
  <c r="A246" i="3"/>
  <c r="B247" i="31"/>
  <c r="C246" i="31"/>
  <c r="A246" i="31"/>
  <c r="R171" i="3"/>
  <c r="R172" i="31"/>
  <c r="L178" i="3"/>
  <c r="Q172" i="3"/>
  <c r="Q173" i="31"/>
  <c r="Q173" i="3" s="1"/>
  <c r="P173" i="3"/>
  <c r="P174" i="31"/>
  <c r="O176" i="31"/>
  <c r="M177" i="3"/>
  <c r="N176" i="3"/>
  <c r="N177" i="31"/>
  <c r="M178" i="31"/>
  <c r="L179" i="31"/>
  <c r="L179" i="3" s="1"/>
  <c r="K180" i="31"/>
  <c r="K179" i="3"/>
  <c r="F242" i="19"/>
  <c r="G242" i="19"/>
  <c r="H242" i="19"/>
  <c r="E242" i="13"/>
  <c r="I242" i="27"/>
  <c r="I241" i="19"/>
  <c r="I241" i="23"/>
  <c r="I241" i="21"/>
  <c r="I241" i="25"/>
  <c r="D242" i="19"/>
  <c r="F242" i="13"/>
  <c r="G242" i="13"/>
  <c r="I241" i="24"/>
  <c r="F243" i="22"/>
  <c r="H243" i="22"/>
  <c r="D243" i="22"/>
  <c r="E243" i="22"/>
  <c r="G243" i="22"/>
  <c r="H242" i="21"/>
  <c r="D242" i="21"/>
  <c r="G242" i="21"/>
  <c r="F242" i="21"/>
  <c r="C243" i="25"/>
  <c r="F243" i="25" s="1"/>
  <c r="A243" i="25"/>
  <c r="B244" i="25"/>
  <c r="I241" i="13"/>
  <c r="D242" i="24"/>
  <c r="F242" i="24"/>
  <c r="E242" i="24"/>
  <c r="D242" i="26"/>
  <c r="F242" i="26"/>
  <c r="G242" i="26"/>
  <c r="E242" i="26"/>
  <c r="H242" i="26"/>
  <c r="B244" i="23"/>
  <c r="C243" i="23"/>
  <c r="E243" i="23" s="1"/>
  <c r="A243" i="23"/>
  <c r="G242" i="25"/>
  <c r="D242" i="25"/>
  <c r="H242" i="25"/>
  <c r="F242" i="25"/>
  <c r="E242" i="25"/>
  <c r="I241" i="26"/>
  <c r="F242" i="23"/>
  <c r="B245" i="20"/>
  <c r="C244" i="20"/>
  <c r="A244" i="20"/>
  <c r="G242" i="24"/>
  <c r="A244" i="22"/>
  <c r="C244" i="22"/>
  <c r="E244" i="22" s="1"/>
  <c r="B245" i="22"/>
  <c r="C243" i="24"/>
  <c r="E243" i="24" s="1"/>
  <c r="B244" i="24"/>
  <c r="A243" i="24"/>
  <c r="B244" i="21"/>
  <c r="A243" i="21"/>
  <c r="C243" i="21"/>
  <c r="E243" i="21" s="1"/>
  <c r="H243" i="27"/>
  <c r="D243" i="27"/>
  <c r="E243" i="27"/>
  <c r="F243" i="27"/>
  <c r="G243" i="27"/>
  <c r="G242" i="23"/>
  <c r="C243" i="13"/>
  <c r="G243" i="13" s="1"/>
  <c r="A243" i="13"/>
  <c r="B244" i="13"/>
  <c r="A244" i="27"/>
  <c r="B245" i="27"/>
  <c r="C244" i="27"/>
  <c r="H242" i="23"/>
  <c r="H242" i="24"/>
  <c r="C243" i="19"/>
  <c r="H243" i="19" s="1"/>
  <c r="B244" i="19"/>
  <c r="A243" i="19"/>
  <c r="A243" i="26"/>
  <c r="C243" i="26"/>
  <c r="G243" i="26" s="1"/>
  <c r="B244" i="26"/>
  <c r="E242" i="21"/>
  <c r="F243" i="20"/>
  <c r="D243" i="20"/>
  <c r="E243" i="20"/>
  <c r="I242" i="22"/>
  <c r="E242" i="23"/>
  <c r="I242" i="20"/>
  <c r="H242" i="13"/>
  <c r="G243" i="20"/>
  <c r="I245" i="31" l="1"/>
  <c r="Q174" i="31"/>
  <c r="T170" i="3"/>
  <c r="J170" i="3" s="1"/>
  <c r="T171" i="31"/>
  <c r="J171" i="31" s="1"/>
  <c r="J170" i="31"/>
  <c r="D246" i="3"/>
  <c r="H246" i="3"/>
  <c r="G246" i="3"/>
  <c r="E246" i="3"/>
  <c r="F246" i="3"/>
  <c r="B248" i="3"/>
  <c r="A247" i="3"/>
  <c r="C247" i="3"/>
  <c r="H247" i="3" s="1"/>
  <c r="I245" i="3"/>
  <c r="B248" i="31"/>
  <c r="C247" i="31"/>
  <c r="H247" i="31" s="1"/>
  <c r="A247" i="31"/>
  <c r="S171" i="3"/>
  <c r="S172" i="31"/>
  <c r="E246" i="31"/>
  <c r="H246" i="31"/>
  <c r="F246" i="31"/>
  <c r="D246" i="31"/>
  <c r="G246" i="31"/>
  <c r="R172" i="3"/>
  <c r="R173" i="31"/>
  <c r="Q174" i="3"/>
  <c r="N177" i="3"/>
  <c r="P174" i="3"/>
  <c r="P175" i="31"/>
  <c r="Q175" i="31" s="1"/>
  <c r="O176" i="3"/>
  <c r="O177" i="31"/>
  <c r="M178" i="3"/>
  <c r="N178" i="31"/>
  <c r="M179" i="31"/>
  <c r="H243" i="13"/>
  <c r="H244" i="22"/>
  <c r="I242" i="19"/>
  <c r="G243" i="19"/>
  <c r="L180" i="31"/>
  <c r="K180" i="3"/>
  <c r="K181" i="31"/>
  <c r="F243" i="19"/>
  <c r="D243" i="19"/>
  <c r="G244" i="22"/>
  <c r="H243" i="24"/>
  <c r="I242" i="13"/>
  <c r="I242" i="23"/>
  <c r="I243" i="22"/>
  <c r="E243" i="13"/>
  <c r="D243" i="13"/>
  <c r="F243" i="26"/>
  <c r="D244" i="27"/>
  <c r="E244" i="27"/>
  <c r="F244" i="27"/>
  <c r="G244" i="27"/>
  <c r="H244" i="27"/>
  <c r="D243" i="26"/>
  <c r="B245" i="23"/>
  <c r="C244" i="23"/>
  <c r="D244" i="23" s="1"/>
  <c r="A244" i="23"/>
  <c r="C245" i="27"/>
  <c r="E245" i="27" s="1"/>
  <c r="B246" i="27"/>
  <c r="A245" i="27"/>
  <c r="C244" i="13"/>
  <c r="F244" i="13" s="1"/>
  <c r="A244" i="13"/>
  <c r="B245" i="13"/>
  <c r="A245" i="22"/>
  <c r="C245" i="22"/>
  <c r="B246" i="22"/>
  <c r="H243" i="26"/>
  <c r="F244" i="22"/>
  <c r="I243" i="20"/>
  <c r="I243" i="27"/>
  <c r="B245" i="26"/>
  <c r="C244" i="26"/>
  <c r="F244" i="26" s="1"/>
  <c r="A244" i="26"/>
  <c r="C244" i="19"/>
  <c r="G244" i="19" s="1"/>
  <c r="B245" i="19"/>
  <c r="A244" i="19"/>
  <c r="F243" i="21"/>
  <c r="H243" i="21"/>
  <c r="D243" i="21"/>
  <c r="D243" i="23"/>
  <c r="I242" i="24"/>
  <c r="I242" i="21"/>
  <c r="B245" i="24"/>
  <c r="C244" i="24"/>
  <c r="D244" i="24" s="1"/>
  <c r="A244" i="24"/>
  <c r="B246" i="20"/>
  <c r="C245" i="20"/>
  <c r="H245" i="20" s="1"/>
  <c r="A245" i="20"/>
  <c r="F243" i="23"/>
  <c r="C244" i="21"/>
  <c r="B245" i="21"/>
  <c r="A244" i="21"/>
  <c r="H243" i="23"/>
  <c r="A244" i="25"/>
  <c r="B245" i="25"/>
  <c r="C244" i="25"/>
  <c r="D244" i="22"/>
  <c r="F244" i="20"/>
  <c r="D244" i="20"/>
  <c r="H244" i="20"/>
  <c r="E244" i="20"/>
  <c r="G244" i="20"/>
  <c r="E243" i="25"/>
  <c r="D243" i="25"/>
  <c r="G243" i="25"/>
  <c r="H243" i="25"/>
  <c r="D243" i="24"/>
  <c r="F243" i="24"/>
  <c r="G243" i="24"/>
  <c r="E243" i="19"/>
  <c r="F243" i="13"/>
  <c r="I242" i="25"/>
  <c r="G243" i="23"/>
  <c r="I242" i="26"/>
  <c r="G243" i="21"/>
  <c r="E243" i="26"/>
  <c r="T171" i="3" l="1"/>
  <c r="J171" i="3" s="1"/>
  <c r="T172" i="31"/>
  <c r="G247" i="3"/>
  <c r="F247" i="3"/>
  <c r="S172" i="3"/>
  <c r="S173" i="31"/>
  <c r="I246" i="31"/>
  <c r="E247" i="3"/>
  <c r="D247" i="3"/>
  <c r="C248" i="31"/>
  <c r="G248" i="31" s="1"/>
  <c r="B249" i="31"/>
  <c r="A248" i="31"/>
  <c r="I246" i="3"/>
  <c r="C248" i="3"/>
  <c r="E248" i="3" s="1"/>
  <c r="A248" i="3"/>
  <c r="B249" i="3"/>
  <c r="G247" i="31"/>
  <c r="D247" i="31"/>
  <c r="F247" i="31"/>
  <c r="E247" i="31"/>
  <c r="R173" i="3"/>
  <c r="R174" i="31"/>
  <c r="M179" i="3"/>
  <c r="N178" i="3"/>
  <c r="Q175" i="3"/>
  <c r="O177" i="3"/>
  <c r="P175" i="3"/>
  <c r="P176" i="31"/>
  <c r="Q176" i="31" s="1"/>
  <c r="O178" i="31"/>
  <c r="L180" i="3"/>
  <c r="N179" i="31"/>
  <c r="M180" i="31"/>
  <c r="F244" i="23"/>
  <c r="H244" i="23"/>
  <c r="L181" i="31"/>
  <c r="K181" i="3"/>
  <c r="K182" i="31"/>
  <c r="I243" i="19"/>
  <c r="F244" i="24"/>
  <c r="I243" i="13"/>
  <c r="I243" i="23"/>
  <c r="I243" i="21"/>
  <c r="I244" i="22"/>
  <c r="H244" i="26"/>
  <c r="H244" i="24"/>
  <c r="E244" i="23"/>
  <c r="G244" i="13"/>
  <c r="D244" i="26"/>
  <c r="G244" i="23"/>
  <c r="E244" i="25"/>
  <c r="F244" i="25"/>
  <c r="D244" i="25"/>
  <c r="H244" i="25"/>
  <c r="G244" i="25"/>
  <c r="F245" i="20"/>
  <c r="A245" i="25"/>
  <c r="B246" i="25"/>
  <c r="C245" i="25"/>
  <c r="H244" i="19"/>
  <c r="C246" i="22"/>
  <c r="B247" i="22"/>
  <c r="A246" i="22"/>
  <c r="A246" i="20"/>
  <c r="B247" i="20"/>
  <c r="C246" i="20"/>
  <c r="H246" i="20" s="1"/>
  <c r="B246" i="13"/>
  <c r="A245" i="13"/>
  <c r="C245" i="13"/>
  <c r="D245" i="13" s="1"/>
  <c r="G245" i="22"/>
  <c r="D245" i="22"/>
  <c r="E245" i="22"/>
  <c r="F245" i="22"/>
  <c r="H245" i="22"/>
  <c r="I244" i="27"/>
  <c r="E245" i="20"/>
  <c r="F244" i="19"/>
  <c r="G244" i="26"/>
  <c r="E244" i="26"/>
  <c r="E244" i="24"/>
  <c r="A245" i="19"/>
  <c r="B246" i="19"/>
  <c r="C245" i="19"/>
  <c r="H245" i="19" s="1"/>
  <c r="B246" i="24"/>
  <c r="C245" i="24"/>
  <c r="G245" i="24" s="1"/>
  <c r="A245" i="24"/>
  <c r="E244" i="19"/>
  <c r="A245" i="26"/>
  <c r="B246" i="26"/>
  <c r="C245" i="26"/>
  <c r="D245" i="26" s="1"/>
  <c r="H244" i="13"/>
  <c r="C246" i="27"/>
  <c r="B247" i="27"/>
  <c r="A246" i="27"/>
  <c r="C245" i="23"/>
  <c r="H245" i="23" s="1"/>
  <c r="B246" i="23"/>
  <c r="A245" i="23"/>
  <c r="I243" i="24"/>
  <c r="I244" i="20"/>
  <c r="C245" i="21"/>
  <c r="A245" i="21"/>
  <c r="B246" i="21"/>
  <c r="D244" i="19"/>
  <c r="E244" i="13"/>
  <c r="D245" i="27"/>
  <c r="G245" i="27"/>
  <c r="F245" i="27"/>
  <c r="H245" i="27"/>
  <c r="I243" i="26"/>
  <c r="G244" i="24"/>
  <c r="I243" i="25"/>
  <c r="G244" i="21"/>
  <c r="F244" i="21"/>
  <c r="D244" i="21"/>
  <c r="H244" i="21"/>
  <c r="E244" i="21"/>
  <c r="D245" i="20"/>
  <c r="D244" i="13"/>
  <c r="G245" i="20"/>
  <c r="F248" i="3" l="1"/>
  <c r="T172" i="3"/>
  <c r="J172" i="3" s="1"/>
  <c r="T173" i="31"/>
  <c r="J173" i="31" s="1"/>
  <c r="J172" i="31"/>
  <c r="D248" i="3"/>
  <c r="A249" i="31"/>
  <c r="C249" i="31"/>
  <c r="F249" i="31" s="1"/>
  <c r="B250" i="31"/>
  <c r="I247" i="31"/>
  <c r="H248" i="3"/>
  <c r="I247" i="3"/>
  <c r="E248" i="31"/>
  <c r="A249" i="3"/>
  <c r="C249" i="3"/>
  <c r="B250" i="3"/>
  <c r="F248" i="31"/>
  <c r="S173" i="3"/>
  <c r="S174" i="31"/>
  <c r="H248" i="31"/>
  <c r="D248" i="31"/>
  <c r="G248" i="3"/>
  <c r="R174" i="3"/>
  <c r="R175" i="31"/>
  <c r="Q176" i="3"/>
  <c r="O178" i="3"/>
  <c r="P176" i="3"/>
  <c r="P177" i="31"/>
  <c r="N180" i="31"/>
  <c r="N180" i="3" s="1"/>
  <c r="O179" i="31"/>
  <c r="M181" i="31"/>
  <c r="N179" i="3"/>
  <c r="M180" i="3"/>
  <c r="L181" i="3"/>
  <c r="L182" i="31"/>
  <c r="L182" i="3" s="1"/>
  <c r="K183" i="31"/>
  <c r="K182" i="3"/>
  <c r="E245" i="13"/>
  <c r="H245" i="13"/>
  <c r="I244" i="26"/>
  <c r="I244" i="23"/>
  <c r="G245" i="23"/>
  <c r="D246" i="22"/>
  <c r="G246" i="22"/>
  <c r="E246" i="22"/>
  <c r="H246" i="22"/>
  <c r="F246" i="22"/>
  <c r="D245" i="23"/>
  <c r="D246" i="27"/>
  <c r="G246" i="27"/>
  <c r="E246" i="27"/>
  <c r="H246" i="27"/>
  <c r="A246" i="24"/>
  <c r="B247" i="24"/>
  <c r="C246" i="24"/>
  <c r="I244" i="24"/>
  <c r="I244" i="25"/>
  <c r="B247" i="21"/>
  <c r="A246" i="21"/>
  <c r="C246" i="21"/>
  <c r="E246" i="21" s="1"/>
  <c r="C247" i="27"/>
  <c r="E247" i="27" s="1"/>
  <c r="A247" i="27"/>
  <c r="B248" i="27"/>
  <c r="F245" i="24"/>
  <c r="D245" i="24"/>
  <c r="E245" i="24"/>
  <c r="H245" i="24"/>
  <c r="H245" i="26"/>
  <c r="F245" i="21"/>
  <c r="G245" i="21"/>
  <c r="E245" i="21"/>
  <c r="D245" i="21"/>
  <c r="H245" i="21"/>
  <c r="F245" i="23"/>
  <c r="G245" i="19"/>
  <c r="I245" i="22"/>
  <c r="A246" i="13"/>
  <c r="C246" i="13"/>
  <c r="H246" i="13" s="1"/>
  <c r="B247" i="13"/>
  <c r="D245" i="25"/>
  <c r="F245" i="25"/>
  <c r="G245" i="25"/>
  <c r="H245" i="25"/>
  <c r="E245" i="25"/>
  <c r="I244" i="19"/>
  <c r="D245" i="19"/>
  <c r="I245" i="20"/>
  <c r="B247" i="26"/>
  <c r="A246" i="26"/>
  <c r="C246" i="26"/>
  <c r="E245" i="19"/>
  <c r="G245" i="13"/>
  <c r="B248" i="20"/>
  <c r="C247" i="20"/>
  <c r="A247" i="20"/>
  <c r="I244" i="21"/>
  <c r="C246" i="19"/>
  <c r="E246" i="19" s="1"/>
  <c r="B247" i="19"/>
  <c r="A246" i="19"/>
  <c r="A247" i="22"/>
  <c r="B248" i="22"/>
  <c r="C247" i="22"/>
  <c r="E247" i="22" s="1"/>
  <c r="I244" i="13"/>
  <c r="E245" i="23"/>
  <c r="F246" i="20"/>
  <c r="D246" i="20"/>
  <c r="G246" i="20"/>
  <c r="B247" i="25"/>
  <c r="A246" i="25"/>
  <c r="C246" i="25"/>
  <c r="E246" i="24"/>
  <c r="E246" i="20"/>
  <c r="I245" i="27"/>
  <c r="E245" i="26"/>
  <c r="C246" i="23"/>
  <c r="E246" i="23" s="1"/>
  <c r="A246" i="23"/>
  <c r="B247" i="23"/>
  <c r="F245" i="19"/>
  <c r="F245" i="13"/>
  <c r="F245" i="26"/>
  <c r="G245" i="26"/>
  <c r="F246" i="27"/>
  <c r="H249" i="31" l="1"/>
  <c r="I248" i="3"/>
  <c r="T173" i="3"/>
  <c r="J173" i="3" s="1"/>
  <c r="T174" i="31"/>
  <c r="E249" i="3"/>
  <c r="D249" i="3"/>
  <c r="H249" i="3"/>
  <c r="G249" i="3"/>
  <c r="F249" i="3"/>
  <c r="S174" i="3"/>
  <c r="S175" i="31"/>
  <c r="A250" i="31"/>
  <c r="B251" i="31"/>
  <c r="C250" i="31"/>
  <c r="E250" i="31" s="1"/>
  <c r="G249" i="31"/>
  <c r="E249" i="31"/>
  <c r="D249" i="31"/>
  <c r="C250" i="3"/>
  <c r="B251" i="3"/>
  <c r="A250" i="3"/>
  <c r="I248" i="31"/>
  <c r="N181" i="31"/>
  <c r="N181" i="3" s="1"/>
  <c r="R175" i="3"/>
  <c r="R176" i="31"/>
  <c r="O180" i="31"/>
  <c r="O180" i="3" s="1"/>
  <c r="Q177" i="31"/>
  <c r="Q177" i="3" s="1"/>
  <c r="P177" i="3"/>
  <c r="P178" i="31"/>
  <c r="O179" i="3"/>
  <c r="M181" i="3"/>
  <c r="M182" i="31"/>
  <c r="H246" i="23"/>
  <c r="L183" i="31"/>
  <c r="L183" i="3" s="1"/>
  <c r="K183" i="3"/>
  <c r="K184" i="31"/>
  <c r="D247" i="27"/>
  <c r="H247" i="22"/>
  <c r="G246" i="19"/>
  <c r="I245" i="24"/>
  <c r="F246" i="23"/>
  <c r="D247" i="22"/>
  <c r="I245" i="19"/>
  <c r="G246" i="13"/>
  <c r="F246" i="13"/>
  <c r="H246" i="19"/>
  <c r="D246" i="13"/>
  <c r="A248" i="20"/>
  <c r="C248" i="20"/>
  <c r="G248" i="20" s="1"/>
  <c r="B249" i="20"/>
  <c r="A247" i="23"/>
  <c r="B248" i="23"/>
  <c r="C247" i="23"/>
  <c r="F247" i="23" s="1"/>
  <c r="I245" i="21"/>
  <c r="E246" i="25"/>
  <c r="H246" i="25"/>
  <c r="F246" i="25"/>
  <c r="G246" i="25"/>
  <c r="A247" i="19"/>
  <c r="C247" i="19"/>
  <c r="E247" i="19" s="1"/>
  <c r="B248" i="19"/>
  <c r="G246" i="26"/>
  <c r="H246" i="26"/>
  <c r="E246" i="26"/>
  <c r="F246" i="26"/>
  <c r="D246" i="26"/>
  <c r="A247" i="13"/>
  <c r="C247" i="13"/>
  <c r="G247" i="13" s="1"/>
  <c r="B248" i="13"/>
  <c r="I246" i="22"/>
  <c r="F246" i="21"/>
  <c r="D246" i="21"/>
  <c r="I245" i="13"/>
  <c r="B249" i="22"/>
  <c r="C248" i="22"/>
  <c r="G248" i="22" s="1"/>
  <c r="A248" i="22"/>
  <c r="A247" i="21"/>
  <c r="B248" i="21"/>
  <c r="C247" i="21"/>
  <c r="B248" i="24"/>
  <c r="A247" i="24"/>
  <c r="C247" i="24"/>
  <c r="I245" i="26"/>
  <c r="B248" i="25"/>
  <c r="A247" i="25"/>
  <c r="C247" i="25"/>
  <c r="E247" i="25" s="1"/>
  <c r="I246" i="27"/>
  <c r="G246" i="23"/>
  <c r="F246" i="19"/>
  <c r="I245" i="25"/>
  <c r="I245" i="23"/>
  <c r="F247" i="22"/>
  <c r="F247" i="27"/>
  <c r="G247" i="27"/>
  <c r="H247" i="27"/>
  <c r="B248" i="26"/>
  <c r="C247" i="26"/>
  <c r="E247" i="26" s="1"/>
  <c r="A247" i="26"/>
  <c r="D246" i="23"/>
  <c r="I246" i="20"/>
  <c r="D246" i="19"/>
  <c r="E247" i="20"/>
  <c r="H247" i="20"/>
  <c r="D247" i="20"/>
  <c r="F247" i="20"/>
  <c r="G247" i="20"/>
  <c r="G247" i="22"/>
  <c r="E246" i="13"/>
  <c r="G246" i="21"/>
  <c r="A248" i="27"/>
  <c r="B249" i="27"/>
  <c r="C248" i="27"/>
  <c r="D246" i="24"/>
  <c r="H246" i="24"/>
  <c r="F246" i="24"/>
  <c r="G246" i="24"/>
  <c r="H246" i="21"/>
  <c r="D246" i="25"/>
  <c r="O181" i="31" l="1"/>
  <c r="O181" i="3" s="1"/>
  <c r="D248" i="22"/>
  <c r="I249" i="31"/>
  <c r="F250" i="31"/>
  <c r="T174" i="3"/>
  <c r="J174" i="3" s="1"/>
  <c r="T175" i="31"/>
  <c r="J175" i="31" s="1"/>
  <c r="J174" i="31"/>
  <c r="A251" i="3"/>
  <c r="B252" i="3"/>
  <c r="C251" i="3"/>
  <c r="H250" i="3"/>
  <c r="F250" i="3"/>
  <c r="G250" i="3"/>
  <c r="E250" i="3"/>
  <c r="C251" i="31"/>
  <c r="F251" i="31" s="1"/>
  <c r="A251" i="31"/>
  <c r="B252" i="31"/>
  <c r="S175" i="3"/>
  <c r="S176" i="31"/>
  <c r="D250" i="3"/>
  <c r="I249" i="3"/>
  <c r="G250" i="31"/>
  <c r="D250" i="31"/>
  <c r="H250" i="31"/>
  <c r="R176" i="3"/>
  <c r="R177" i="31"/>
  <c r="Q178" i="31"/>
  <c r="Q178" i="3" s="1"/>
  <c r="P178" i="3"/>
  <c r="P179" i="31"/>
  <c r="M182" i="3"/>
  <c r="N182" i="31"/>
  <c r="G247" i="23"/>
  <c r="M183" i="31"/>
  <c r="H247" i="23"/>
  <c r="L184" i="31"/>
  <c r="L184" i="3" s="1"/>
  <c r="K184" i="3"/>
  <c r="K185" i="31"/>
  <c r="D247" i="23"/>
  <c r="I246" i="13"/>
  <c r="D247" i="26"/>
  <c r="I246" i="21"/>
  <c r="I247" i="27"/>
  <c r="I246" i="23"/>
  <c r="F247" i="13"/>
  <c r="I246" i="24"/>
  <c r="I247" i="22"/>
  <c r="E247" i="13"/>
  <c r="H247" i="13"/>
  <c r="C249" i="22"/>
  <c r="E249" i="22" s="1"/>
  <c r="A249" i="22"/>
  <c r="B250" i="22"/>
  <c r="B249" i="19"/>
  <c r="C248" i="19"/>
  <c r="G248" i="19" s="1"/>
  <c r="A248" i="19"/>
  <c r="C249" i="27"/>
  <c r="H249" i="27" s="1"/>
  <c r="B250" i="27"/>
  <c r="A249" i="27"/>
  <c r="I246" i="25"/>
  <c r="G247" i="26"/>
  <c r="H247" i="26"/>
  <c r="F247" i="25"/>
  <c r="D247" i="25"/>
  <c r="F247" i="21"/>
  <c r="E247" i="21"/>
  <c r="D247" i="21"/>
  <c r="H247" i="21"/>
  <c r="G247" i="21"/>
  <c r="D247" i="13"/>
  <c r="G247" i="24"/>
  <c r="F247" i="24"/>
  <c r="I247" i="20"/>
  <c r="A248" i="24"/>
  <c r="C248" i="24"/>
  <c r="G248" i="24" s="1"/>
  <c r="B249" i="24"/>
  <c r="I246" i="19"/>
  <c r="A248" i="26"/>
  <c r="C248" i="26"/>
  <c r="B249" i="26"/>
  <c r="C248" i="21"/>
  <c r="A248" i="21"/>
  <c r="B249" i="21"/>
  <c r="C248" i="13"/>
  <c r="E248" i="13" s="1"/>
  <c r="A248" i="13"/>
  <c r="B249" i="13"/>
  <c r="G247" i="19"/>
  <c r="E247" i="23"/>
  <c r="H247" i="25"/>
  <c r="F248" i="27"/>
  <c r="H248" i="27"/>
  <c r="G248" i="27"/>
  <c r="D248" i="27"/>
  <c r="E248" i="27"/>
  <c r="C249" i="20"/>
  <c r="F249" i="20" s="1"/>
  <c r="B250" i="20"/>
  <c r="A249" i="20"/>
  <c r="C248" i="25"/>
  <c r="A248" i="25"/>
  <c r="B249" i="25"/>
  <c r="H247" i="19"/>
  <c r="D247" i="24"/>
  <c r="F248" i="20"/>
  <c r="D247" i="19"/>
  <c r="F247" i="26"/>
  <c r="E247" i="24"/>
  <c r="E248" i="20"/>
  <c r="H248" i="20"/>
  <c r="D248" i="20"/>
  <c r="F248" i="22"/>
  <c r="H248" i="22"/>
  <c r="E248" i="22"/>
  <c r="I246" i="26"/>
  <c r="F247" i="19"/>
  <c r="G247" i="25"/>
  <c r="A248" i="23"/>
  <c r="C248" i="23"/>
  <c r="H248" i="23" s="1"/>
  <c r="B249" i="23"/>
  <c r="H247" i="24"/>
  <c r="E251" i="31" l="1"/>
  <c r="H251" i="31"/>
  <c r="T175" i="3"/>
  <c r="J175" i="3" s="1"/>
  <c r="T176" i="31"/>
  <c r="F251" i="3"/>
  <c r="D251" i="3"/>
  <c r="E251" i="3"/>
  <c r="G251" i="3"/>
  <c r="C252" i="31"/>
  <c r="F252" i="31" s="1"/>
  <c r="B253" i="31"/>
  <c r="A252" i="31"/>
  <c r="I250" i="31"/>
  <c r="I250" i="3"/>
  <c r="G251" i="31"/>
  <c r="D251" i="31"/>
  <c r="A252" i="3"/>
  <c r="B253" i="3"/>
  <c r="C252" i="3"/>
  <c r="F252" i="3" s="1"/>
  <c r="S176" i="3"/>
  <c r="S177" i="31"/>
  <c r="H251" i="3"/>
  <c r="R177" i="3"/>
  <c r="R178" i="31"/>
  <c r="Q179" i="31"/>
  <c r="P179" i="3"/>
  <c r="P180" i="31"/>
  <c r="M183" i="3"/>
  <c r="O182" i="31"/>
  <c r="G249" i="22"/>
  <c r="N182" i="3"/>
  <c r="N183" i="31"/>
  <c r="M184" i="31"/>
  <c r="H249" i="22"/>
  <c r="I247" i="23"/>
  <c r="E249" i="20"/>
  <c r="H249" i="20"/>
  <c r="G248" i="23"/>
  <c r="L185" i="31"/>
  <c r="K186" i="31"/>
  <c r="K185" i="3"/>
  <c r="G248" i="13"/>
  <c r="I247" i="26"/>
  <c r="D249" i="27"/>
  <c r="I247" i="13"/>
  <c r="E248" i="23"/>
  <c r="D248" i="23"/>
  <c r="F248" i="13"/>
  <c r="G248" i="25"/>
  <c r="F248" i="25"/>
  <c r="A249" i="13"/>
  <c r="C249" i="13"/>
  <c r="E249" i="13" s="1"/>
  <c r="B250" i="13"/>
  <c r="I247" i="21"/>
  <c r="I248" i="22"/>
  <c r="D248" i="24"/>
  <c r="A250" i="20"/>
  <c r="B251" i="20"/>
  <c r="C250" i="20"/>
  <c r="A250" i="27"/>
  <c r="B251" i="27"/>
  <c r="C250" i="27"/>
  <c r="C249" i="19"/>
  <c r="F249" i="19" s="1"/>
  <c r="B250" i="19"/>
  <c r="A249" i="19"/>
  <c r="D248" i="25"/>
  <c r="F248" i="23"/>
  <c r="E248" i="25"/>
  <c r="G249" i="20"/>
  <c r="D249" i="20"/>
  <c r="A249" i="21"/>
  <c r="C249" i="21"/>
  <c r="B250" i="21"/>
  <c r="I247" i="25"/>
  <c r="G249" i="27"/>
  <c r="E249" i="27"/>
  <c r="F249" i="27"/>
  <c r="B251" i="22"/>
  <c r="C250" i="22"/>
  <c r="A250" i="22"/>
  <c r="H248" i="26"/>
  <c r="E248" i="26"/>
  <c r="D248" i="26"/>
  <c r="F248" i="26"/>
  <c r="G248" i="26"/>
  <c r="I248" i="20"/>
  <c r="C249" i="25"/>
  <c r="B250" i="25"/>
  <c r="A249" i="25"/>
  <c r="I248" i="27"/>
  <c r="H248" i="13"/>
  <c r="H248" i="21"/>
  <c r="F248" i="21"/>
  <c r="G248" i="21"/>
  <c r="E248" i="21"/>
  <c r="D248" i="21"/>
  <c r="H248" i="19"/>
  <c r="F249" i="22"/>
  <c r="D249" i="22"/>
  <c r="E248" i="24"/>
  <c r="F248" i="24"/>
  <c r="I247" i="24"/>
  <c r="C249" i="23"/>
  <c r="H249" i="23" s="1"/>
  <c r="A249" i="23"/>
  <c r="B250" i="23"/>
  <c r="H248" i="24"/>
  <c r="D248" i="19"/>
  <c r="I247" i="19"/>
  <c r="D248" i="13"/>
  <c r="C249" i="26"/>
  <c r="A249" i="26"/>
  <c r="B250" i="26"/>
  <c r="A249" i="24"/>
  <c r="B250" i="24"/>
  <c r="C249" i="24"/>
  <c r="E248" i="19"/>
  <c r="H248" i="25"/>
  <c r="F248" i="19"/>
  <c r="E252" i="3" l="1"/>
  <c r="G252" i="31"/>
  <c r="I251" i="31"/>
  <c r="T176" i="3"/>
  <c r="J176" i="3" s="1"/>
  <c r="T177" i="31"/>
  <c r="J177" i="31" s="1"/>
  <c r="D252" i="3"/>
  <c r="G252" i="3"/>
  <c r="D252" i="31"/>
  <c r="J176" i="31"/>
  <c r="I251" i="3"/>
  <c r="B254" i="31"/>
  <c r="C253" i="31"/>
  <c r="A253" i="31"/>
  <c r="C253" i="3"/>
  <c r="B254" i="3"/>
  <c r="A253" i="3"/>
  <c r="H252" i="3"/>
  <c r="S177" i="3"/>
  <c r="S178" i="31"/>
  <c r="H252" i="31"/>
  <c r="E252" i="31"/>
  <c r="R178" i="3"/>
  <c r="R179" i="31"/>
  <c r="Q179" i="3"/>
  <c r="Q180" i="31"/>
  <c r="P180" i="3"/>
  <c r="P181" i="31"/>
  <c r="O182" i="3"/>
  <c r="O183" i="31"/>
  <c r="L185" i="3"/>
  <c r="N183" i="3"/>
  <c r="N184" i="31"/>
  <c r="M184" i="3"/>
  <c r="M185" i="31"/>
  <c r="L186" i="31"/>
  <c r="K186" i="3"/>
  <c r="K187" i="31"/>
  <c r="F249" i="23"/>
  <c r="D249" i="23"/>
  <c r="F249" i="13"/>
  <c r="G249" i="23"/>
  <c r="H249" i="13"/>
  <c r="E249" i="23"/>
  <c r="I249" i="22"/>
  <c r="I248" i="23"/>
  <c r="I249" i="27"/>
  <c r="G249" i="26"/>
  <c r="E249" i="26"/>
  <c r="H249" i="26"/>
  <c r="D249" i="26"/>
  <c r="F249" i="26"/>
  <c r="I248" i="13"/>
  <c r="C250" i="23"/>
  <c r="H250" i="23" s="1"/>
  <c r="B251" i="23"/>
  <c r="A250" i="23"/>
  <c r="A250" i="21"/>
  <c r="C250" i="21"/>
  <c r="B251" i="21"/>
  <c r="E249" i="19"/>
  <c r="B252" i="27"/>
  <c r="C251" i="27"/>
  <c r="A251" i="27"/>
  <c r="B251" i="26"/>
  <c r="C250" i="26"/>
  <c r="E250" i="26" s="1"/>
  <c r="A250" i="26"/>
  <c r="B251" i="19"/>
  <c r="A250" i="19"/>
  <c r="C250" i="19"/>
  <c r="E250" i="19" s="1"/>
  <c r="B251" i="13"/>
  <c r="C250" i="13"/>
  <c r="F250" i="13" s="1"/>
  <c r="A250" i="13"/>
  <c r="I248" i="25"/>
  <c r="I248" i="21"/>
  <c r="B251" i="25"/>
  <c r="A250" i="25"/>
  <c r="C250" i="25"/>
  <c r="F249" i="21"/>
  <c r="G249" i="21"/>
  <c r="D249" i="21"/>
  <c r="E249" i="21"/>
  <c r="H249" i="21"/>
  <c r="G249" i="19"/>
  <c r="G249" i="24"/>
  <c r="F249" i="24"/>
  <c r="H249" i="24"/>
  <c r="D249" i="24"/>
  <c r="E249" i="24"/>
  <c r="I248" i="19"/>
  <c r="F249" i="25"/>
  <c r="D249" i="25"/>
  <c r="H249" i="25"/>
  <c r="G249" i="25"/>
  <c r="E249" i="25"/>
  <c r="H250" i="22"/>
  <c r="F250" i="22"/>
  <c r="E250" i="22"/>
  <c r="G250" i="22"/>
  <c r="D250" i="22"/>
  <c r="H249" i="19"/>
  <c r="G250" i="20"/>
  <c r="D250" i="20"/>
  <c r="E250" i="20"/>
  <c r="F250" i="20"/>
  <c r="H250" i="20"/>
  <c r="D249" i="13"/>
  <c r="I248" i="24"/>
  <c r="I248" i="26"/>
  <c r="F250" i="27"/>
  <c r="G250" i="27"/>
  <c r="D250" i="27"/>
  <c r="E250" i="27"/>
  <c r="H250" i="27"/>
  <c r="B251" i="24"/>
  <c r="C250" i="24"/>
  <c r="A250" i="24"/>
  <c r="A251" i="22"/>
  <c r="B252" i="22"/>
  <c r="C251" i="22"/>
  <c r="I249" i="20"/>
  <c r="D249" i="19"/>
  <c r="C251" i="20"/>
  <c r="B252" i="20"/>
  <c r="A251" i="20"/>
  <c r="G249" i="13"/>
  <c r="I252" i="31" l="1"/>
  <c r="I252" i="3"/>
  <c r="T177" i="3"/>
  <c r="J177" i="3" s="1"/>
  <c r="T178" i="31"/>
  <c r="J178" i="31" s="1"/>
  <c r="F253" i="31"/>
  <c r="D253" i="31"/>
  <c r="H253" i="31"/>
  <c r="G253" i="31"/>
  <c r="E253" i="31"/>
  <c r="C254" i="31"/>
  <c r="D254" i="31" s="1"/>
  <c r="B255" i="31"/>
  <c r="A254" i="31"/>
  <c r="G253" i="3"/>
  <c r="H253" i="3"/>
  <c r="D253" i="3"/>
  <c r="F253" i="3"/>
  <c r="E253" i="3"/>
  <c r="B255" i="3"/>
  <c r="A254" i="3"/>
  <c r="C254" i="3"/>
  <c r="G254" i="3" s="1"/>
  <c r="S178" i="3"/>
  <c r="S179" i="31"/>
  <c r="R179" i="3"/>
  <c r="R180" i="31"/>
  <c r="Q180" i="3"/>
  <c r="Q181" i="31"/>
  <c r="Q181" i="3" s="1"/>
  <c r="P181" i="3"/>
  <c r="P182" i="31"/>
  <c r="M186" i="31"/>
  <c r="O183" i="3"/>
  <c r="O184" i="31"/>
  <c r="M185" i="3"/>
  <c r="N184" i="3"/>
  <c r="N185" i="31"/>
  <c r="L186" i="3"/>
  <c r="L187" i="31"/>
  <c r="L187" i="3" s="1"/>
  <c r="K187" i="3"/>
  <c r="K188" i="31"/>
  <c r="D250" i="19"/>
  <c r="G250" i="26"/>
  <c r="G250" i="19"/>
  <c r="F250" i="19"/>
  <c r="F250" i="26"/>
  <c r="I249" i="23"/>
  <c r="G250" i="23"/>
  <c r="F250" i="23"/>
  <c r="I249" i="21"/>
  <c r="E250" i="13"/>
  <c r="D250" i="23"/>
  <c r="D250" i="13"/>
  <c r="E250" i="23"/>
  <c r="I250" i="27"/>
  <c r="I249" i="24"/>
  <c r="H250" i="13"/>
  <c r="H250" i="26"/>
  <c r="E251" i="20"/>
  <c r="G251" i="20"/>
  <c r="F251" i="20"/>
  <c r="D251" i="20"/>
  <c r="H251" i="20"/>
  <c r="A251" i="24"/>
  <c r="B252" i="24"/>
  <c r="C251" i="24"/>
  <c r="H251" i="24" s="1"/>
  <c r="E250" i="25"/>
  <c r="D250" i="25"/>
  <c r="H250" i="25"/>
  <c r="F250" i="25"/>
  <c r="G250" i="25"/>
  <c r="G250" i="13"/>
  <c r="C252" i="27"/>
  <c r="B253" i="27"/>
  <c r="A252" i="27"/>
  <c r="C252" i="20"/>
  <c r="D252" i="20" s="1"/>
  <c r="B253" i="20"/>
  <c r="A252" i="20"/>
  <c r="E251" i="27"/>
  <c r="F251" i="27"/>
  <c r="H251" i="27"/>
  <c r="G251" i="27"/>
  <c r="D251" i="27"/>
  <c r="I249" i="19"/>
  <c r="I250" i="22"/>
  <c r="I249" i="25"/>
  <c r="I250" i="20"/>
  <c r="I249" i="26"/>
  <c r="C251" i="25"/>
  <c r="G251" i="25" s="1"/>
  <c r="B252" i="25"/>
  <c r="A251" i="25"/>
  <c r="C251" i="19"/>
  <c r="E251" i="19" s="1"/>
  <c r="A251" i="19"/>
  <c r="B252" i="19"/>
  <c r="E251" i="22"/>
  <c r="G251" i="22"/>
  <c r="H251" i="22"/>
  <c r="F251" i="22"/>
  <c r="D251" i="22"/>
  <c r="B252" i="13"/>
  <c r="A251" i="13"/>
  <c r="C251" i="13"/>
  <c r="E251" i="13" s="1"/>
  <c r="D250" i="21"/>
  <c r="E250" i="21"/>
  <c r="G250" i="21"/>
  <c r="H250" i="21"/>
  <c r="F250" i="21"/>
  <c r="B252" i="26"/>
  <c r="C251" i="26"/>
  <c r="H251" i="26" s="1"/>
  <c r="A251" i="26"/>
  <c r="D250" i="24"/>
  <c r="G250" i="24"/>
  <c r="E250" i="24"/>
  <c r="H250" i="24"/>
  <c r="F250" i="24"/>
  <c r="I249" i="13"/>
  <c r="A251" i="21"/>
  <c r="C251" i="21"/>
  <c r="B252" i="21"/>
  <c r="A251" i="23"/>
  <c r="C251" i="23"/>
  <c r="D251" i="23" s="1"/>
  <c r="B252" i="23"/>
  <c r="A252" i="22"/>
  <c r="B253" i="22"/>
  <c r="C252" i="22"/>
  <c r="H250" i="19"/>
  <c r="D250" i="26"/>
  <c r="E254" i="31" l="1"/>
  <c r="E254" i="3"/>
  <c r="H254" i="3"/>
  <c r="T178" i="3"/>
  <c r="J178" i="3" s="1"/>
  <c r="H49" i="2" s="1"/>
  <c r="I49" i="2" s="1"/>
  <c r="A50" i="2" s="1"/>
  <c r="T179" i="31"/>
  <c r="S179" i="3"/>
  <c r="S180" i="31"/>
  <c r="I253" i="31"/>
  <c r="F254" i="3"/>
  <c r="D254" i="3"/>
  <c r="I253" i="3"/>
  <c r="A255" i="31"/>
  <c r="C255" i="31"/>
  <c r="B256" i="31"/>
  <c r="C255" i="3"/>
  <c r="D255" i="3" s="1"/>
  <c r="A255" i="3"/>
  <c r="B256" i="3"/>
  <c r="F254" i="31"/>
  <c r="H254" i="31"/>
  <c r="G254" i="31"/>
  <c r="M186" i="3"/>
  <c r="R180" i="3"/>
  <c r="R181" i="31"/>
  <c r="Q182" i="31"/>
  <c r="N185" i="3"/>
  <c r="P182" i="3"/>
  <c r="P183" i="31"/>
  <c r="O185" i="31"/>
  <c r="O184" i="3"/>
  <c r="N186" i="31"/>
  <c r="M187" i="31"/>
  <c r="F251" i="26"/>
  <c r="E252" i="20"/>
  <c r="L188" i="31"/>
  <c r="K189" i="31"/>
  <c r="K188" i="3"/>
  <c r="F252" i="20"/>
  <c r="I250" i="19"/>
  <c r="E251" i="25"/>
  <c r="I250" i="26"/>
  <c r="I251" i="22"/>
  <c r="I250" i="13"/>
  <c r="I251" i="27"/>
  <c r="I250" i="23"/>
  <c r="C253" i="20"/>
  <c r="D253" i="20" s="1"/>
  <c r="A253" i="20"/>
  <c r="B254" i="20"/>
  <c r="I251" i="20"/>
  <c r="A252" i="13"/>
  <c r="B253" i="13"/>
  <c r="C252" i="13"/>
  <c r="D252" i="13" s="1"/>
  <c r="G252" i="20"/>
  <c r="H252" i="20"/>
  <c r="B253" i="23"/>
  <c r="A252" i="23"/>
  <c r="C252" i="23"/>
  <c r="H252" i="23" s="1"/>
  <c r="A252" i="21"/>
  <c r="B253" i="21"/>
  <c r="C252" i="21"/>
  <c r="D252" i="21" s="1"/>
  <c r="B253" i="25"/>
  <c r="C252" i="25"/>
  <c r="A252" i="25"/>
  <c r="I250" i="25"/>
  <c r="D252" i="22"/>
  <c r="G252" i="22"/>
  <c r="E252" i="22"/>
  <c r="H252" i="22"/>
  <c r="F252" i="22"/>
  <c r="F251" i="23"/>
  <c r="D251" i="21"/>
  <c r="E251" i="21"/>
  <c r="F251" i="21"/>
  <c r="G251" i="21"/>
  <c r="H251" i="21"/>
  <c r="G251" i="13"/>
  <c r="D251" i="19"/>
  <c r="H251" i="25"/>
  <c r="D251" i="25"/>
  <c r="I250" i="24"/>
  <c r="B254" i="22"/>
  <c r="A253" i="22"/>
  <c r="C253" i="22"/>
  <c r="E251" i="23"/>
  <c r="D251" i="26"/>
  <c r="G251" i="26"/>
  <c r="H251" i="19"/>
  <c r="B254" i="27"/>
  <c r="C253" i="27"/>
  <c r="E253" i="27" s="1"/>
  <c r="A253" i="27"/>
  <c r="F251" i="24"/>
  <c r="G251" i="24"/>
  <c r="E251" i="24"/>
  <c r="E253" i="20"/>
  <c r="H251" i="23"/>
  <c r="C252" i="26"/>
  <c r="A252" i="26"/>
  <c r="B253" i="26"/>
  <c r="H251" i="13"/>
  <c r="F251" i="19"/>
  <c r="G252" i="27"/>
  <c r="E252" i="27"/>
  <c r="H252" i="27"/>
  <c r="D252" i="27"/>
  <c r="F252" i="27"/>
  <c r="B253" i="24"/>
  <c r="C252" i="24"/>
  <c r="A252" i="24"/>
  <c r="I250" i="21"/>
  <c r="G251" i="19"/>
  <c r="D251" i="13"/>
  <c r="D251" i="24"/>
  <c r="G251" i="23"/>
  <c r="F251" i="13"/>
  <c r="C252" i="19"/>
  <c r="F252" i="19" s="1"/>
  <c r="A252" i="19"/>
  <c r="B253" i="19"/>
  <c r="E251" i="26"/>
  <c r="F251" i="25"/>
  <c r="I254" i="3" l="1"/>
  <c r="D50" i="2"/>
  <c r="C50" i="2"/>
  <c r="E50" i="2"/>
  <c r="B50" i="2"/>
  <c r="F50" i="2"/>
  <c r="G50" i="2"/>
  <c r="T179" i="3"/>
  <c r="J179" i="3" s="1"/>
  <c r="T180" i="31"/>
  <c r="J179" i="31"/>
  <c r="I254" i="31"/>
  <c r="S180" i="3"/>
  <c r="S181" i="31"/>
  <c r="C256" i="31"/>
  <c r="A256" i="31"/>
  <c r="B257" i="31"/>
  <c r="G255" i="3"/>
  <c r="H255" i="3"/>
  <c r="E255" i="3"/>
  <c r="G255" i="31"/>
  <c r="H255" i="31"/>
  <c r="D255" i="31"/>
  <c r="F255" i="31"/>
  <c r="E255" i="31"/>
  <c r="A256" i="3"/>
  <c r="C256" i="3"/>
  <c r="B257" i="3"/>
  <c r="F255" i="3"/>
  <c r="R181" i="3"/>
  <c r="R182" i="31"/>
  <c r="Q182" i="3"/>
  <c r="Q183" i="31"/>
  <c r="P183" i="3"/>
  <c r="P184" i="31"/>
  <c r="M187" i="3"/>
  <c r="O185" i="3"/>
  <c r="O186" i="31"/>
  <c r="L188" i="3"/>
  <c r="M188" i="31"/>
  <c r="N186" i="3"/>
  <c r="N187" i="31"/>
  <c r="L189" i="31"/>
  <c r="K189" i="3"/>
  <c r="K190" i="31"/>
  <c r="H252" i="13"/>
  <c r="F252" i="23"/>
  <c r="F252" i="13"/>
  <c r="D252" i="23"/>
  <c r="E252" i="13"/>
  <c r="I251" i="23"/>
  <c r="D252" i="19"/>
  <c r="I251" i="24"/>
  <c r="I252" i="20"/>
  <c r="G252" i="19"/>
  <c r="H252" i="19"/>
  <c r="E252" i="19"/>
  <c r="I251" i="25"/>
  <c r="I251" i="26"/>
  <c r="E252" i="25"/>
  <c r="F252" i="25"/>
  <c r="G252" i="25"/>
  <c r="B254" i="24"/>
  <c r="A253" i="24"/>
  <c r="C253" i="24"/>
  <c r="E253" i="24" s="1"/>
  <c r="B254" i="26"/>
  <c r="A253" i="26"/>
  <c r="C253" i="26"/>
  <c r="G253" i="26" s="1"/>
  <c r="I251" i="19"/>
  <c r="B254" i="25"/>
  <c r="A253" i="25"/>
  <c r="C253" i="25"/>
  <c r="B255" i="20"/>
  <c r="A254" i="20"/>
  <c r="C254" i="20"/>
  <c r="I251" i="21"/>
  <c r="E253" i="22"/>
  <c r="F253" i="22"/>
  <c r="E252" i="21"/>
  <c r="G252" i="21"/>
  <c r="H252" i="21"/>
  <c r="C253" i="19"/>
  <c r="D253" i="19" s="1"/>
  <c r="B254" i="19"/>
  <c r="A253" i="19"/>
  <c r="I252" i="27"/>
  <c r="A253" i="21"/>
  <c r="B254" i="21"/>
  <c r="C253" i="21"/>
  <c r="G253" i="20"/>
  <c r="H253" i="20"/>
  <c r="F253" i="20"/>
  <c r="G253" i="27"/>
  <c r="D253" i="27"/>
  <c r="F253" i="27"/>
  <c r="H253" i="27"/>
  <c r="B255" i="22"/>
  <c r="A254" i="22"/>
  <c r="C254" i="22"/>
  <c r="H252" i="25"/>
  <c r="F252" i="24"/>
  <c r="G252" i="24"/>
  <c r="D252" i="24"/>
  <c r="H252" i="24"/>
  <c r="E252" i="24"/>
  <c r="I251" i="13"/>
  <c r="E252" i="26"/>
  <c r="H252" i="26"/>
  <c r="G252" i="26"/>
  <c r="D252" i="26"/>
  <c r="F252" i="26"/>
  <c r="C253" i="23"/>
  <c r="H253" i="23" s="1"/>
  <c r="B254" i="23"/>
  <c r="A253" i="23"/>
  <c r="A253" i="13"/>
  <c r="B254" i="13"/>
  <c r="C253" i="13"/>
  <c r="D253" i="13" s="1"/>
  <c r="F252" i="21"/>
  <c r="B255" i="27"/>
  <c r="C254" i="27"/>
  <c r="A254" i="27"/>
  <c r="D252" i="25"/>
  <c r="I252" i="22"/>
  <c r="E252" i="23"/>
  <c r="G253" i="22"/>
  <c r="H253" i="22"/>
  <c r="G252" i="23"/>
  <c r="G252" i="13"/>
  <c r="D253" i="22"/>
  <c r="I255" i="3" l="1"/>
  <c r="T180" i="3"/>
  <c r="J180" i="3" s="1"/>
  <c r="T181" i="31"/>
  <c r="J180" i="31"/>
  <c r="D256" i="3"/>
  <c r="H256" i="3"/>
  <c r="F256" i="3"/>
  <c r="G256" i="3"/>
  <c r="E256" i="3"/>
  <c r="N187" i="3"/>
  <c r="H256" i="31"/>
  <c r="F256" i="31"/>
  <c r="D256" i="31"/>
  <c r="E256" i="31"/>
  <c r="S181" i="3"/>
  <c r="S182" i="31"/>
  <c r="C257" i="31"/>
  <c r="A257" i="31"/>
  <c r="B258" i="31"/>
  <c r="I255" i="31"/>
  <c r="G256" i="31"/>
  <c r="C257" i="3"/>
  <c r="A257" i="3"/>
  <c r="B258" i="3"/>
  <c r="R182" i="3"/>
  <c r="R183" i="31"/>
  <c r="L189" i="3"/>
  <c r="Q183" i="3"/>
  <c r="Q184" i="31"/>
  <c r="P184" i="3"/>
  <c r="P185" i="31"/>
  <c r="O186" i="3"/>
  <c r="O187" i="31"/>
  <c r="O187" i="3" s="1"/>
  <c r="M188" i="3"/>
  <c r="N188" i="31"/>
  <c r="M189" i="31"/>
  <c r="L190" i="31"/>
  <c r="L190" i="3" s="1"/>
  <c r="H253" i="13"/>
  <c r="E253" i="13"/>
  <c r="K190" i="3"/>
  <c r="K191" i="31"/>
  <c r="E253" i="23"/>
  <c r="I252" i="13"/>
  <c r="F253" i="23"/>
  <c r="D253" i="23"/>
  <c r="I253" i="27"/>
  <c r="I252" i="19"/>
  <c r="I253" i="20"/>
  <c r="E253" i="19"/>
  <c r="H253" i="19"/>
  <c r="F253" i="13"/>
  <c r="F253" i="19"/>
  <c r="G253" i="19"/>
  <c r="I253" i="22"/>
  <c r="I252" i="23"/>
  <c r="I252" i="21"/>
  <c r="C254" i="23"/>
  <c r="D254" i="23" s="1"/>
  <c r="A254" i="23"/>
  <c r="B255" i="23"/>
  <c r="A255" i="27"/>
  <c r="C255" i="27"/>
  <c r="H255" i="27" s="1"/>
  <c r="B256" i="27"/>
  <c r="C254" i="13"/>
  <c r="H254" i="13" s="1"/>
  <c r="A254" i="13"/>
  <c r="B255" i="13"/>
  <c r="D253" i="21"/>
  <c r="F253" i="21"/>
  <c r="B255" i="24"/>
  <c r="C254" i="24"/>
  <c r="A254" i="24"/>
  <c r="G254" i="20"/>
  <c r="D254" i="20"/>
  <c r="H254" i="20"/>
  <c r="F254" i="20"/>
  <c r="E254" i="20"/>
  <c r="F254" i="22"/>
  <c r="G254" i="22"/>
  <c r="E254" i="22"/>
  <c r="D254" i="22"/>
  <c r="H254" i="22"/>
  <c r="A254" i="26"/>
  <c r="B255" i="26"/>
  <c r="C254" i="26"/>
  <c r="E254" i="26" s="1"/>
  <c r="I252" i="24"/>
  <c r="B255" i="21"/>
  <c r="A254" i="21"/>
  <c r="C254" i="21"/>
  <c r="A254" i="19"/>
  <c r="B255" i="19"/>
  <c r="C254" i="19"/>
  <c r="H254" i="19" s="1"/>
  <c r="G253" i="21"/>
  <c r="C254" i="25"/>
  <c r="B255" i="25"/>
  <c r="A254" i="25"/>
  <c r="E253" i="21"/>
  <c r="H253" i="21"/>
  <c r="A255" i="20"/>
  <c r="C255" i="20"/>
  <c r="E255" i="20" s="1"/>
  <c r="B256" i="20"/>
  <c r="E253" i="25"/>
  <c r="D253" i="25"/>
  <c r="F253" i="25"/>
  <c r="G253" i="25"/>
  <c r="H253" i="25"/>
  <c r="I252" i="26"/>
  <c r="I252" i="25"/>
  <c r="G253" i="24"/>
  <c r="F253" i="24"/>
  <c r="H253" i="24"/>
  <c r="D253" i="24"/>
  <c r="F254" i="27"/>
  <c r="E254" i="27"/>
  <c r="H254" i="27"/>
  <c r="G254" i="27"/>
  <c r="D254" i="27"/>
  <c r="A255" i="22"/>
  <c r="B256" i="22"/>
  <c r="C255" i="22"/>
  <c r="G255" i="22" s="1"/>
  <c r="G253" i="13"/>
  <c r="G253" i="23"/>
  <c r="H253" i="26"/>
  <c r="E253" i="26"/>
  <c r="F253" i="26"/>
  <c r="D253" i="26"/>
  <c r="N188" i="3" l="1"/>
  <c r="T181" i="3"/>
  <c r="J181" i="3" s="1"/>
  <c r="T182" i="31"/>
  <c r="J181" i="31"/>
  <c r="S182" i="3"/>
  <c r="S183" i="31"/>
  <c r="A258" i="3"/>
  <c r="B259" i="3"/>
  <c r="C258" i="3"/>
  <c r="F257" i="3"/>
  <c r="G257" i="3"/>
  <c r="E257" i="3"/>
  <c r="H257" i="3"/>
  <c r="D257" i="3"/>
  <c r="B259" i="31"/>
  <c r="A258" i="31"/>
  <c r="C258" i="31"/>
  <c r="I256" i="31"/>
  <c r="I256" i="3"/>
  <c r="F257" i="31"/>
  <c r="E257" i="31"/>
  <c r="G257" i="31"/>
  <c r="H257" i="31"/>
  <c r="D257" i="31"/>
  <c r="R183" i="3"/>
  <c r="R184" i="31"/>
  <c r="Q184" i="3"/>
  <c r="Q185" i="31"/>
  <c r="Q185" i="3" s="1"/>
  <c r="P185" i="3"/>
  <c r="P186" i="31"/>
  <c r="N189" i="31"/>
  <c r="N189" i="3" s="1"/>
  <c r="O188" i="31"/>
  <c r="M189" i="3"/>
  <c r="M190" i="31"/>
  <c r="L191" i="31"/>
  <c r="E254" i="23"/>
  <c r="K191" i="3"/>
  <c r="K192" i="31"/>
  <c r="I253" i="23"/>
  <c r="I253" i="19"/>
  <c r="I253" i="25"/>
  <c r="I254" i="27"/>
  <c r="H254" i="26"/>
  <c r="I253" i="13"/>
  <c r="A255" i="26"/>
  <c r="B256" i="26"/>
  <c r="C255" i="26"/>
  <c r="D255" i="26" s="1"/>
  <c r="I253" i="21"/>
  <c r="C256" i="27"/>
  <c r="E256" i="27" s="1"/>
  <c r="B257" i="27"/>
  <c r="A256" i="27"/>
  <c r="H255" i="20"/>
  <c r="F255" i="20"/>
  <c r="E254" i="21"/>
  <c r="D254" i="21"/>
  <c r="H254" i="21"/>
  <c r="G254" i="21"/>
  <c r="F254" i="21"/>
  <c r="F254" i="13"/>
  <c r="F255" i="27"/>
  <c r="E255" i="27"/>
  <c r="G255" i="27"/>
  <c r="D255" i="27"/>
  <c r="C255" i="25"/>
  <c r="H255" i="25" s="1"/>
  <c r="A255" i="25"/>
  <c r="B256" i="25"/>
  <c r="B257" i="20"/>
  <c r="C256" i="20"/>
  <c r="A256" i="20"/>
  <c r="H254" i="25"/>
  <c r="F254" i="25"/>
  <c r="D254" i="25"/>
  <c r="G254" i="25"/>
  <c r="E254" i="25"/>
  <c r="I253" i="26"/>
  <c r="G255" i="20"/>
  <c r="D254" i="19"/>
  <c r="I254" i="20"/>
  <c r="E254" i="13"/>
  <c r="B256" i="24"/>
  <c r="A255" i="24"/>
  <c r="C255" i="24"/>
  <c r="C255" i="19"/>
  <c r="D255" i="19" s="1"/>
  <c r="A255" i="19"/>
  <c r="B256" i="19"/>
  <c r="D254" i="26"/>
  <c r="F254" i="26"/>
  <c r="A255" i="23"/>
  <c r="C255" i="23"/>
  <c r="F255" i="23" s="1"/>
  <c r="B256" i="23"/>
  <c r="I254" i="22"/>
  <c r="D254" i="13"/>
  <c r="E255" i="22"/>
  <c r="D255" i="22"/>
  <c r="D255" i="20"/>
  <c r="E254" i="19"/>
  <c r="G254" i="13"/>
  <c r="F254" i="23"/>
  <c r="G254" i="26"/>
  <c r="F254" i="19"/>
  <c r="B256" i="21"/>
  <c r="A255" i="21"/>
  <c r="C255" i="21"/>
  <c r="F255" i="21" s="1"/>
  <c r="B257" i="22"/>
  <c r="C256" i="22"/>
  <c r="A256" i="22"/>
  <c r="I253" i="24"/>
  <c r="G254" i="19"/>
  <c r="H255" i="22"/>
  <c r="D254" i="24"/>
  <c r="H254" i="24"/>
  <c r="E254" i="24"/>
  <c r="G254" i="24"/>
  <c r="F254" i="24"/>
  <c r="C255" i="13"/>
  <c r="G255" i="13" s="1"/>
  <c r="A255" i="13"/>
  <c r="B256" i="13"/>
  <c r="H254" i="23"/>
  <c r="G254" i="23"/>
  <c r="F255" i="22"/>
  <c r="T182" i="3" l="1"/>
  <c r="J182" i="3" s="1"/>
  <c r="T183" i="31"/>
  <c r="J182" i="31"/>
  <c r="E258" i="3"/>
  <c r="G258" i="3"/>
  <c r="I257" i="31"/>
  <c r="C259" i="31"/>
  <c r="D259" i="31" s="1"/>
  <c r="B260" i="31"/>
  <c r="A259" i="31"/>
  <c r="F258" i="3"/>
  <c r="I257" i="3"/>
  <c r="C259" i="3"/>
  <c r="G259" i="3" s="1"/>
  <c r="A259" i="3"/>
  <c r="B260" i="3"/>
  <c r="S183" i="3"/>
  <c r="S184" i="31"/>
  <c r="D258" i="3"/>
  <c r="H258" i="31"/>
  <c r="F258" i="31"/>
  <c r="G258" i="31"/>
  <c r="D258" i="31"/>
  <c r="E258" i="31"/>
  <c r="H258" i="3"/>
  <c r="R184" i="3"/>
  <c r="R185" i="31"/>
  <c r="Q186" i="31"/>
  <c r="P186" i="3"/>
  <c r="P187" i="31"/>
  <c r="O189" i="31"/>
  <c r="O189" i="3" s="1"/>
  <c r="O188" i="3"/>
  <c r="M190" i="3"/>
  <c r="N190" i="31"/>
  <c r="L191" i="3"/>
  <c r="M191" i="31"/>
  <c r="L192" i="31"/>
  <c r="D255" i="13"/>
  <c r="H255" i="23"/>
  <c r="G255" i="26"/>
  <c r="D255" i="23"/>
  <c r="K192" i="3"/>
  <c r="K193" i="31"/>
  <c r="I255" i="27"/>
  <c r="I254" i="23"/>
  <c r="I254" i="13"/>
  <c r="F256" i="27"/>
  <c r="G255" i="23"/>
  <c r="H255" i="13"/>
  <c r="E255" i="23"/>
  <c r="E255" i="19"/>
  <c r="I254" i="21"/>
  <c r="B258" i="27"/>
  <c r="A257" i="27"/>
  <c r="C257" i="27"/>
  <c r="H255" i="21"/>
  <c r="E255" i="21"/>
  <c r="G255" i="21"/>
  <c r="I254" i="26"/>
  <c r="H255" i="24"/>
  <c r="D255" i="24"/>
  <c r="G256" i="27"/>
  <c r="D256" i="27"/>
  <c r="H255" i="19"/>
  <c r="G256" i="20"/>
  <c r="E256" i="20"/>
  <c r="H256" i="20"/>
  <c r="E255" i="13"/>
  <c r="G256" i="22"/>
  <c r="D256" i="22"/>
  <c r="E256" i="22"/>
  <c r="F256" i="22"/>
  <c r="H256" i="22"/>
  <c r="C256" i="21"/>
  <c r="A256" i="21"/>
  <c r="B257" i="21"/>
  <c r="G255" i="19"/>
  <c r="A256" i="24"/>
  <c r="C256" i="24"/>
  <c r="B257" i="24"/>
  <c r="H256" i="27"/>
  <c r="C257" i="20"/>
  <c r="B258" i="20"/>
  <c r="A257" i="20"/>
  <c r="H255" i="26"/>
  <c r="F255" i="26"/>
  <c r="E255" i="26"/>
  <c r="B257" i="26"/>
  <c r="C256" i="26"/>
  <c r="D256" i="26" s="1"/>
  <c r="A256" i="26"/>
  <c r="C256" i="13"/>
  <c r="H256" i="13" s="1"/>
  <c r="A256" i="13"/>
  <c r="B257" i="13"/>
  <c r="C257" i="22"/>
  <c r="H257" i="22" s="1"/>
  <c r="A257" i="22"/>
  <c r="B258" i="22"/>
  <c r="I255" i="20"/>
  <c r="C256" i="25"/>
  <c r="A256" i="25"/>
  <c r="B257" i="25"/>
  <c r="F256" i="20"/>
  <c r="D256" i="20"/>
  <c r="I255" i="22"/>
  <c r="B257" i="23"/>
  <c r="A256" i="23"/>
  <c r="C256" i="23"/>
  <c r="H256" i="23" s="1"/>
  <c r="F255" i="19"/>
  <c r="F255" i="13"/>
  <c r="I254" i="24"/>
  <c r="E255" i="24"/>
  <c r="C256" i="19"/>
  <c r="H256" i="19" s="1"/>
  <c r="A256" i="19"/>
  <c r="B257" i="19"/>
  <c r="I254" i="19"/>
  <c r="I254" i="25"/>
  <c r="D255" i="25"/>
  <c r="F255" i="25"/>
  <c r="E255" i="25"/>
  <c r="G255" i="25"/>
  <c r="G255" i="24"/>
  <c r="D255" i="21"/>
  <c r="F255" i="24"/>
  <c r="F259" i="3" l="1"/>
  <c r="F259" i="31"/>
  <c r="T183" i="3"/>
  <c r="J183" i="3" s="1"/>
  <c r="T184" i="31"/>
  <c r="J183" i="31"/>
  <c r="E259" i="31"/>
  <c r="H259" i="31"/>
  <c r="G259" i="31"/>
  <c r="S184" i="3"/>
  <c r="S185" i="31"/>
  <c r="I258" i="31"/>
  <c r="D259" i="3"/>
  <c r="E259" i="3"/>
  <c r="H259" i="3"/>
  <c r="I258" i="3"/>
  <c r="B261" i="3"/>
  <c r="C260" i="3"/>
  <c r="A260" i="3"/>
  <c r="A260" i="31"/>
  <c r="C260" i="31"/>
  <c r="B261" i="31"/>
  <c r="R185" i="3"/>
  <c r="R186" i="31"/>
  <c r="Q186" i="3"/>
  <c r="Q187" i="31"/>
  <c r="P187" i="3"/>
  <c r="P188" i="31"/>
  <c r="M191" i="3"/>
  <c r="O190" i="31"/>
  <c r="N190" i="3"/>
  <c r="N191" i="31"/>
  <c r="M192" i="31"/>
  <c r="L192" i="3"/>
  <c r="L193" i="31"/>
  <c r="K193" i="3"/>
  <c r="K194" i="31"/>
  <c r="G256" i="19"/>
  <c r="E256" i="19"/>
  <c r="I256" i="27"/>
  <c r="I255" i="13"/>
  <c r="I255" i="23"/>
  <c r="I255" i="26"/>
  <c r="I256" i="20"/>
  <c r="G256" i="13"/>
  <c r="F256" i="23"/>
  <c r="E256" i="13"/>
  <c r="G256" i="23"/>
  <c r="D256" i="23"/>
  <c r="I255" i="19"/>
  <c r="C257" i="13"/>
  <c r="E257" i="13" s="1"/>
  <c r="B258" i="13"/>
  <c r="A257" i="13"/>
  <c r="A258" i="22"/>
  <c r="B259" i="22"/>
  <c r="C258" i="22"/>
  <c r="F258" i="22" s="1"/>
  <c r="A257" i="21"/>
  <c r="C257" i="21"/>
  <c r="B258" i="21"/>
  <c r="I255" i="24"/>
  <c r="I255" i="25"/>
  <c r="E257" i="27"/>
  <c r="D257" i="27"/>
  <c r="E256" i="23"/>
  <c r="D257" i="22"/>
  <c r="G257" i="22"/>
  <c r="F257" i="22"/>
  <c r="G257" i="27"/>
  <c r="B259" i="20"/>
  <c r="C258" i="20"/>
  <c r="A258" i="20"/>
  <c r="H257" i="27"/>
  <c r="B259" i="27"/>
  <c r="A258" i="27"/>
  <c r="C258" i="27"/>
  <c r="A257" i="23"/>
  <c r="B258" i="23"/>
  <c r="C257" i="23"/>
  <c r="F257" i="23" s="1"/>
  <c r="G256" i="25"/>
  <c r="E256" i="25"/>
  <c r="H256" i="25"/>
  <c r="F256" i="25"/>
  <c r="D256" i="25"/>
  <c r="G256" i="24"/>
  <c r="F256" i="24"/>
  <c r="D256" i="24"/>
  <c r="H256" i="24"/>
  <c r="E256" i="24"/>
  <c r="A257" i="19"/>
  <c r="B258" i="19"/>
  <c r="C257" i="19"/>
  <c r="F257" i="19" s="1"/>
  <c r="I256" i="22"/>
  <c r="I255" i="21"/>
  <c r="H256" i="21"/>
  <c r="F256" i="21"/>
  <c r="E256" i="21"/>
  <c r="G256" i="21"/>
  <c r="D256" i="21"/>
  <c r="D256" i="19"/>
  <c r="B258" i="25"/>
  <c r="A257" i="25"/>
  <c r="C257" i="25"/>
  <c r="D256" i="13"/>
  <c r="E256" i="26"/>
  <c r="F256" i="26"/>
  <c r="H256" i="26"/>
  <c r="G256" i="26"/>
  <c r="F257" i="27"/>
  <c r="D257" i="20"/>
  <c r="E257" i="20"/>
  <c r="G257" i="20"/>
  <c r="H257" i="20"/>
  <c r="F257" i="20"/>
  <c r="F256" i="19"/>
  <c r="F256" i="13"/>
  <c r="C257" i="26"/>
  <c r="B258" i="26"/>
  <c r="A257" i="26"/>
  <c r="C257" i="24"/>
  <c r="A257" i="24"/>
  <c r="B258" i="24"/>
  <c r="E257" i="22"/>
  <c r="T184" i="3" l="1"/>
  <c r="J184" i="3" s="1"/>
  <c r="T185" i="31"/>
  <c r="J184" i="31"/>
  <c r="S185" i="3"/>
  <c r="S186" i="31"/>
  <c r="H260" i="31"/>
  <c r="E260" i="31"/>
  <c r="D260" i="31"/>
  <c r="F260" i="31"/>
  <c r="G260" i="31"/>
  <c r="I259" i="3"/>
  <c r="C261" i="3"/>
  <c r="G261" i="3" s="1"/>
  <c r="B262" i="3"/>
  <c r="A261" i="3"/>
  <c r="B262" i="31"/>
  <c r="A261" i="31"/>
  <c r="C261" i="31"/>
  <c r="D261" i="31" s="1"/>
  <c r="J185" i="31"/>
  <c r="I259" i="31"/>
  <c r="E260" i="3"/>
  <c r="F260" i="3"/>
  <c r="D260" i="3"/>
  <c r="G260" i="3"/>
  <c r="H260" i="3"/>
  <c r="R186" i="3"/>
  <c r="R187" i="31"/>
  <c r="Q187" i="3"/>
  <c r="Q188" i="31"/>
  <c r="P188" i="3"/>
  <c r="P189" i="31"/>
  <c r="M193" i="31"/>
  <c r="O191" i="31"/>
  <c r="N191" i="3"/>
  <c r="O190" i="3"/>
  <c r="L193" i="3"/>
  <c r="N192" i="31"/>
  <c r="N192" i="3" s="1"/>
  <c r="M192" i="3"/>
  <c r="G257" i="19"/>
  <c r="D257" i="19"/>
  <c r="E257" i="19"/>
  <c r="H257" i="23"/>
  <c r="L194" i="31"/>
  <c r="K195" i="31"/>
  <c r="K194" i="3"/>
  <c r="D258" i="22"/>
  <c r="H257" i="19"/>
  <c r="D257" i="23"/>
  <c r="I256" i="21"/>
  <c r="I256" i="23"/>
  <c r="I256" i="19"/>
  <c r="I256" i="13"/>
  <c r="F257" i="13"/>
  <c r="D257" i="13"/>
  <c r="G257" i="13"/>
  <c r="I256" i="24"/>
  <c r="G257" i="23"/>
  <c r="C259" i="27"/>
  <c r="A259" i="27"/>
  <c r="B260" i="27"/>
  <c r="I257" i="22"/>
  <c r="B259" i="21"/>
  <c r="A258" i="21"/>
  <c r="C258" i="21"/>
  <c r="C258" i="24"/>
  <c r="H258" i="24" s="1"/>
  <c r="B259" i="24"/>
  <c r="A258" i="24"/>
  <c r="I256" i="26"/>
  <c r="F257" i="21"/>
  <c r="G257" i="21"/>
  <c r="E257" i="21"/>
  <c r="D257" i="21"/>
  <c r="H257" i="21"/>
  <c r="I256" i="25"/>
  <c r="E257" i="23"/>
  <c r="E257" i="25"/>
  <c r="G257" i="25"/>
  <c r="H257" i="25"/>
  <c r="D257" i="25"/>
  <c r="F257" i="25"/>
  <c r="A258" i="19"/>
  <c r="C258" i="19"/>
  <c r="D258" i="19" s="1"/>
  <c r="B259" i="19"/>
  <c r="H258" i="20"/>
  <c r="G258" i="20"/>
  <c r="E258" i="20"/>
  <c r="F258" i="20"/>
  <c r="D258" i="20"/>
  <c r="A258" i="13"/>
  <c r="B259" i="13"/>
  <c r="C258" i="13"/>
  <c r="E258" i="13" s="1"/>
  <c r="H257" i="26"/>
  <c r="E257" i="26"/>
  <c r="F257" i="26"/>
  <c r="D257" i="26"/>
  <c r="G257" i="26"/>
  <c r="I257" i="20"/>
  <c r="C258" i="23"/>
  <c r="E258" i="23" s="1"/>
  <c r="B259" i="23"/>
  <c r="A258" i="23"/>
  <c r="A259" i="20"/>
  <c r="B260" i="20"/>
  <c r="C259" i="20"/>
  <c r="I257" i="27"/>
  <c r="B260" i="22"/>
  <c r="A259" i="22"/>
  <c r="C259" i="22"/>
  <c r="D258" i="27"/>
  <c r="H258" i="27"/>
  <c r="F258" i="27"/>
  <c r="G258" i="27"/>
  <c r="E258" i="27"/>
  <c r="F257" i="24"/>
  <c r="E257" i="24"/>
  <c r="D257" i="24"/>
  <c r="G257" i="24"/>
  <c r="H257" i="24"/>
  <c r="A258" i="26"/>
  <c r="B259" i="26"/>
  <c r="C258" i="26"/>
  <c r="G258" i="22"/>
  <c r="E258" i="22"/>
  <c r="H258" i="22"/>
  <c r="C258" i="25"/>
  <c r="A258" i="25"/>
  <c r="B259" i="25"/>
  <c r="H257" i="13"/>
  <c r="I260" i="31" l="1"/>
  <c r="F261" i="3"/>
  <c r="T185" i="3"/>
  <c r="J185" i="3" s="1"/>
  <c r="T186" i="31"/>
  <c r="C262" i="3"/>
  <c r="D262" i="3" s="1"/>
  <c r="A262" i="3"/>
  <c r="F261" i="31"/>
  <c r="C262" i="31"/>
  <c r="D262" i="31" s="1"/>
  <c r="A262" i="31"/>
  <c r="S186" i="3"/>
  <c r="S187" i="31"/>
  <c r="D261" i="3"/>
  <c r="H261" i="31"/>
  <c r="I260" i="3"/>
  <c r="E261" i="31"/>
  <c r="E261" i="3"/>
  <c r="H261" i="3"/>
  <c r="G261" i="31"/>
  <c r="R187" i="3"/>
  <c r="R188" i="31"/>
  <c r="Q188" i="3"/>
  <c r="Q189" i="31"/>
  <c r="Q189" i="3" s="1"/>
  <c r="O191" i="3"/>
  <c r="P189" i="3"/>
  <c r="P190" i="31"/>
  <c r="M194" i="31"/>
  <c r="O192" i="31"/>
  <c r="N193" i="31"/>
  <c r="M193" i="3"/>
  <c r="L194" i="3"/>
  <c r="D258" i="13"/>
  <c r="L195" i="31"/>
  <c r="I257" i="19"/>
  <c r="F258" i="13"/>
  <c r="K195" i="3"/>
  <c r="K196" i="31"/>
  <c r="G258" i="19"/>
  <c r="F258" i="19"/>
  <c r="E258" i="19"/>
  <c r="I257" i="13"/>
  <c r="I257" i="25"/>
  <c r="I258" i="22"/>
  <c r="D258" i="23"/>
  <c r="I258" i="20"/>
  <c r="I257" i="23"/>
  <c r="H258" i="23"/>
  <c r="B261" i="22"/>
  <c r="A260" i="22"/>
  <c r="C260" i="22"/>
  <c r="D260" i="22" s="1"/>
  <c r="D258" i="24"/>
  <c r="F258" i="24"/>
  <c r="A259" i="26"/>
  <c r="B260" i="26"/>
  <c r="C259" i="26"/>
  <c r="E259" i="26" s="1"/>
  <c r="D259" i="20"/>
  <c r="G259" i="20"/>
  <c r="F259" i="20"/>
  <c r="E259" i="20"/>
  <c r="H259" i="20"/>
  <c r="A259" i="23"/>
  <c r="C259" i="23"/>
  <c r="E259" i="23" s="1"/>
  <c r="B260" i="23"/>
  <c r="G258" i="24"/>
  <c r="I257" i="21"/>
  <c r="C260" i="20"/>
  <c r="F260" i="20" s="1"/>
  <c r="A260" i="20"/>
  <c r="B261" i="20"/>
  <c r="H258" i="19"/>
  <c r="E258" i="26"/>
  <c r="D258" i="26"/>
  <c r="F258" i="21"/>
  <c r="E258" i="21"/>
  <c r="G258" i="21"/>
  <c r="D258" i="21"/>
  <c r="H258" i="21"/>
  <c r="F258" i="25"/>
  <c r="E258" i="25"/>
  <c r="H258" i="25"/>
  <c r="G258" i="25"/>
  <c r="D258" i="25"/>
  <c r="G258" i="13"/>
  <c r="C259" i="19"/>
  <c r="G259" i="19" s="1"/>
  <c r="A259" i="19"/>
  <c r="B260" i="19"/>
  <c r="E258" i="24"/>
  <c r="A259" i="21"/>
  <c r="B260" i="21"/>
  <c r="C259" i="21"/>
  <c r="B260" i="25"/>
  <c r="A259" i="25"/>
  <c r="C259" i="25"/>
  <c r="H258" i="26"/>
  <c r="I258" i="27"/>
  <c r="I257" i="24"/>
  <c r="H259" i="22"/>
  <c r="F259" i="22"/>
  <c r="D259" i="22"/>
  <c r="E259" i="22"/>
  <c r="G259" i="22"/>
  <c r="F258" i="23"/>
  <c r="I257" i="26"/>
  <c r="H258" i="13"/>
  <c r="C260" i="27"/>
  <c r="B261" i="27"/>
  <c r="A260" i="27"/>
  <c r="A259" i="13"/>
  <c r="B260" i="13"/>
  <c r="C259" i="13"/>
  <c r="D259" i="13" s="1"/>
  <c r="G258" i="23"/>
  <c r="F258" i="26"/>
  <c r="A259" i="24"/>
  <c r="C259" i="24"/>
  <c r="G259" i="24" s="1"/>
  <c r="B260" i="24"/>
  <c r="D259" i="27"/>
  <c r="H259" i="27"/>
  <c r="F259" i="27"/>
  <c r="G259" i="27"/>
  <c r="E259" i="27"/>
  <c r="G258" i="26"/>
  <c r="E262" i="3" l="1"/>
  <c r="I261" i="31"/>
  <c r="F262" i="3"/>
  <c r="T186" i="3"/>
  <c r="J186" i="3" s="1"/>
  <c r="T187" i="31"/>
  <c r="J186" i="31"/>
  <c r="S187" i="3"/>
  <c r="S188" i="31"/>
  <c r="H262" i="3"/>
  <c r="G262" i="3"/>
  <c r="H262" i="31"/>
  <c r="I261" i="3"/>
  <c r="F262" i="31"/>
  <c r="G262" i="31"/>
  <c r="E262" i="31"/>
  <c r="M194" i="3"/>
  <c r="R188" i="3"/>
  <c r="R189" i="31"/>
  <c r="Q190" i="31"/>
  <c r="Q190" i="3" s="1"/>
  <c r="P190" i="3"/>
  <c r="P191" i="31"/>
  <c r="O192" i="3"/>
  <c r="O193" i="31"/>
  <c r="N193" i="3"/>
  <c r="N194" i="31"/>
  <c r="L195" i="3"/>
  <c r="M195" i="31"/>
  <c r="L196" i="31"/>
  <c r="L196" i="3" s="1"/>
  <c r="E259" i="13"/>
  <c r="D259" i="23"/>
  <c r="G259" i="23"/>
  <c r="I258" i="19"/>
  <c r="K197" i="31"/>
  <c r="K196" i="3"/>
  <c r="H259" i="23"/>
  <c r="E260" i="22"/>
  <c r="F259" i="13"/>
  <c r="D259" i="24"/>
  <c r="H259" i="24"/>
  <c r="H259" i="26"/>
  <c r="I258" i="23"/>
  <c r="I258" i="13"/>
  <c r="I259" i="27"/>
  <c r="I259" i="22"/>
  <c r="F259" i="23"/>
  <c r="I258" i="21"/>
  <c r="A261" i="20"/>
  <c r="B262" i="20"/>
  <c r="C261" i="20"/>
  <c r="G261" i="20" s="1"/>
  <c r="H260" i="22"/>
  <c r="F260" i="22"/>
  <c r="E259" i="25"/>
  <c r="D259" i="25"/>
  <c r="G259" i="25"/>
  <c r="H259" i="25"/>
  <c r="E259" i="19"/>
  <c r="I258" i="25"/>
  <c r="H259" i="13"/>
  <c r="G259" i="13"/>
  <c r="F259" i="25"/>
  <c r="D259" i="19"/>
  <c r="I259" i="20"/>
  <c r="A261" i="22"/>
  <c r="B262" i="22"/>
  <c r="C261" i="22"/>
  <c r="B261" i="24"/>
  <c r="C260" i="24"/>
  <c r="H260" i="24" s="1"/>
  <c r="A260" i="24"/>
  <c r="H260" i="27"/>
  <c r="F260" i="27"/>
  <c r="G260" i="27"/>
  <c r="E260" i="27"/>
  <c r="D260" i="27"/>
  <c r="F259" i="19"/>
  <c r="A260" i="23"/>
  <c r="C260" i="23"/>
  <c r="F260" i="23" s="1"/>
  <c r="B261" i="23"/>
  <c r="F259" i="26"/>
  <c r="B261" i="13"/>
  <c r="A260" i="13"/>
  <c r="C260" i="13"/>
  <c r="D260" i="13" s="1"/>
  <c r="E259" i="24"/>
  <c r="H259" i="19"/>
  <c r="I258" i="26"/>
  <c r="A260" i="26"/>
  <c r="B261" i="26"/>
  <c r="C260" i="26"/>
  <c r="F259" i="24"/>
  <c r="A260" i="21"/>
  <c r="B261" i="21"/>
  <c r="C260" i="21"/>
  <c r="G260" i="21" s="1"/>
  <c r="C261" i="27"/>
  <c r="F261" i="27" s="1"/>
  <c r="A261" i="27"/>
  <c r="B262" i="27"/>
  <c r="I258" i="24"/>
  <c r="B261" i="25"/>
  <c r="C260" i="25"/>
  <c r="E260" i="25" s="1"/>
  <c r="A260" i="25"/>
  <c r="G260" i="20"/>
  <c r="E260" i="20"/>
  <c r="D260" i="20"/>
  <c r="H260" i="20"/>
  <c r="G259" i="26"/>
  <c r="D259" i="26"/>
  <c r="G260" i="22"/>
  <c r="G259" i="21"/>
  <c r="E259" i="21"/>
  <c r="H259" i="21"/>
  <c r="F259" i="21"/>
  <c r="D259" i="21"/>
  <c r="A260" i="19"/>
  <c r="B261" i="19"/>
  <c r="C260" i="19"/>
  <c r="F260" i="19" s="1"/>
  <c r="T187" i="3" l="1"/>
  <c r="J187" i="3" s="1"/>
  <c r="T188" i="31"/>
  <c r="I262" i="31"/>
  <c r="J187" i="31"/>
  <c r="Q191" i="31"/>
  <c r="Q191" i="3" s="1"/>
  <c r="S188" i="3"/>
  <c r="S189" i="31"/>
  <c r="I262" i="3"/>
  <c r="R189" i="3"/>
  <c r="R190" i="31"/>
  <c r="P191" i="3"/>
  <c r="P192" i="31"/>
  <c r="O194" i="31"/>
  <c r="O193" i="3"/>
  <c r="M195" i="3"/>
  <c r="N194" i="3"/>
  <c r="N195" i="31"/>
  <c r="M196" i="31"/>
  <c r="L197" i="31"/>
  <c r="I259" i="23"/>
  <c r="G260" i="23"/>
  <c r="K197" i="3"/>
  <c r="K198" i="31"/>
  <c r="I259" i="24"/>
  <c r="I259" i="13"/>
  <c r="I259" i="26"/>
  <c r="H260" i="21"/>
  <c r="D260" i="19"/>
  <c r="G260" i="24"/>
  <c r="E260" i="13"/>
  <c r="F260" i="24"/>
  <c r="D260" i="21"/>
  <c r="E260" i="21"/>
  <c r="H260" i="13"/>
  <c r="E260" i="23"/>
  <c r="G260" i="19"/>
  <c r="G260" i="13"/>
  <c r="D260" i="23"/>
  <c r="I260" i="22"/>
  <c r="E260" i="19"/>
  <c r="E261" i="27"/>
  <c r="H260" i="19"/>
  <c r="F260" i="13"/>
  <c r="H260" i="23"/>
  <c r="F260" i="21"/>
  <c r="E260" i="24"/>
  <c r="A261" i="24"/>
  <c r="B262" i="24"/>
  <c r="C261" i="24"/>
  <c r="G261" i="24" s="1"/>
  <c r="H260" i="26"/>
  <c r="F260" i="26"/>
  <c r="G260" i="26"/>
  <c r="D260" i="26"/>
  <c r="E260" i="26"/>
  <c r="I260" i="27"/>
  <c r="F261" i="22"/>
  <c r="H261" i="22"/>
  <c r="E261" i="22"/>
  <c r="D261" i="22"/>
  <c r="G261" i="22"/>
  <c r="G261" i="27"/>
  <c r="I259" i="25"/>
  <c r="I260" i="20"/>
  <c r="A261" i="26"/>
  <c r="C261" i="26"/>
  <c r="G261" i="26" s="1"/>
  <c r="B262" i="26"/>
  <c r="C262" i="22"/>
  <c r="G262" i="22" s="1"/>
  <c r="A262" i="22"/>
  <c r="D261" i="27"/>
  <c r="D260" i="24"/>
  <c r="C262" i="27"/>
  <c r="D262" i="27" s="1"/>
  <c r="A262" i="27"/>
  <c r="B262" i="19"/>
  <c r="C261" i="19"/>
  <c r="H261" i="19" s="1"/>
  <c r="A261" i="19"/>
  <c r="A261" i="25"/>
  <c r="C261" i="25"/>
  <c r="B262" i="25"/>
  <c r="C261" i="13"/>
  <c r="G261" i="13" s="1"/>
  <c r="B262" i="13"/>
  <c r="A261" i="13"/>
  <c r="B262" i="23"/>
  <c r="C261" i="23"/>
  <c r="D261" i="23" s="1"/>
  <c r="A261" i="23"/>
  <c r="I259" i="19"/>
  <c r="H261" i="27"/>
  <c r="D260" i="25"/>
  <c r="G260" i="25"/>
  <c r="F260" i="25"/>
  <c r="H260" i="25"/>
  <c r="I259" i="21"/>
  <c r="A261" i="21"/>
  <c r="B262" i="21"/>
  <c r="C261" i="21"/>
  <c r="E261" i="20"/>
  <c r="F261" i="20"/>
  <c r="D261" i="20"/>
  <c r="H261" i="20"/>
  <c r="C262" i="20"/>
  <c r="F262" i="20" s="1"/>
  <c r="A262" i="20"/>
  <c r="Q192" i="31" l="1"/>
  <c r="T188" i="3"/>
  <c r="J188" i="3" s="1"/>
  <c r="T189" i="31"/>
  <c r="J189" i="31" s="1"/>
  <c r="J188" i="31"/>
  <c r="S189" i="3"/>
  <c r="S190" i="31"/>
  <c r="R190" i="3"/>
  <c r="R191" i="31"/>
  <c r="Q192" i="3"/>
  <c r="P192" i="3"/>
  <c r="P193" i="31"/>
  <c r="Q193" i="31" s="1"/>
  <c r="O194" i="3"/>
  <c r="O195" i="31"/>
  <c r="N196" i="31"/>
  <c r="N195" i="3"/>
  <c r="M196" i="3"/>
  <c r="L197" i="3"/>
  <c r="M197" i="31"/>
  <c r="L198" i="31"/>
  <c r="K198" i="3"/>
  <c r="K199" i="31"/>
  <c r="E261" i="19"/>
  <c r="I260" i="13"/>
  <c r="I260" i="21"/>
  <c r="I260" i="25"/>
  <c r="I261" i="20"/>
  <c r="I261" i="27"/>
  <c r="D261" i="19"/>
  <c r="E262" i="20"/>
  <c r="I260" i="23"/>
  <c r="I260" i="19"/>
  <c r="A262" i="23"/>
  <c r="C262" i="23"/>
  <c r="H262" i="23" s="1"/>
  <c r="I260" i="26"/>
  <c r="E261" i="13"/>
  <c r="G261" i="25"/>
  <c r="D261" i="25"/>
  <c r="F261" i="25"/>
  <c r="E261" i="25"/>
  <c r="H261" i="25"/>
  <c r="C262" i="24"/>
  <c r="A262" i="24"/>
  <c r="G261" i="21"/>
  <c r="F261" i="21"/>
  <c r="H261" i="21"/>
  <c r="D261" i="21"/>
  <c r="E261" i="21"/>
  <c r="A262" i="21"/>
  <c r="C262" i="21"/>
  <c r="H262" i="21" s="1"/>
  <c r="E261" i="24"/>
  <c r="F261" i="24"/>
  <c r="H261" i="24"/>
  <c r="E261" i="23"/>
  <c r="D261" i="13"/>
  <c r="C262" i="19"/>
  <c r="G262" i="19" s="1"/>
  <c r="A262" i="19"/>
  <c r="D262" i="22"/>
  <c r="E262" i="22"/>
  <c r="H262" i="22"/>
  <c r="I261" i="22"/>
  <c r="F261" i="23"/>
  <c r="F261" i="13"/>
  <c r="A262" i="26"/>
  <c r="C262" i="26"/>
  <c r="H261" i="23"/>
  <c r="H261" i="13"/>
  <c r="G261" i="19"/>
  <c r="H262" i="27"/>
  <c r="G262" i="27"/>
  <c r="E262" i="27"/>
  <c r="F262" i="27"/>
  <c r="F261" i="26"/>
  <c r="D261" i="26"/>
  <c r="E261" i="26"/>
  <c r="H261" i="26"/>
  <c r="H262" i="20"/>
  <c r="A262" i="13"/>
  <c r="C262" i="13"/>
  <c r="F262" i="13" s="1"/>
  <c r="C262" i="25"/>
  <c r="E262" i="25" s="1"/>
  <c r="A262" i="25"/>
  <c r="G261" i="23"/>
  <c r="F261" i="19"/>
  <c r="I260" i="24"/>
  <c r="D262" i="20"/>
  <c r="G262" i="20"/>
  <c r="D261" i="24"/>
  <c r="F262" i="22"/>
  <c r="T189" i="3" l="1"/>
  <c r="J189" i="3" s="1"/>
  <c r="T190" i="31"/>
  <c r="S190" i="3"/>
  <c r="S191" i="31"/>
  <c r="R191" i="3"/>
  <c r="R192" i="31"/>
  <c r="M197" i="3"/>
  <c r="Q193" i="3"/>
  <c r="N196" i="3"/>
  <c r="P193" i="3"/>
  <c r="P194" i="31"/>
  <c r="O195" i="3"/>
  <c r="O196" i="31"/>
  <c r="N197" i="31"/>
  <c r="L198" i="3"/>
  <c r="M198" i="31"/>
  <c r="L199" i="31"/>
  <c r="K199" i="3"/>
  <c r="K200" i="31"/>
  <c r="F262" i="25"/>
  <c r="I261" i="24"/>
  <c r="I262" i="27"/>
  <c r="I261" i="19"/>
  <c r="I261" i="23"/>
  <c r="I262" i="20"/>
  <c r="D262" i="13"/>
  <c r="H262" i="19"/>
  <c r="F262" i="21"/>
  <c r="I262" i="22"/>
  <c r="H262" i="13"/>
  <c r="E262" i="19"/>
  <c r="D262" i="19"/>
  <c r="F262" i="19"/>
  <c r="F262" i="23"/>
  <c r="G262" i="26"/>
  <c r="F262" i="26"/>
  <c r="H262" i="26"/>
  <c r="E262" i="26"/>
  <c r="I261" i="25"/>
  <c r="H262" i="25"/>
  <c r="D262" i="25"/>
  <c r="G262" i="13"/>
  <c r="D262" i="21"/>
  <c r="E262" i="21"/>
  <c r="G262" i="21"/>
  <c r="G262" i="24"/>
  <c r="H262" i="24"/>
  <c r="E262" i="24"/>
  <c r="D262" i="24"/>
  <c r="F262" i="24"/>
  <c r="G262" i="23"/>
  <c r="D262" i="26"/>
  <c r="I261" i="21"/>
  <c r="E262" i="13"/>
  <c r="I261" i="26"/>
  <c r="I261" i="13"/>
  <c r="E262" i="23"/>
  <c r="D262" i="23"/>
  <c r="G262" i="25"/>
  <c r="T190" i="3" l="1"/>
  <c r="J190" i="3" s="1"/>
  <c r="H50" i="2" s="1"/>
  <c r="I50" i="2" s="1"/>
  <c r="A51" i="2" s="1"/>
  <c r="T191" i="31"/>
  <c r="J190" i="31"/>
  <c r="S191" i="3"/>
  <c r="S192" i="31"/>
  <c r="Q194" i="31"/>
  <c r="Q194" i="3" s="1"/>
  <c r="R192" i="3"/>
  <c r="R193" i="31"/>
  <c r="O196" i="3"/>
  <c r="P194" i="3"/>
  <c r="P195" i="31"/>
  <c r="N198" i="31"/>
  <c r="N198" i="3" s="1"/>
  <c r="M198" i="3"/>
  <c r="O197" i="31"/>
  <c r="N197" i="3"/>
  <c r="L199" i="3"/>
  <c r="M199" i="31"/>
  <c r="M199" i="3" s="1"/>
  <c r="L200" i="31"/>
  <c r="K201" i="31"/>
  <c r="K200" i="3"/>
  <c r="I262" i="19"/>
  <c r="I262" i="13"/>
  <c r="I262" i="26"/>
  <c r="I262" i="24"/>
  <c r="I262" i="25"/>
  <c r="I262" i="21"/>
  <c r="I262" i="23"/>
  <c r="E51" i="2" l="1"/>
  <c r="B51" i="2"/>
  <c r="F51" i="2"/>
  <c r="G51" i="2"/>
  <c r="D51" i="2"/>
  <c r="C51" i="2"/>
  <c r="T191" i="3"/>
  <c r="J191" i="3" s="1"/>
  <c r="T192" i="31"/>
  <c r="J191" i="31"/>
  <c r="S192" i="3"/>
  <c r="S193" i="31"/>
  <c r="Q195" i="31"/>
  <c r="Q195" i="3" s="1"/>
  <c r="R193" i="3"/>
  <c r="R194" i="31"/>
  <c r="P195" i="3"/>
  <c r="P196" i="31"/>
  <c r="N199" i="31"/>
  <c r="N199" i="3" s="1"/>
  <c r="O197" i="3"/>
  <c r="O198" i="31"/>
  <c r="L200" i="3"/>
  <c r="M200" i="31"/>
  <c r="L201" i="31"/>
  <c r="K201" i="3"/>
  <c r="K202" i="31"/>
  <c r="T192" i="3" l="1"/>
  <c r="J192" i="3" s="1"/>
  <c r="T193" i="31"/>
  <c r="J192" i="31"/>
  <c r="S193" i="3"/>
  <c r="S194" i="31"/>
  <c r="R194" i="3"/>
  <c r="R195" i="31"/>
  <c r="Q196" i="31"/>
  <c r="Q196" i="3" s="1"/>
  <c r="L201" i="3"/>
  <c r="P196" i="3"/>
  <c r="P197" i="31"/>
  <c r="O198" i="3"/>
  <c r="O199" i="31"/>
  <c r="M200" i="3"/>
  <c r="N200" i="31"/>
  <c r="N200" i="3" s="1"/>
  <c r="M201" i="31"/>
  <c r="L202" i="31"/>
  <c r="L202" i="3" s="1"/>
  <c r="K203" i="31"/>
  <c r="K202" i="3"/>
  <c r="T193" i="3" l="1"/>
  <c r="J193" i="3" s="1"/>
  <c r="T194" i="31"/>
  <c r="J193" i="31"/>
  <c r="S194" i="3"/>
  <c r="S195" i="31"/>
  <c r="R195" i="3"/>
  <c r="R196" i="31"/>
  <c r="Q197" i="31"/>
  <c r="Q197" i="3" s="1"/>
  <c r="P197" i="3"/>
  <c r="P198" i="31"/>
  <c r="O199" i="3"/>
  <c r="O200" i="31"/>
  <c r="N201" i="31"/>
  <c r="N201" i="3" s="1"/>
  <c r="M201" i="3"/>
  <c r="M202" i="31"/>
  <c r="L203" i="31"/>
  <c r="K203" i="3"/>
  <c r="K204" i="31"/>
  <c r="T194" i="3" l="1"/>
  <c r="J194" i="3" s="1"/>
  <c r="T195" i="31"/>
  <c r="J194" i="31"/>
  <c r="S195" i="3"/>
  <c r="S196" i="31"/>
  <c r="R196" i="3"/>
  <c r="R197" i="31"/>
  <c r="Q198" i="31"/>
  <c r="Q198" i="3" s="1"/>
  <c r="L203" i="3"/>
  <c r="P198" i="3"/>
  <c r="P199" i="31"/>
  <c r="O201" i="31"/>
  <c r="O200" i="3"/>
  <c r="N202" i="31"/>
  <c r="M202" i="3"/>
  <c r="M203" i="31"/>
  <c r="L204" i="31"/>
  <c r="K205" i="31"/>
  <c r="K204" i="3"/>
  <c r="T195" i="3" l="1"/>
  <c r="J195" i="3" s="1"/>
  <c r="T196" i="31"/>
  <c r="J196" i="31" s="1"/>
  <c r="J195" i="31"/>
  <c r="S196" i="3"/>
  <c r="S197" i="31"/>
  <c r="Q199" i="31"/>
  <c r="Q199" i="3" s="1"/>
  <c r="R197" i="3"/>
  <c r="R198" i="31"/>
  <c r="O201" i="3"/>
  <c r="P199" i="3"/>
  <c r="P200" i="31"/>
  <c r="N202" i="3"/>
  <c r="O202" i="31"/>
  <c r="N203" i="31"/>
  <c r="N203" i="3" s="1"/>
  <c r="L204" i="3"/>
  <c r="M203" i="3"/>
  <c r="M204" i="31"/>
  <c r="L205" i="31"/>
  <c r="K206" i="31"/>
  <c r="K205" i="3"/>
  <c r="T196" i="3" l="1"/>
  <c r="J196" i="3" s="1"/>
  <c r="T197" i="31"/>
  <c r="J197" i="31" s="1"/>
  <c r="S197" i="3"/>
  <c r="S198" i="31"/>
  <c r="Q200" i="31"/>
  <c r="Q200" i="3" s="1"/>
  <c r="R198" i="3"/>
  <c r="R199" i="31"/>
  <c r="L205" i="3"/>
  <c r="P200" i="3"/>
  <c r="P201" i="31"/>
  <c r="O202" i="3"/>
  <c r="O203" i="31"/>
  <c r="O203" i="3" s="1"/>
  <c r="M204" i="3"/>
  <c r="N204" i="31"/>
  <c r="M205" i="31"/>
  <c r="L206" i="31"/>
  <c r="L206" i="3" s="1"/>
  <c r="K206" i="3"/>
  <c r="K207" i="31"/>
  <c r="T197" i="3" l="1"/>
  <c r="J197" i="3" s="1"/>
  <c r="T198" i="31"/>
  <c r="S198" i="3"/>
  <c r="S199" i="31"/>
  <c r="Q201" i="31"/>
  <c r="Q201" i="3" s="1"/>
  <c r="R199" i="3"/>
  <c r="R200" i="31"/>
  <c r="M205" i="3"/>
  <c r="P201" i="3"/>
  <c r="P202" i="31"/>
  <c r="N204" i="3"/>
  <c r="O204" i="31"/>
  <c r="N205" i="31"/>
  <c r="N205" i="3" s="1"/>
  <c r="M206" i="31"/>
  <c r="L207" i="31"/>
  <c r="K207" i="3"/>
  <c r="K208" i="31"/>
  <c r="T198" i="3" l="1"/>
  <c r="J198" i="3" s="1"/>
  <c r="T199" i="31"/>
  <c r="J198" i="31"/>
  <c r="S199" i="3"/>
  <c r="S200" i="31"/>
  <c r="R200" i="3"/>
  <c r="R201" i="31"/>
  <c r="Q202" i="31"/>
  <c r="Q202" i="3" s="1"/>
  <c r="L207" i="3"/>
  <c r="P202" i="3"/>
  <c r="P203" i="31"/>
  <c r="O204" i="3"/>
  <c r="O205" i="31"/>
  <c r="O205" i="3" s="1"/>
  <c r="M206" i="3"/>
  <c r="N206" i="31"/>
  <c r="N206" i="3" s="1"/>
  <c r="M207" i="31"/>
  <c r="M207" i="3" s="1"/>
  <c r="L208" i="31"/>
  <c r="K208" i="3"/>
  <c r="K209" i="31"/>
  <c r="T199" i="3" l="1"/>
  <c r="J199" i="3" s="1"/>
  <c r="T200" i="31"/>
  <c r="J200" i="31" s="1"/>
  <c r="J199" i="31"/>
  <c r="S200" i="3"/>
  <c r="S201" i="31"/>
  <c r="R201" i="3"/>
  <c r="R202" i="31"/>
  <c r="Q203" i="31"/>
  <c r="Q203" i="3" s="1"/>
  <c r="P203" i="3"/>
  <c r="P204" i="31"/>
  <c r="O206" i="31"/>
  <c r="N207" i="31"/>
  <c r="L208" i="3"/>
  <c r="M208" i="31"/>
  <c r="M208" i="3" s="1"/>
  <c r="L209" i="31"/>
  <c r="K209" i="3"/>
  <c r="K210" i="31"/>
  <c r="T200" i="3" l="1"/>
  <c r="J200" i="3" s="1"/>
  <c r="T201" i="31"/>
  <c r="S201" i="3"/>
  <c r="S202" i="31"/>
  <c r="R202" i="3"/>
  <c r="R203" i="31"/>
  <c r="Q204" i="31"/>
  <c r="Q204" i="3" s="1"/>
  <c r="L209" i="3"/>
  <c r="O206" i="3"/>
  <c r="P204" i="3"/>
  <c r="P205" i="31"/>
  <c r="N207" i="3"/>
  <c r="O207" i="31"/>
  <c r="O207" i="3" s="1"/>
  <c r="N208" i="31"/>
  <c r="N208" i="3" s="1"/>
  <c r="M209" i="31"/>
  <c r="L210" i="31"/>
  <c r="K211" i="31"/>
  <c r="K210" i="3"/>
  <c r="T201" i="3" l="1"/>
  <c r="J201" i="3" s="1"/>
  <c r="T202" i="31"/>
  <c r="J201" i="31"/>
  <c r="S202" i="3"/>
  <c r="S203" i="31"/>
  <c r="M209" i="3"/>
  <c r="Q205" i="31"/>
  <c r="Q205" i="3" s="1"/>
  <c r="R203" i="3"/>
  <c r="R204" i="31"/>
  <c r="L210" i="3"/>
  <c r="P205" i="3"/>
  <c r="P206" i="31"/>
  <c r="O208" i="31"/>
  <c r="N209" i="31"/>
  <c r="N209" i="3" s="1"/>
  <c r="M210" i="31"/>
  <c r="L211" i="31"/>
  <c r="L211" i="3" s="1"/>
  <c r="K212" i="31"/>
  <c r="K211" i="3"/>
  <c r="T202" i="3" l="1"/>
  <c r="J202" i="3" s="1"/>
  <c r="H51" i="2" s="1"/>
  <c r="I51" i="2" s="1"/>
  <c r="A52" i="2" s="1"/>
  <c r="T203" i="31"/>
  <c r="J203" i="31" s="1"/>
  <c r="J202" i="31"/>
  <c r="S203" i="3"/>
  <c r="S204" i="31"/>
  <c r="M210" i="3"/>
  <c r="R204" i="3"/>
  <c r="R205" i="31"/>
  <c r="Q206" i="31"/>
  <c r="O208" i="3"/>
  <c r="P206" i="3"/>
  <c r="P207" i="31"/>
  <c r="Q207" i="31" s="1"/>
  <c r="O209" i="31"/>
  <c r="O209" i="3" s="1"/>
  <c r="N210" i="31"/>
  <c r="M211" i="31"/>
  <c r="L212" i="31"/>
  <c r="K213" i="31"/>
  <c r="K212" i="3"/>
  <c r="E52" i="2" l="1"/>
  <c r="B52" i="2"/>
  <c r="F52" i="2"/>
  <c r="C52" i="2"/>
  <c r="G52" i="2"/>
  <c r="D52" i="2"/>
  <c r="T203" i="3"/>
  <c r="J203" i="3" s="1"/>
  <c r="T204" i="31"/>
  <c r="J204" i="31" s="1"/>
  <c r="M211" i="3"/>
  <c r="S204" i="3"/>
  <c r="S205" i="31"/>
  <c r="Q206" i="3"/>
  <c r="R205" i="3"/>
  <c r="R206" i="31"/>
  <c r="R206" i="3" s="1"/>
  <c r="Q207" i="3"/>
  <c r="P207" i="3"/>
  <c r="P208" i="31"/>
  <c r="Q208" i="31" s="1"/>
  <c r="N210" i="3"/>
  <c r="O210" i="31"/>
  <c r="N211" i="31"/>
  <c r="N211" i="3" s="1"/>
  <c r="L212" i="3"/>
  <c r="M212" i="31"/>
  <c r="L213" i="31"/>
  <c r="L213" i="3" s="1"/>
  <c r="K213" i="3"/>
  <c r="K214" i="31"/>
  <c r="T204" i="3" l="1"/>
  <c r="J204" i="3" s="1"/>
  <c r="T205" i="31"/>
  <c r="J205" i="31" s="1"/>
  <c r="S205" i="3"/>
  <c r="S206" i="31"/>
  <c r="M212" i="3"/>
  <c r="R207" i="31"/>
  <c r="Q208" i="3"/>
  <c r="P208" i="3"/>
  <c r="P209" i="31"/>
  <c r="Q209" i="31" s="1"/>
  <c r="Q209" i="3" s="1"/>
  <c r="O210" i="3"/>
  <c r="O211" i="31"/>
  <c r="N212" i="31"/>
  <c r="M213" i="31"/>
  <c r="L214" i="31"/>
  <c r="K214" i="3"/>
  <c r="K215" i="31"/>
  <c r="T205" i="3" l="1"/>
  <c r="J205" i="3" s="1"/>
  <c r="T206" i="31"/>
  <c r="S206" i="3"/>
  <c r="S207" i="31"/>
  <c r="M213" i="3"/>
  <c r="R207" i="3"/>
  <c r="R208" i="31"/>
  <c r="L214" i="3"/>
  <c r="P209" i="3"/>
  <c r="P210" i="31"/>
  <c r="Q210" i="31" s="1"/>
  <c r="Q210" i="3" s="1"/>
  <c r="O211" i="3"/>
  <c r="N212" i="3"/>
  <c r="O212" i="31"/>
  <c r="N213" i="31"/>
  <c r="M214" i="31"/>
  <c r="L215" i="31"/>
  <c r="L215" i="3" s="1"/>
  <c r="K215" i="3"/>
  <c r="K216" i="31"/>
  <c r="T206" i="3" l="1"/>
  <c r="J206" i="3" s="1"/>
  <c r="T207" i="31"/>
  <c r="J207" i="31" s="1"/>
  <c r="J206" i="31"/>
  <c r="N213" i="3"/>
  <c r="S207" i="3"/>
  <c r="S208" i="31"/>
  <c r="M214" i="3"/>
  <c r="R208" i="3"/>
  <c r="R209" i="31"/>
  <c r="P210" i="3"/>
  <c r="P211" i="31"/>
  <c r="O212" i="3"/>
  <c r="O213" i="31"/>
  <c r="N214" i="31"/>
  <c r="M215" i="31"/>
  <c r="L216" i="31"/>
  <c r="K217" i="31"/>
  <c r="K216" i="3"/>
  <c r="T207" i="3" l="1"/>
  <c r="J207" i="3" s="1"/>
  <c r="T208" i="31"/>
  <c r="S208" i="3"/>
  <c r="S209" i="31"/>
  <c r="R209" i="3"/>
  <c r="R210" i="31"/>
  <c r="Q211" i="31"/>
  <c r="M215" i="3"/>
  <c r="L216" i="3"/>
  <c r="P211" i="3"/>
  <c r="P212" i="31"/>
  <c r="O213" i="3"/>
  <c r="N214" i="3"/>
  <c r="O214" i="31"/>
  <c r="N215" i="31"/>
  <c r="M216" i="31"/>
  <c r="L217" i="31"/>
  <c r="K218" i="31"/>
  <c r="K217" i="3"/>
  <c r="T208" i="3" l="1"/>
  <c r="J208" i="3" s="1"/>
  <c r="T209" i="31"/>
  <c r="J208" i="31"/>
  <c r="M216" i="3"/>
  <c r="S209" i="3"/>
  <c r="S210" i="31"/>
  <c r="N215" i="3"/>
  <c r="R210" i="3"/>
  <c r="R211" i="31"/>
  <c r="Q211" i="3"/>
  <c r="Q212" i="31"/>
  <c r="Q212" i="3" s="1"/>
  <c r="P212" i="3"/>
  <c r="P213" i="31"/>
  <c r="O214" i="3"/>
  <c r="O215" i="31"/>
  <c r="N216" i="31"/>
  <c r="N216" i="3" s="1"/>
  <c r="L217" i="3"/>
  <c r="M217" i="31"/>
  <c r="M217" i="3" s="1"/>
  <c r="L218" i="31"/>
  <c r="K218" i="3"/>
  <c r="K219" i="31"/>
  <c r="T209" i="3" l="1"/>
  <c r="J209" i="3" s="1"/>
  <c r="T210" i="31"/>
  <c r="J209" i="31"/>
  <c r="S210" i="3"/>
  <c r="S211" i="31"/>
  <c r="Q213" i="31"/>
  <c r="Q213" i="3" s="1"/>
  <c r="R211" i="3"/>
  <c r="R212" i="31"/>
  <c r="P213" i="3"/>
  <c r="P214" i="31"/>
  <c r="N217" i="31"/>
  <c r="N217" i="3" s="1"/>
  <c r="O215" i="3"/>
  <c r="O216" i="31"/>
  <c r="M218" i="31"/>
  <c r="M218" i="3" s="1"/>
  <c r="L218" i="3"/>
  <c r="L219" i="31"/>
  <c r="K219" i="3"/>
  <c r="K220" i="31"/>
  <c r="Q214" i="31" l="1"/>
  <c r="T210" i="3"/>
  <c r="J210" i="3" s="1"/>
  <c r="T211" i="31"/>
  <c r="J210" i="31"/>
  <c r="S211" i="3"/>
  <c r="S212" i="31"/>
  <c r="R212" i="3"/>
  <c r="R213" i="31"/>
  <c r="Q214" i="3"/>
  <c r="L219" i="3"/>
  <c r="O216" i="3"/>
  <c r="P214" i="3"/>
  <c r="P215" i="31"/>
  <c r="O217" i="31"/>
  <c r="O217" i="3" s="1"/>
  <c r="N218" i="31"/>
  <c r="N218" i="3" s="1"/>
  <c r="M219" i="31"/>
  <c r="L220" i="31"/>
  <c r="L220" i="3" s="1"/>
  <c r="K221" i="31"/>
  <c r="K220" i="3"/>
  <c r="T211" i="3" l="1"/>
  <c r="J211" i="3" s="1"/>
  <c r="T212" i="31"/>
  <c r="J211" i="31"/>
  <c r="S212" i="3"/>
  <c r="S213" i="31"/>
  <c r="R213" i="3"/>
  <c r="R214" i="31"/>
  <c r="M219" i="3"/>
  <c r="Q215" i="31"/>
  <c r="Q215" i="3" s="1"/>
  <c r="N219" i="31"/>
  <c r="N219" i="3" s="1"/>
  <c r="O218" i="31"/>
  <c r="O218" i="3" s="1"/>
  <c r="P215" i="3"/>
  <c r="P216" i="31"/>
  <c r="M220" i="31"/>
  <c r="L221" i="31"/>
  <c r="L221" i="3" s="1"/>
  <c r="K222" i="31"/>
  <c r="K221" i="3"/>
  <c r="Q216" i="31" l="1"/>
  <c r="Q216" i="3" s="1"/>
  <c r="T212" i="3"/>
  <c r="J212" i="3" s="1"/>
  <c r="T213" i="31"/>
  <c r="J213" i="31" s="1"/>
  <c r="J212" i="31"/>
  <c r="S213" i="3"/>
  <c r="S214" i="31"/>
  <c r="R214" i="3"/>
  <c r="R215" i="31"/>
  <c r="O219" i="31"/>
  <c r="O219" i="3" s="1"/>
  <c r="P216" i="3"/>
  <c r="P217" i="31"/>
  <c r="Q217" i="31" s="1"/>
  <c r="M220" i="3"/>
  <c r="N220" i="31"/>
  <c r="M221" i="31"/>
  <c r="L222" i="31"/>
  <c r="L222" i="3" s="1"/>
  <c r="K223" i="31"/>
  <c r="K222" i="3"/>
  <c r="T213" i="3" l="1"/>
  <c r="J213" i="3" s="1"/>
  <c r="T214" i="31"/>
  <c r="S214" i="3"/>
  <c r="S215" i="31"/>
  <c r="R215" i="3"/>
  <c r="R216" i="31"/>
  <c r="Q217" i="3"/>
  <c r="N220" i="3"/>
  <c r="P217" i="3"/>
  <c r="P218" i="31"/>
  <c r="Q218" i="31" s="1"/>
  <c r="O220" i="31"/>
  <c r="M221" i="3"/>
  <c r="N221" i="31"/>
  <c r="M222" i="31"/>
  <c r="M222" i="3" s="1"/>
  <c r="L223" i="31"/>
  <c r="K223" i="3"/>
  <c r="K224" i="31"/>
  <c r="T214" i="3" l="1"/>
  <c r="J214" i="3" s="1"/>
  <c r="H52" i="2" s="1"/>
  <c r="I52" i="2" s="1"/>
  <c r="A53" i="2" s="1"/>
  <c r="T215" i="31"/>
  <c r="J215" i="31" s="1"/>
  <c r="J214" i="31"/>
  <c r="N221" i="3"/>
  <c r="S215" i="3"/>
  <c r="S216" i="31"/>
  <c r="R216" i="3"/>
  <c r="R217" i="31"/>
  <c r="Q218" i="3"/>
  <c r="P218" i="3"/>
  <c r="P219" i="31"/>
  <c r="O220" i="3"/>
  <c r="O221" i="31"/>
  <c r="M223" i="31"/>
  <c r="N222" i="31"/>
  <c r="L223" i="3"/>
  <c r="L224" i="31"/>
  <c r="K225" i="31"/>
  <c r="K224" i="3"/>
  <c r="B53" i="2" l="1"/>
  <c r="F53" i="2"/>
  <c r="G53" i="2"/>
  <c r="D53" i="2"/>
  <c r="C53" i="2"/>
  <c r="E53" i="2"/>
  <c r="T215" i="3"/>
  <c r="J215" i="3" s="1"/>
  <c r="T216" i="31"/>
  <c r="S216" i="3"/>
  <c r="S217" i="31"/>
  <c r="N222" i="3"/>
  <c r="M223" i="3"/>
  <c r="R217" i="3"/>
  <c r="R218" i="31"/>
  <c r="Q219" i="31"/>
  <c r="Q219" i="3" s="1"/>
  <c r="L224" i="3"/>
  <c r="O221" i="3"/>
  <c r="P219" i="3"/>
  <c r="P220" i="31"/>
  <c r="O222" i="31"/>
  <c r="N223" i="31"/>
  <c r="M224" i="31"/>
  <c r="L225" i="31"/>
  <c r="L225" i="3" s="1"/>
  <c r="K226" i="31"/>
  <c r="K225" i="3"/>
  <c r="T216" i="3" l="1"/>
  <c r="J216" i="3" s="1"/>
  <c r="T217" i="31"/>
  <c r="J216" i="31"/>
  <c r="S217" i="3"/>
  <c r="S218" i="31"/>
  <c r="Q220" i="31"/>
  <c r="Q220" i="3" s="1"/>
  <c r="R218" i="3"/>
  <c r="R219" i="31"/>
  <c r="R219" i="3" s="1"/>
  <c r="M224" i="3"/>
  <c r="O222" i="3"/>
  <c r="P220" i="3"/>
  <c r="P221" i="31"/>
  <c r="O223" i="31"/>
  <c r="M225" i="31"/>
  <c r="N223" i="3"/>
  <c r="N224" i="31"/>
  <c r="N224" i="3" s="1"/>
  <c r="L226" i="31"/>
  <c r="L226" i="3" s="1"/>
  <c r="K226" i="3"/>
  <c r="K227" i="31"/>
  <c r="T217" i="3" l="1"/>
  <c r="J217" i="3" s="1"/>
  <c r="T218" i="31"/>
  <c r="J218" i="31" s="1"/>
  <c r="J217" i="31"/>
  <c r="Q221" i="31"/>
  <c r="Q221" i="3" s="1"/>
  <c r="O223" i="3"/>
  <c r="S218" i="3"/>
  <c r="S219" i="31"/>
  <c r="R220" i="31"/>
  <c r="M225" i="3"/>
  <c r="P221" i="3"/>
  <c r="P222" i="31"/>
  <c r="N225" i="31"/>
  <c r="O224" i="31"/>
  <c r="M226" i="31"/>
  <c r="L227" i="31"/>
  <c r="L227" i="3" s="1"/>
  <c r="K228" i="31"/>
  <c r="K227" i="3"/>
  <c r="Q222" i="31" l="1"/>
  <c r="Q222" i="3" s="1"/>
  <c r="T218" i="3"/>
  <c r="J218" i="3" s="1"/>
  <c r="T219" i="31"/>
  <c r="J219" i="31" s="1"/>
  <c r="S219" i="3"/>
  <c r="S220" i="31"/>
  <c r="R220" i="3"/>
  <c r="R221" i="31"/>
  <c r="P222" i="3"/>
  <c r="P223" i="31"/>
  <c r="Q223" i="31" s="1"/>
  <c r="O224" i="3"/>
  <c r="O225" i="31"/>
  <c r="N225" i="3"/>
  <c r="M226" i="3"/>
  <c r="N226" i="31"/>
  <c r="M227" i="31"/>
  <c r="M227" i="3" s="1"/>
  <c r="L228" i="31"/>
  <c r="L228" i="3" s="1"/>
  <c r="K228" i="3"/>
  <c r="K229" i="31"/>
  <c r="T219" i="3" l="1"/>
  <c r="J219" i="3" s="1"/>
  <c r="T220" i="31"/>
  <c r="J220" i="31" s="1"/>
  <c r="S220" i="3"/>
  <c r="S221" i="31"/>
  <c r="O225" i="3"/>
  <c r="R221" i="3"/>
  <c r="R222" i="31"/>
  <c r="Q223" i="3"/>
  <c r="N226" i="3"/>
  <c r="P223" i="3"/>
  <c r="P224" i="31"/>
  <c r="O226" i="31"/>
  <c r="O226" i="3" s="1"/>
  <c r="N227" i="31"/>
  <c r="M228" i="31"/>
  <c r="L229" i="31"/>
  <c r="K230" i="31"/>
  <c r="K229" i="3"/>
  <c r="T220" i="3" l="1"/>
  <c r="J220" i="3" s="1"/>
  <c r="T221" i="31"/>
  <c r="S221" i="3"/>
  <c r="S222" i="31"/>
  <c r="Q224" i="31"/>
  <c r="Q224" i="3" s="1"/>
  <c r="R222" i="3"/>
  <c r="R223" i="31"/>
  <c r="M228" i="3"/>
  <c r="L229" i="3"/>
  <c r="P224" i="3"/>
  <c r="P225" i="31"/>
  <c r="O227" i="31"/>
  <c r="N227" i="3"/>
  <c r="N228" i="31"/>
  <c r="M229" i="31"/>
  <c r="L230" i="31"/>
  <c r="K230" i="3"/>
  <c r="K231" i="31"/>
  <c r="T221" i="3" l="1"/>
  <c r="J221" i="3" s="1"/>
  <c r="T222" i="31"/>
  <c r="J222" i="31" s="1"/>
  <c r="J221" i="31"/>
  <c r="S222" i="3"/>
  <c r="S223" i="31"/>
  <c r="R223" i="3"/>
  <c r="R224" i="31"/>
  <c r="Q225" i="31"/>
  <c r="Q225" i="3" s="1"/>
  <c r="M229" i="3"/>
  <c r="O227" i="3"/>
  <c r="P225" i="3"/>
  <c r="P226" i="31"/>
  <c r="N228" i="3"/>
  <c r="O228" i="31"/>
  <c r="O228" i="3" s="1"/>
  <c r="N229" i="31"/>
  <c r="N229" i="3" s="1"/>
  <c r="L230" i="3"/>
  <c r="M230" i="31"/>
  <c r="L231" i="31"/>
  <c r="L231" i="3" s="1"/>
  <c r="K232" i="31"/>
  <c r="K231" i="3"/>
  <c r="T222" i="3" l="1"/>
  <c r="J222" i="3" s="1"/>
  <c r="T223" i="31"/>
  <c r="S223" i="3"/>
  <c r="S224" i="31"/>
  <c r="M230" i="3"/>
  <c r="R224" i="3"/>
  <c r="R225" i="31"/>
  <c r="R225" i="3" s="1"/>
  <c r="Q226" i="31"/>
  <c r="Q226" i="3" s="1"/>
  <c r="P226" i="3"/>
  <c r="P227" i="31"/>
  <c r="O229" i="31"/>
  <c r="N230" i="31"/>
  <c r="M231" i="31"/>
  <c r="L232" i="31"/>
  <c r="K233" i="31"/>
  <c r="K232" i="3"/>
  <c r="T223" i="3" l="1"/>
  <c r="J223" i="3" s="1"/>
  <c r="T224" i="31"/>
  <c r="J223" i="31"/>
  <c r="S224" i="3"/>
  <c r="S225" i="31"/>
  <c r="R226" i="31"/>
  <c r="M231" i="3"/>
  <c r="Q227" i="31"/>
  <c r="L232" i="3"/>
  <c r="P227" i="3"/>
  <c r="P228" i="31"/>
  <c r="N231" i="31"/>
  <c r="N230" i="3"/>
  <c r="O229" i="3"/>
  <c r="O230" i="31"/>
  <c r="M232" i="31"/>
  <c r="L233" i="31"/>
  <c r="K234" i="31"/>
  <c r="K233" i="3"/>
  <c r="N231" i="3" l="1"/>
  <c r="T224" i="3"/>
  <c r="J224" i="3" s="1"/>
  <c r="T225" i="31"/>
  <c r="J225" i="31" s="1"/>
  <c r="J224" i="31"/>
  <c r="S225" i="3"/>
  <c r="S226" i="31"/>
  <c r="M232" i="3"/>
  <c r="R226" i="3"/>
  <c r="R227" i="31"/>
  <c r="O230" i="3"/>
  <c r="L233" i="3"/>
  <c r="Q227" i="3"/>
  <c r="Q228" i="31"/>
  <c r="P228" i="3"/>
  <c r="P229" i="31"/>
  <c r="O231" i="31"/>
  <c r="N232" i="31"/>
  <c r="M233" i="31"/>
  <c r="L234" i="31"/>
  <c r="L234" i="3" s="1"/>
  <c r="K235" i="31"/>
  <c r="K234" i="3"/>
  <c r="T225" i="3" l="1"/>
  <c r="J225" i="3" s="1"/>
  <c r="T226" i="31"/>
  <c r="S226" i="3"/>
  <c r="S227" i="31"/>
  <c r="R227" i="3"/>
  <c r="R228" i="31"/>
  <c r="Q228" i="3"/>
  <c r="Q229" i="31"/>
  <c r="N232" i="3"/>
  <c r="P229" i="3"/>
  <c r="P230" i="31"/>
  <c r="O231" i="3"/>
  <c r="O232" i="31"/>
  <c r="N233" i="31"/>
  <c r="M234" i="31"/>
  <c r="M233" i="3"/>
  <c r="L235" i="31"/>
  <c r="L235" i="3" s="1"/>
  <c r="K235" i="3"/>
  <c r="K236" i="31"/>
  <c r="T226" i="3" l="1"/>
  <c r="J226" i="3" s="1"/>
  <c r="H53" i="2" s="1"/>
  <c r="I53" i="2" s="1"/>
  <c r="A54" i="2" s="1"/>
  <c r="T227" i="31"/>
  <c r="J226" i="31"/>
  <c r="S227" i="3"/>
  <c r="S228" i="31"/>
  <c r="M234" i="3"/>
  <c r="R228" i="3"/>
  <c r="R229" i="31"/>
  <c r="Q229" i="3"/>
  <c r="Q230" i="31"/>
  <c r="P230" i="3"/>
  <c r="P231" i="31"/>
  <c r="O233" i="31"/>
  <c r="O233" i="3" s="1"/>
  <c r="O232" i="3"/>
  <c r="N234" i="31"/>
  <c r="N233" i="3"/>
  <c r="M235" i="31"/>
  <c r="L236" i="31"/>
  <c r="K237" i="31"/>
  <c r="K236" i="3"/>
  <c r="D54" i="2" l="1"/>
  <c r="G54" i="2"/>
  <c r="E54" i="2"/>
  <c r="B54" i="2"/>
  <c r="C54" i="2"/>
  <c r="F54" i="2"/>
  <c r="T227" i="3"/>
  <c r="J227" i="3" s="1"/>
  <c r="T228" i="31"/>
  <c r="J227" i="31"/>
  <c r="S228" i="3"/>
  <c r="S229" i="31"/>
  <c r="R229" i="3"/>
  <c r="R230" i="31"/>
  <c r="O234" i="31"/>
  <c r="Q230" i="3"/>
  <c r="Q231" i="31"/>
  <c r="Q231" i="3" s="1"/>
  <c r="L236" i="3"/>
  <c r="P231" i="3"/>
  <c r="P232" i="31"/>
  <c r="M235" i="3"/>
  <c r="N234" i="3"/>
  <c r="N235" i="31"/>
  <c r="N235" i="3" s="1"/>
  <c r="M236" i="31"/>
  <c r="L237" i="31"/>
  <c r="K238" i="31"/>
  <c r="K237" i="3"/>
  <c r="T228" i="3" l="1"/>
  <c r="J228" i="3" s="1"/>
  <c r="T229" i="31"/>
  <c r="J229" i="31" s="1"/>
  <c r="J228" i="31"/>
  <c r="S229" i="3"/>
  <c r="S230" i="31"/>
  <c r="R230" i="3"/>
  <c r="R231" i="31"/>
  <c r="O234" i="3"/>
  <c r="Q232" i="31"/>
  <c r="Q232" i="3" s="1"/>
  <c r="L237" i="3"/>
  <c r="P232" i="3"/>
  <c r="P233" i="31"/>
  <c r="O235" i="31"/>
  <c r="O235" i="3" s="1"/>
  <c r="M236" i="3"/>
  <c r="N236" i="31"/>
  <c r="N236" i="3" s="1"/>
  <c r="M237" i="31"/>
  <c r="L238" i="31"/>
  <c r="K239" i="31"/>
  <c r="K238" i="3"/>
  <c r="T229" i="3" l="1"/>
  <c r="J229" i="3" s="1"/>
  <c r="T230" i="31"/>
  <c r="S230" i="3"/>
  <c r="S231" i="31"/>
  <c r="R231" i="3"/>
  <c r="R232" i="31"/>
  <c r="Q233" i="31"/>
  <c r="P233" i="3"/>
  <c r="P234" i="31"/>
  <c r="O236" i="31"/>
  <c r="M238" i="31"/>
  <c r="L238" i="3"/>
  <c r="N237" i="31"/>
  <c r="N237" i="3" s="1"/>
  <c r="M237" i="3"/>
  <c r="L239" i="31"/>
  <c r="L239" i="3" s="1"/>
  <c r="K239" i="3"/>
  <c r="K240" i="31"/>
  <c r="T230" i="3" l="1"/>
  <c r="J230" i="3" s="1"/>
  <c r="T231" i="31"/>
  <c r="J231" i="31" s="1"/>
  <c r="J230" i="31"/>
  <c r="S231" i="3"/>
  <c r="S232" i="31"/>
  <c r="R232" i="3"/>
  <c r="R233" i="31"/>
  <c r="Q233" i="3"/>
  <c r="Q234" i="31"/>
  <c r="P234" i="3"/>
  <c r="P235" i="31"/>
  <c r="O236" i="3"/>
  <c r="O237" i="31"/>
  <c r="M238" i="3"/>
  <c r="N238" i="31"/>
  <c r="N238" i="3" s="1"/>
  <c r="M239" i="31"/>
  <c r="L240" i="31"/>
  <c r="K240" i="3"/>
  <c r="K241" i="31"/>
  <c r="T231" i="3" l="1"/>
  <c r="J231" i="3" s="1"/>
  <c r="T232" i="31"/>
  <c r="S232" i="3"/>
  <c r="S233" i="31"/>
  <c r="R233" i="3"/>
  <c r="R234" i="31"/>
  <c r="R234" i="3" s="1"/>
  <c r="L240" i="3"/>
  <c r="Q234" i="3"/>
  <c r="Q235" i="31"/>
  <c r="O237" i="3"/>
  <c r="P235" i="3"/>
  <c r="P236" i="31"/>
  <c r="O238" i="31"/>
  <c r="M239" i="3"/>
  <c r="N239" i="31"/>
  <c r="M240" i="31"/>
  <c r="L241" i="31"/>
  <c r="K242" i="31"/>
  <c r="K241" i="3"/>
  <c r="T232" i="3" l="1"/>
  <c r="J232" i="3" s="1"/>
  <c r="T233" i="31"/>
  <c r="J232" i="31"/>
  <c r="S233" i="3"/>
  <c r="S234" i="31"/>
  <c r="M240" i="3"/>
  <c r="R235" i="31"/>
  <c r="Q235" i="3"/>
  <c r="Q236" i="31"/>
  <c r="Q236" i="3" s="1"/>
  <c r="L241" i="3"/>
  <c r="O238" i="3"/>
  <c r="P236" i="3"/>
  <c r="P237" i="31"/>
  <c r="N239" i="3"/>
  <c r="O239" i="31"/>
  <c r="N240" i="31"/>
  <c r="N240" i="3" s="1"/>
  <c r="M241" i="31"/>
  <c r="M241" i="3" s="1"/>
  <c r="L242" i="31"/>
  <c r="K242" i="3"/>
  <c r="K243" i="31"/>
  <c r="T233" i="3" l="1"/>
  <c r="J233" i="3" s="1"/>
  <c r="T234" i="31"/>
  <c r="J234" i="31" s="1"/>
  <c r="J233" i="31"/>
  <c r="S234" i="3"/>
  <c r="S235" i="31"/>
  <c r="R235" i="3"/>
  <c r="R236" i="31"/>
  <c r="L242" i="3"/>
  <c r="Q237" i="31"/>
  <c r="O240" i="31"/>
  <c r="P237" i="3"/>
  <c r="P238" i="31"/>
  <c r="O239" i="3"/>
  <c r="N241" i="31"/>
  <c r="N241" i="3" s="1"/>
  <c r="M242" i="31"/>
  <c r="L243" i="31"/>
  <c r="K243" i="3"/>
  <c r="K244" i="31"/>
  <c r="T234" i="3" l="1"/>
  <c r="J234" i="3" s="1"/>
  <c r="T235" i="31"/>
  <c r="S235" i="3"/>
  <c r="S236" i="31"/>
  <c r="R236" i="3"/>
  <c r="R237" i="31"/>
  <c r="M242" i="3"/>
  <c r="L243" i="3"/>
  <c r="Q237" i="3"/>
  <c r="Q238" i="31"/>
  <c r="O240" i="3"/>
  <c r="P238" i="3"/>
  <c r="P239" i="31"/>
  <c r="O241" i="31"/>
  <c r="O241" i="3" s="1"/>
  <c r="N242" i="31"/>
  <c r="M243" i="31"/>
  <c r="L244" i="31"/>
  <c r="K244" i="3"/>
  <c r="K245" i="31"/>
  <c r="T235" i="3" l="1"/>
  <c r="J235" i="3" s="1"/>
  <c r="T236" i="31"/>
  <c r="J235" i="31"/>
  <c r="S236" i="3"/>
  <c r="S237" i="31"/>
  <c r="R237" i="3"/>
  <c r="R238" i="31"/>
  <c r="Q238" i="3"/>
  <c r="Q239" i="31"/>
  <c r="L244" i="3"/>
  <c r="P239" i="3"/>
  <c r="P240" i="31"/>
  <c r="O242" i="31"/>
  <c r="N242" i="3"/>
  <c r="M243" i="3"/>
  <c r="N243" i="31"/>
  <c r="N243" i="3" s="1"/>
  <c r="M244" i="31"/>
  <c r="L245" i="31"/>
  <c r="K245" i="3"/>
  <c r="K246" i="31"/>
  <c r="T236" i="3" l="1"/>
  <c r="J236" i="3" s="1"/>
  <c r="T237" i="31"/>
  <c r="J236" i="31"/>
  <c r="S237" i="3"/>
  <c r="S238" i="31"/>
  <c r="R238" i="3"/>
  <c r="R239" i="31"/>
  <c r="M244" i="3"/>
  <c r="L245" i="3"/>
  <c r="Q239" i="3"/>
  <c r="Q240" i="31"/>
  <c r="O242" i="3"/>
  <c r="P240" i="3"/>
  <c r="P241" i="31"/>
  <c r="O243" i="31"/>
  <c r="N244" i="31"/>
  <c r="M245" i="31"/>
  <c r="L246" i="31"/>
  <c r="L246" i="3" s="1"/>
  <c r="K246" i="3"/>
  <c r="K247" i="31"/>
  <c r="T237" i="3" l="1"/>
  <c r="J237" i="3" s="1"/>
  <c r="T238" i="31"/>
  <c r="J238" i="31" s="1"/>
  <c r="J237" i="31"/>
  <c r="S238" i="3"/>
  <c r="S239" i="31"/>
  <c r="R239" i="3"/>
  <c r="R240" i="31"/>
  <c r="N244" i="3"/>
  <c r="Q240" i="3"/>
  <c r="Q241" i="31"/>
  <c r="Q241" i="3" s="1"/>
  <c r="O243" i="3"/>
  <c r="P241" i="3"/>
  <c r="P242" i="31"/>
  <c r="O244" i="31"/>
  <c r="N245" i="31"/>
  <c r="N245" i="3" s="1"/>
  <c r="M246" i="31"/>
  <c r="M245" i="3"/>
  <c r="L247" i="31"/>
  <c r="L247" i="3" s="1"/>
  <c r="K247" i="3"/>
  <c r="K248" i="31"/>
  <c r="Q242" i="31" l="1"/>
  <c r="Q242" i="3" s="1"/>
  <c r="T238" i="3"/>
  <c r="J238" i="3" s="1"/>
  <c r="H54" i="2" s="1"/>
  <c r="I54" i="2" s="1"/>
  <c r="A55" i="2" s="1"/>
  <c r="T239" i="31"/>
  <c r="S239" i="3"/>
  <c r="S240" i="31"/>
  <c r="R240" i="3"/>
  <c r="R241" i="31"/>
  <c r="M246" i="3"/>
  <c r="O244" i="3"/>
  <c r="P242" i="3"/>
  <c r="P243" i="31"/>
  <c r="O245" i="31"/>
  <c r="N246" i="31"/>
  <c r="M247" i="31"/>
  <c r="L248" i="31"/>
  <c r="K249" i="31"/>
  <c r="K248" i="3"/>
  <c r="B55" i="2" l="1"/>
  <c r="E55" i="2"/>
  <c r="D55" i="2"/>
  <c r="C55" i="2"/>
  <c r="G55" i="2"/>
  <c r="F55" i="2"/>
  <c r="T239" i="3"/>
  <c r="J239" i="3" s="1"/>
  <c r="T240" i="31"/>
  <c r="J240" i="31" s="1"/>
  <c r="J239" i="31"/>
  <c r="S240" i="3"/>
  <c r="S241" i="31"/>
  <c r="M247" i="3"/>
  <c r="R241" i="3"/>
  <c r="R242" i="31"/>
  <c r="L248" i="3"/>
  <c r="Q243" i="31"/>
  <c r="Q243" i="3" s="1"/>
  <c r="P243" i="3"/>
  <c r="P244" i="31"/>
  <c r="O245" i="3"/>
  <c r="O246" i="31"/>
  <c r="N246" i="3"/>
  <c r="N247" i="31"/>
  <c r="M248" i="31"/>
  <c r="L249" i="31"/>
  <c r="L249" i="3" s="1"/>
  <c r="K249" i="3"/>
  <c r="K250" i="31"/>
  <c r="T240" i="3" l="1"/>
  <c r="J240" i="3" s="1"/>
  <c r="T241" i="31"/>
  <c r="S241" i="3"/>
  <c r="S242" i="31"/>
  <c r="M248" i="3"/>
  <c r="R242" i="3"/>
  <c r="R243" i="31"/>
  <c r="Q244" i="31"/>
  <c r="Q244" i="3" s="1"/>
  <c r="P244" i="3"/>
  <c r="P245" i="31"/>
  <c r="O247" i="31"/>
  <c r="N247" i="3"/>
  <c r="N248" i="31"/>
  <c r="N248" i="3" s="1"/>
  <c r="O246" i="3"/>
  <c r="M249" i="31"/>
  <c r="M249" i="3" s="1"/>
  <c r="L250" i="31"/>
  <c r="K250" i="3"/>
  <c r="K251" i="31"/>
  <c r="T241" i="3" l="1"/>
  <c r="J241" i="3" s="1"/>
  <c r="T242" i="31"/>
  <c r="J241" i="31"/>
  <c r="S242" i="3"/>
  <c r="S243" i="31"/>
  <c r="Q245" i="31"/>
  <c r="Q245" i="3" s="1"/>
  <c r="R243" i="3"/>
  <c r="R244" i="31"/>
  <c r="P245" i="3"/>
  <c r="P246" i="31"/>
  <c r="O248" i="31"/>
  <c r="N249" i="31"/>
  <c r="O247" i="3"/>
  <c r="L250" i="3"/>
  <c r="M250" i="31"/>
  <c r="L251" i="31"/>
  <c r="K252" i="31"/>
  <c r="K251" i="3"/>
  <c r="T242" i="3" l="1"/>
  <c r="J242" i="3" s="1"/>
  <c r="T243" i="31"/>
  <c r="J243" i="31" s="1"/>
  <c r="J242" i="31"/>
  <c r="S243" i="3"/>
  <c r="S244" i="31"/>
  <c r="N249" i="3"/>
  <c r="Q246" i="31"/>
  <c r="Q246" i="3" s="1"/>
  <c r="R244" i="3"/>
  <c r="R245" i="31"/>
  <c r="O248" i="3"/>
  <c r="P246" i="3"/>
  <c r="P247" i="31"/>
  <c r="O249" i="31"/>
  <c r="O249" i="3" s="1"/>
  <c r="M250" i="3"/>
  <c r="N250" i="31"/>
  <c r="M251" i="31"/>
  <c r="L251" i="3"/>
  <c r="L252" i="31"/>
  <c r="L252" i="3" s="1"/>
  <c r="K252" i="3"/>
  <c r="K253" i="31"/>
  <c r="T243" i="3" l="1"/>
  <c r="J243" i="3" s="1"/>
  <c r="T244" i="31"/>
  <c r="J244" i="31" s="1"/>
  <c r="Q247" i="31"/>
  <c r="Q247" i="3" s="1"/>
  <c r="S244" i="3"/>
  <c r="S245" i="31"/>
  <c r="M251" i="3"/>
  <c r="R245" i="3"/>
  <c r="R246" i="31"/>
  <c r="P247" i="3"/>
  <c r="P248" i="31"/>
  <c r="O250" i="31"/>
  <c r="O250" i="3" s="1"/>
  <c r="N250" i="3"/>
  <c r="N251" i="31"/>
  <c r="N251" i="3" s="1"/>
  <c r="M252" i="31"/>
  <c r="L253" i="31"/>
  <c r="K254" i="31"/>
  <c r="K253" i="3"/>
  <c r="M252" i="3" l="1"/>
  <c r="T244" i="3"/>
  <c r="J244" i="3" s="1"/>
  <c r="T245" i="31"/>
  <c r="S245" i="3"/>
  <c r="S246" i="31"/>
  <c r="R246" i="3"/>
  <c r="R247" i="31"/>
  <c r="Q248" i="31"/>
  <c r="Q248" i="3" s="1"/>
  <c r="L253" i="3"/>
  <c r="P248" i="3"/>
  <c r="P249" i="31"/>
  <c r="O251" i="31"/>
  <c r="N252" i="31"/>
  <c r="M253" i="31"/>
  <c r="L254" i="31"/>
  <c r="K254" i="3"/>
  <c r="K255" i="31"/>
  <c r="T245" i="3" l="1"/>
  <c r="J245" i="3" s="1"/>
  <c r="T246" i="31"/>
  <c r="J245" i="31"/>
  <c r="S246" i="3"/>
  <c r="S247" i="31"/>
  <c r="R247" i="3"/>
  <c r="R248" i="31"/>
  <c r="Q249" i="31"/>
  <c r="O251" i="3"/>
  <c r="P249" i="3"/>
  <c r="P250" i="31"/>
  <c r="O252" i="31"/>
  <c r="M253" i="3"/>
  <c r="N252" i="3"/>
  <c r="N253" i="31"/>
  <c r="L254" i="3"/>
  <c r="M254" i="31"/>
  <c r="M254" i="3" s="1"/>
  <c r="L255" i="31"/>
  <c r="L255" i="3" s="1"/>
  <c r="K256" i="31"/>
  <c r="K255" i="3"/>
  <c r="T246" i="3" l="1"/>
  <c r="J246" i="3" s="1"/>
  <c r="T247" i="31"/>
  <c r="J247" i="31" s="1"/>
  <c r="J246" i="31"/>
  <c r="S247" i="3"/>
  <c r="S248" i="31"/>
  <c r="R248" i="3"/>
  <c r="R249" i="31"/>
  <c r="O252" i="3"/>
  <c r="Q249" i="3"/>
  <c r="Q250" i="31"/>
  <c r="P250" i="3"/>
  <c r="P251" i="31"/>
  <c r="N253" i="3"/>
  <c r="O253" i="31"/>
  <c r="O253" i="3" s="1"/>
  <c r="N254" i="31"/>
  <c r="M255" i="31"/>
  <c r="L256" i="31"/>
  <c r="K256" i="3"/>
  <c r="K257" i="31"/>
  <c r="T247" i="3" l="1"/>
  <c r="J247" i="3" s="1"/>
  <c r="T248" i="31"/>
  <c r="S248" i="3"/>
  <c r="S249" i="31"/>
  <c r="R249" i="3"/>
  <c r="R250" i="31"/>
  <c r="L256" i="3"/>
  <c r="Q250" i="3"/>
  <c r="Q251" i="31"/>
  <c r="Q251" i="3" s="1"/>
  <c r="P251" i="3"/>
  <c r="P252" i="31"/>
  <c r="N255" i="31"/>
  <c r="O254" i="31"/>
  <c r="O254" i="3" s="1"/>
  <c r="N254" i="3"/>
  <c r="M256" i="31"/>
  <c r="M255" i="3"/>
  <c r="L257" i="31"/>
  <c r="K258" i="31"/>
  <c r="K257" i="3"/>
  <c r="T248" i="3" l="1"/>
  <c r="J248" i="3" s="1"/>
  <c r="T249" i="31"/>
  <c r="J248" i="31"/>
  <c r="S249" i="3"/>
  <c r="S250" i="31"/>
  <c r="N255" i="3"/>
  <c r="R250" i="3"/>
  <c r="R251" i="31"/>
  <c r="M256" i="3"/>
  <c r="L257" i="3"/>
  <c r="Q252" i="31"/>
  <c r="P252" i="3"/>
  <c r="P253" i="31"/>
  <c r="O255" i="31"/>
  <c r="N256" i="31"/>
  <c r="M257" i="31"/>
  <c r="M257" i="3" s="1"/>
  <c r="L258" i="31"/>
  <c r="L258" i="3" s="1"/>
  <c r="K259" i="31"/>
  <c r="K258" i="3"/>
  <c r="T249" i="3" l="1"/>
  <c r="J249" i="3" s="1"/>
  <c r="T250" i="31"/>
  <c r="J249" i="31"/>
  <c r="S250" i="3"/>
  <c r="S251" i="31"/>
  <c r="R251" i="3"/>
  <c r="R252" i="31"/>
  <c r="Q252" i="3"/>
  <c r="Q253" i="31"/>
  <c r="O255" i="3"/>
  <c r="P253" i="3"/>
  <c r="P254" i="31"/>
  <c r="N256" i="3"/>
  <c r="O256" i="31"/>
  <c r="N257" i="31"/>
  <c r="N257" i="3" s="1"/>
  <c r="M258" i="31"/>
  <c r="L259" i="31"/>
  <c r="L259" i="3" s="1"/>
  <c r="K260" i="31"/>
  <c r="K259" i="3"/>
  <c r="M258" i="3" l="1"/>
  <c r="T250" i="3"/>
  <c r="J250" i="3" s="1"/>
  <c r="H55" i="2" s="1"/>
  <c r="I55" i="2" s="1"/>
  <c r="A56" i="2" s="1"/>
  <c r="T251" i="31"/>
  <c r="J250" i="31"/>
  <c r="S251" i="3"/>
  <c r="S252" i="31"/>
  <c r="O256" i="3"/>
  <c r="R252" i="3"/>
  <c r="R253" i="31"/>
  <c r="Q253" i="3"/>
  <c r="Q254" i="31"/>
  <c r="P254" i="3"/>
  <c r="P255" i="31"/>
  <c r="O257" i="31"/>
  <c r="N258" i="31"/>
  <c r="N258" i="3" s="1"/>
  <c r="M259" i="31"/>
  <c r="M259" i="3" s="1"/>
  <c r="L260" i="31"/>
  <c r="K261" i="31"/>
  <c r="K260" i="3"/>
  <c r="C56" i="2" l="1"/>
  <c r="F56" i="2"/>
  <c r="D56" i="2"/>
  <c r="E56" i="2"/>
  <c r="G56" i="2"/>
  <c r="B56" i="2"/>
  <c r="I59" i="2" s="1"/>
  <c r="D34" i="7" s="1"/>
  <c r="T251" i="3"/>
  <c r="J251" i="3" s="1"/>
  <c r="T252" i="31"/>
  <c r="J252" i="31" s="1"/>
  <c r="J251" i="31"/>
  <c r="S252" i="3"/>
  <c r="S253" i="31"/>
  <c r="R253" i="3"/>
  <c r="R254" i="31"/>
  <c r="L260" i="3"/>
  <c r="Q254" i="3"/>
  <c r="Q255" i="31"/>
  <c r="O257" i="3"/>
  <c r="P255" i="3"/>
  <c r="P256" i="31"/>
  <c r="O258" i="31"/>
  <c r="N259" i="31"/>
  <c r="M260" i="31"/>
  <c r="L261" i="31"/>
  <c r="L261" i="3" s="1"/>
  <c r="K261" i="3"/>
  <c r="K262" i="31"/>
  <c r="K262" i="3" s="1"/>
  <c r="I61" i="2" l="1"/>
  <c r="T252" i="3"/>
  <c r="J252" i="3" s="1"/>
  <c r="T253" i="31"/>
  <c r="S253" i="3"/>
  <c r="S254" i="31"/>
  <c r="M260" i="3"/>
  <c r="R254" i="3"/>
  <c r="R255" i="31"/>
  <c r="Q255" i="3"/>
  <c r="Q256" i="31"/>
  <c r="O258" i="3"/>
  <c r="P256" i="3"/>
  <c r="P257" i="31"/>
  <c r="N259" i="3"/>
  <c r="O259" i="31"/>
  <c r="O259" i="3" s="1"/>
  <c r="N260" i="31"/>
  <c r="N260" i="3" s="1"/>
  <c r="M261" i="31"/>
  <c r="L262" i="31"/>
  <c r="L262" i="3" s="1"/>
  <c r="T253" i="3" l="1"/>
  <c r="J253" i="3" s="1"/>
  <c r="T254" i="31"/>
  <c r="J253" i="31"/>
  <c r="S254" i="3"/>
  <c r="S255" i="31"/>
  <c r="R255" i="3"/>
  <c r="R256" i="31"/>
  <c r="M261" i="3"/>
  <c r="Q256" i="3"/>
  <c r="Q257" i="31"/>
  <c r="P257" i="3"/>
  <c r="P258" i="31"/>
  <c r="O260" i="31"/>
  <c r="N261" i="31"/>
  <c r="M262" i="31"/>
  <c r="M262" i="3" s="1"/>
  <c r="T254" i="3" l="1"/>
  <c r="J254" i="3" s="1"/>
  <c r="T255" i="31"/>
  <c r="J254" i="31"/>
  <c r="S255" i="3"/>
  <c r="S256" i="31"/>
  <c r="R256" i="3"/>
  <c r="R257" i="31"/>
  <c r="Q257" i="3"/>
  <c r="Q258" i="31"/>
  <c r="P258" i="3"/>
  <c r="P259" i="31"/>
  <c r="N261" i="3"/>
  <c r="O260" i="3"/>
  <c r="O261" i="31"/>
  <c r="N262" i="31"/>
  <c r="N262" i="3" s="1"/>
  <c r="T255" i="3" l="1"/>
  <c r="J255" i="3" s="1"/>
  <c r="T256" i="31"/>
  <c r="J255" i="31"/>
  <c r="S256" i="3"/>
  <c r="S257" i="31"/>
  <c r="R257" i="3"/>
  <c r="R258" i="31"/>
  <c r="Q258" i="3"/>
  <c r="Q259" i="31"/>
  <c r="P259" i="3"/>
  <c r="P260" i="31"/>
  <c r="O261" i="3"/>
  <c r="O262" i="31"/>
  <c r="O262" i="3" s="1"/>
  <c r="T256" i="3" l="1"/>
  <c r="J256" i="3" s="1"/>
  <c r="T257" i="31"/>
  <c r="J256" i="31"/>
  <c r="S257" i="3"/>
  <c r="S258" i="31"/>
  <c r="R258" i="3"/>
  <c r="R259" i="31"/>
  <c r="Q259" i="3"/>
  <c r="Q260" i="31"/>
  <c r="P260" i="3"/>
  <c r="P261" i="31"/>
  <c r="T257" i="3" l="1"/>
  <c r="J257" i="3" s="1"/>
  <c r="T258" i="31"/>
  <c r="J258" i="31" s="1"/>
  <c r="J257" i="31"/>
  <c r="S258" i="3"/>
  <c r="S259" i="31"/>
  <c r="R259" i="3"/>
  <c r="R260" i="31"/>
  <c r="Q260" i="3"/>
  <c r="Q261" i="31"/>
  <c r="P261" i="3"/>
  <c r="P262" i="31"/>
  <c r="T258" i="3" l="1"/>
  <c r="J258" i="3" s="1"/>
  <c r="T259" i="31"/>
  <c r="S259" i="3"/>
  <c r="S260" i="31"/>
  <c r="R260" i="3"/>
  <c r="R261" i="31"/>
  <c r="Q261" i="3"/>
  <c r="Q262" i="31"/>
  <c r="Q262" i="3" s="1"/>
  <c r="P262" i="3"/>
  <c r="T259" i="3" l="1"/>
  <c r="J259" i="3" s="1"/>
  <c r="T260" i="31"/>
  <c r="J259" i="31"/>
  <c r="S260" i="3"/>
  <c r="S261" i="31"/>
  <c r="R261" i="3"/>
  <c r="R262" i="31"/>
  <c r="R262" i="3" s="1"/>
  <c r="T260" i="3" l="1"/>
  <c r="J260" i="3" s="1"/>
  <c r="T261" i="31"/>
  <c r="J260" i="31"/>
  <c r="S261" i="3"/>
  <c r="S262" i="31"/>
  <c r="S262" i="3" s="1"/>
  <c r="T261" i="3" l="1"/>
  <c r="J261" i="3" s="1"/>
  <c r="T262" i="31"/>
  <c r="T262" i="3" s="1"/>
  <c r="J262" i="3" s="1"/>
  <c r="J261" i="31"/>
  <c r="H56" i="2" l="1"/>
  <c r="I56" i="2" s="1"/>
  <c r="I58" i="2" s="1"/>
  <c r="F34" i="7" s="1"/>
  <c r="F35" i="7" s="1"/>
  <c r="G36" i="7" s="1"/>
  <c r="G38" i="7" s="1"/>
  <c r="J262" i="31"/>
  <c r="B38" i="7" l="1"/>
</calcChain>
</file>

<file path=xl/sharedStrings.xml><?xml version="1.0" encoding="utf-8"?>
<sst xmlns="http://schemas.openxmlformats.org/spreadsheetml/2006/main" count="731" uniqueCount="343">
  <si>
    <t>Tariff:</t>
  </si>
  <si>
    <t>Effective:</t>
  </si>
  <si>
    <t>Type:</t>
  </si>
  <si>
    <t>Participant:</t>
  </si>
  <si>
    <t>Start</t>
  </si>
  <si>
    <t>Contract Capacities at Substation (MW)</t>
  </si>
  <si>
    <t>Contract Stages</t>
  </si>
  <si>
    <t>Maximum Investment Term (years):</t>
  </si>
  <si>
    <t>Total</t>
  </si>
  <si>
    <t>Stage</t>
  </si>
  <si>
    <t>Date</t>
  </si>
  <si>
    <t>Duration</t>
  </si>
  <si>
    <t>No</t>
  </si>
  <si>
    <t>To:</t>
  </si>
  <si>
    <t>New Service or Expansion of Existing Service?</t>
  </si>
  <si>
    <t>Years</t>
  </si>
  <si>
    <t>Sub Frac</t>
  </si>
  <si>
    <t>Remaining</t>
  </si>
  <si>
    <t>Cumulative</t>
  </si>
  <si>
    <t>Investment</t>
  </si>
  <si>
    <t>Months</t>
  </si>
  <si>
    <t>Other</t>
  </si>
  <si>
    <t>Participant</t>
  </si>
  <si>
    <t>This Participant</t>
  </si>
  <si>
    <t>Contracted Prior to Project</t>
  </si>
  <si>
    <t>Contracted After Project</t>
  </si>
  <si>
    <t>Tier (a)</t>
  </si>
  <si>
    <t>Tier (b) MW</t>
  </si>
  <si>
    <t>Tier (c) MW</t>
  </si>
  <si>
    <t>Tier (d) MW</t>
  </si>
  <si>
    <t>Tier (e) MW</t>
  </si>
  <si>
    <t>Tier (b)</t>
  </si>
  <si>
    <t>Tier (c)</t>
  </si>
  <si>
    <t>Tier (d)</t>
  </si>
  <si>
    <t>Tier (e)</t>
  </si>
  <si>
    <t>MW</t>
  </si>
  <si>
    <t>7.5 × SF</t>
  </si>
  <si>
    <t>9.5 × SF</t>
  </si>
  <si>
    <t>23 × SF</t>
  </si>
  <si>
    <t>Month</t>
  </si>
  <si>
    <t>Monthly</t>
  </si>
  <si>
    <t>Year</t>
  </si>
  <si>
    <t>Investment term must be a minimum of 5 years</t>
  </si>
  <si>
    <t>Stage/Year</t>
  </si>
  <si>
    <t>Count</t>
  </si>
  <si>
    <t>Tier</t>
  </si>
  <si>
    <t>Unit</t>
  </si>
  <si>
    <t>/year</t>
  </si>
  <si>
    <t>/MW/year</t>
  </si>
  <si>
    <t>Nominal</t>
  </si>
  <si>
    <t>Investment per Month by Tier</t>
  </si>
  <si>
    <t>Participant-Related Costs</t>
  </si>
  <si>
    <t>Duration-Weighted Average</t>
  </si>
  <si>
    <t>Contract Capacity After Project</t>
  </si>
  <si>
    <t>Substation Fractions After Project</t>
  </si>
  <si>
    <t>Allocation of Participant-Related Costs</t>
  </si>
  <si>
    <t>Demand-Related Costs of This Participant Eligible for Investment:</t>
  </si>
  <si>
    <t>Investment Term Required to Minimize Construction Contribution:</t>
  </si>
  <si>
    <t>PROJECT DETAILS</t>
  </si>
  <si>
    <t>COST OF CONNECTION PROJECT</t>
  </si>
  <si>
    <t>CONTRACT DETAILS</t>
  </si>
  <si>
    <t>Prepared by:</t>
  </si>
  <si>
    <t>Date:</t>
  </si>
  <si>
    <t>Description</t>
  </si>
  <si>
    <t>Reference</t>
  </si>
  <si>
    <t>Amount</t>
  </si>
  <si>
    <t>Less: System-Related Costs</t>
  </si>
  <si>
    <t>Less: Reduction for Replaced Transformer</t>
  </si>
  <si>
    <t>Demand-Related</t>
  </si>
  <si>
    <t>Supply-Related</t>
  </si>
  <si>
    <t>Operations and Maintenance Charge</t>
  </si>
  <si>
    <t>NA</t>
  </si>
  <si>
    <t>Actual Investment (Not Greater Than Costs Eligible for Investment):</t>
  </si>
  <si>
    <t>Less: Maximum Local Investment</t>
  </si>
  <si>
    <t>Construction Contribution Required</t>
  </si>
  <si>
    <t>Total Construction Contribution Required</t>
  </si>
  <si>
    <t>NA </t>
  </si>
  <si>
    <t>Stage and Month Lookup</t>
  </si>
  <si>
    <t>Line</t>
  </si>
  <si>
    <t>(a)</t>
  </si>
  <si>
    <t>(b)</t>
  </si>
  <si>
    <t>(c)</t>
  </si>
  <si>
    <t>(d)</t>
  </si>
  <si>
    <t>(e)</t>
  </si>
  <si>
    <t>(f)</t>
  </si>
  <si>
    <t>(g)</t>
  </si>
  <si>
    <t>(h)</t>
  </si>
  <si>
    <t>(i)</t>
  </si>
  <si>
    <t>(j)</t>
  </si>
  <si>
    <t>(k)</t>
  </si>
  <si>
    <t>(l)</t>
  </si>
  <si>
    <t>(m)</t>
  </si>
  <si>
    <t>(n)</t>
  </si>
  <si>
    <t>(o)</t>
  </si>
  <si>
    <t>Cost of New Transmission Facilities:</t>
  </si>
  <si>
    <t>Less: System-Related Costs:</t>
  </si>
  <si>
    <t>Participant-Related Costs:</t>
  </si>
  <si>
    <t>Less: Reduction for Replaced Transformer:</t>
  </si>
  <si>
    <t>Allocated Costs
(j) × (k)</t>
  </si>
  <si>
    <t>Is Service at New or Existing Substation?</t>
  </si>
  <si>
    <t>Project Name</t>
  </si>
  <si>
    <t>Project Number</t>
  </si>
  <si>
    <t>Name of Preparer</t>
  </si>
  <si>
    <t>Date Prepared</t>
  </si>
  <si>
    <t>End</t>
  </si>
  <si>
    <t>Will Primary Service Credit Apply to Service?</t>
  </si>
  <si>
    <t>Less: Facilities in Excess of Good Practice:</t>
  </si>
  <si>
    <t>Balance of Participant-Related Costs:</t>
  </si>
  <si>
    <t>Discount Rate for Incremental Capacity:</t>
  </si>
  <si>
    <t>Stage (10) Calculated Investment per Month of Maximum Investment Term</t>
  </si>
  <si>
    <t>Stage (9) Calculated Investment per Month of Maximum Investment Term</t>
  </si>
  <si>
    <t>Stage (8) Calculated Investment per Month of Maximum Investment Term</t>
  </si>
  <si>
    <t>Stage (7) Calculated Investment per Month of Maximum Investment Term</t>
  </si>
  <si>
    <t>Stage (6) Calculated Investment per Month of Maximum Investment Term</t>
  </si>
  <si>
    <t>Stage (5) Calculated Investment per Month of Maximum Investment Term</t>
  </si>
  <si>
    <t>Stage (4) Calculated Investment per Month of Maximum Investment Term</t>
  </si>
  <si>
    <t>Stage (3) Calculated Investment per Month of Maximum Investment Term</t>
  </si>
  <si>
    <t>Stage (2) Calculated Investment per Month of Maximum Investment Term</t>
  </si>
  <si>
    <t>Stage (1) Calculated Investment per Month of Maximum Investment Term</t>
  </si>
  <si>
    <t>Stage (1)</t>
  </si>
  <si>
    <t>Increments</t>
  </si>
  <si>
    <t>Nominal Investment per Year of Investment Term</t>
  </si>
  <si>
    <t>Required Facilities</t>
  </si>
  <si>
    <t>In Excess of Good Practice</t>
  </si>
  <si>
    <t>Less: Facilities in Excess of Good Practice</t>
  </si>
  <si>
    <t>Balance of Participant-Related Costs</t>
  </si>
  <si>
    <t>(p)</t>
  </si>
  <si>
    <t>Estimated by Market Participant</t>
  </si>
  <si>
    <t>Estimated Operations and Maintenance:</t>
  </si>
  <si>
    <t>Section</t>
  </si>
  <si>
    <t>Revision History</t>
  </si>
  <si>
    <t>Participant-Related Costs of Required Facilities</t>
  </si>
  <si>
    <t>Stage (2)</t>
  </si>
  <si>
    <t>Stage (3)</t>
  </si>
  <si>
    <t>Stage (4)</t>
  </si>
  <si>
    <t>Stage (5)</t>
  </si>
  <si>
    <t>Stage (6)</t>
  </si>
  <si>
    <t>Stage (7)</t>
  </si>
  <si>
    <t>Stage (8)</t>
  </si>
  <si>
    <t>Stage (9)</t>
  </si>
  <si>
    <t>Stage (10)</t>
  </si>
  <si>
    <t>Nominal Investment per Month by Tier</t>
  </si>
  <si>
    <t>Tiers</t>
  </si>
  <si>
    <t>Nominal Incremental Investment per Month by Stage</t>
  </si>
  <si>
    <t>Calculated Nominal Incremental Investment per Month of Maximum Investment Term by Contract Stage</t>
  </si>
  <si>
    <t>Total of</t>
  </si>
  <si>
    <t>Calculated Discounted Incremental Investment per Month of Maximum Investment Term by Contract Stage</t>
  </si>
  <si>
    <t>Discounted Incremental Investment per Month by Stage</t>
  </si>
  <si>
    <t>Discounted</t>
  </si>
  <si>
    <t>Calculated Nominal Investment per Month of Maximum Investment Term</t>
  </si>
  <si>
    <t>Total Costs Allocated to Market Participant</t>
  </si>
  <si>
    <t>Current</t>
  </si>
  <si>
    <t>Prior Contribution (for Final Costs or Adjustment):</t>
  </si>
  <si>
    <t>1         Purpose</t>
  </si>
  <si>
    <t>Project Details</t>
  </si>
  <si>
    <t>Cost of Connection Project</t>
  </si>
  <si>
    <t xml:space="preserve">If the connection project will utilize transmission facilities through which another market participant is </t>
  </si>
  <si>
    <t xml:space="preserve">If a transformer is being installed to replace a smaller transformer which will be removed, the replacement </t>
  </si>
  <si>
    <t>Contract Details</t>
  </si>
  <si>
    <t xml:space="preserve">Enter the amount of a construction contribution that was previously paid by the market participant in </t>
  </si>
  <si>
    <t xml:space="preserve">•    the construction contribution calculation is being reconciled to final costs after the connection project </t>
  </si>
  <si>
    <t xml:space="preserve">with diagonal lines. For example, if “Other Participant” capacity remained at 10 MW through multiple </t>
  </si>
  <si>
    <t xml:space="preserve">stages of a project, 10 MW must be entered in the “Other Participant” column in the row for each stage of </t>
  </si>
  <si>
    <t xml:space="preserve">Additional information on calculations used for the contribution determination are provided on the </t>
  </si>
  <si>
    <t>Additional Detail: Monthly Investment</t>
  </si>
  <si>
    <t>Additional Detail: Stage (1) Monthly Investment</t>
  </si>
  <si>
    <t>Additional Detail: Stage (2) Monthly Investment</t>
  </si>
  <si>
    <t>Additional Detail: Stage (3) Monthly Investment</t>
  </si>
  <si>
    <t>Additional Detail: Stage (4) Monthly Investment</t>
  </si>
  <si>
    <t>Additional Detail: Stage (5) Monthly Investment</t>
  </si>
  <si>
    <t>Additional Detail: Stage (6) Monthly Investment</t>
  </si>
  <si>
    <t>Additional Detail: Stage (7) Monthly Investment</t>
  </si>
  <si>
    <t>Additional Detail: Stage (8) Monthly Investment</t>
  </si>
  <si>
    <t>Additional Detail: Stage (9) Monthly Investment</t>
  </si>
  <si>
    <t>Additional Detail: Stage (10) Monthly Investment</t>
  </si>
  <si>
    <t>Shared Cost of Existing Transmission Facilities:</t>
  </si>
  <si>
    <t>Plus: Shared Cost of Existing Facilities</t>
  </si>
  <si>
    <t>capacity is transferred from another point of delivery.</t>
  </si>
  <si>
    <t>2         Completing the Contribution Calculator</t>
  </si>
  <si>
    <t xml:space="preserve">This section describes how a market participant may complete the contribution calculator to calculate a </t>
  </si>
  <si>
    <t>Initial Steps</t>
  </si>
  <si>
    <t xml:space="preserve">sheet only, in the cells highlighted in yellow. Enter information identifying the project and relating to the </t>
  </si>
  <si>
    <t>have been provided for cells where information is to be entered.</t>
  </si>
  <si>
    <t xml:space="preserve">Entering certain combinations of cell values may cause an error message to appear to the right of the </t>
  </si>
  <si>
    <t>can be corrected. Related cells are highlighted in red for most error messages.</t>
  </si>
  <si>
    <t xml:space="preserve"> </t>
  </si>
  <si>
    <t>calculations on other sheets.</t>
  </si>
  <si>
    <t xml:space="preserve">Enter all amounts for the cost of the connection project, rounded to the nearest dollar (not millions of </t>
  </si>
  <si>
    <t xml:space="preserve">     has entered commercial operation; or</t>
  </si>
  <si>
    <t xml:space="preserve">For each stage, the applicable contract capacity amount should be entered in each cell that is not shaded </t>
  </si>
  <si>
    <t>3         Contribution Determination</t>
  </si>
  <si>
    <t>4         Additional Detail</t>
  </si>
  <si>
    <t xml:space="preserve">Detailed monthly investment calculations are provided in additional sheets. These calculations appear as </t>
  </si>
  <si>
    <t>Investment Term Begins on:</t>
  </si>
  <si>
    <t>(q)</t>
  </si>
  <si>
    <t>(r)</t>
  </si>
  <si>
    <t>Date of Commission Permit and Licence:</t>
  </si>
  <si>
    <t>Date of Commercial Operation of Project:</t>
  </si>
  <si>
    <t>Date of AESO Energization Authorization:</t>
  </si>
  <si>
    <r>
      <t xml:space="preserve">system access service under Rate DTS, </t>
    </r>
    <r>
      <rPr>
        <i/>
        <sz val="10"/>
        <rFont val="Arial"/>
        <family val="2"/>
      </rPr>
      <t>Demand Transmission Service</t>
    </r>
    <r>
      <rPr>
        <sz val="10"/>
        <rFont val="Arial"/>
        <family val="2"/>
      </rPr>
      <t xml:space="preserve">, and of a construction </t>
    </r>
  </si>
  <si>
    <t>construction contribution and generating unit owner’s contribution for a connection project.</t>
  </si>
  <si>
    <t>market participant intends to cease operations after a shorter period.</t>
  </si>
  <si>
    <t xml:space="preserve">changes to contract capacity occur after the project begins commercial operation). The discount rate is </t>
  </si>
  <si>
    <t>Initial Release</t>
  </si>
  <si>
    <t>Version:</t>
  </si>
  <si>
    <t>Version</t>
  </si>
  <si>
    <t>AESO 2019</t>
  </si>
  <si>
    <t>Allocated Ratio</t>
  </si>
  <si>
    <t>INCREMENTAL ALLOCATION OF COSTS TO SERVICES AT SUBSTATION</t>
  </si>
  <si>
    <t>CONTRACT AND TIME ALLOCATION OF COSTS TO SERVICES AT SUBSTATION</t>
  </si>
  <si>
    <t>Tariff</t>
  </si>
  <si>
    <t>AESO 2011</t>
  </si>
  <si>
    <t>AESO 2013</t>
  </si>
  <si>
    <t>AESO 2014</t>
  </si>
  <si>
    <t>AESO 2015</t>
  </si>
  <si>
    <t>AESO 2016</t>
  </si>
  <si>
    <t>AESO 2017</t>
  </si>
  <si>
    <t>AESO 2018</t>
  </si>
  <si>
    <t>Effective On</t>
  </si>
  <si>
    <t>End Date</t>
  </si>
  <si>
    <t>Column B, Investment for Service Under Rate DTS</t>
  </si>
  <si>
    <t>Column C, Investment for Service Under Rate DTS with Rate PSC</t>
  </si>
  <si>
    <r>
      <t xml:space="preserve">•    the ISO tariff, </t>
    </r>
    <r>
      <rPr>
        <i/>
        <sz val="10"/>
        <rFont val="Arial"/>
        <family val="2"/>
      </rPr>
      <t>Financial Obligations for Connection Projects</t>
    </r>
    <r>
      <rPr>
        <sz val="10"/>
        <rFont val="Arial"/>
        <family val="2"/>
      </rPr>
      <t>;</t>
    </r>
  </si>
  <si>
    <t>by the AESO. The discount rate to be used is the rate that is in effect for the month in which the Commission</t>
  </si>
  <si>
    <t>issues permit and licence for the connection project. If the Commission has not yet issued permit and licence</t>
  </si>
  <si>
    <t>for the project, the discount rate to be used is the most recent rate available.</t>
  </si>
  <si>
    <t>Cost of New Facilities</t>
  </si>
  <si>
    <t>AESO 2007</t>
  </si>
  <si>
    <t>AESO 2010</t>
  </si>
  <si>
    <t>Investment Amounts From the ISO Tariff</t>
  </si>
  <si>
    <t>(s)</t>
  </si>
  <si>
    <t>(t)</t>
  </si>
  <si>
    <t>(u)</t>
  </si>
  <si>
    <t>Advancement Costs</t>
  </si>
  <si>
    <t>Avoidable Contruction Costs</t>
  </si>
  <si>
    <t>Other Project Costs</t>
  </si>
  <si>
    <t xml:space="preserve">connected, a share of the cost of those transmission facilities should be entered in row (i). The allocation </t>
  </si>
  <si>
    <t>Plus: Advancement Costs</t>
  </si>
  <si>
    <t>Plus: Avoidable Constructions Costs</t>
  </si>
  <si>
    <t>Plus: Other Project Costs</t>
  </si>
  <si>
    <t>AESO 2020</t>
  </si>
  <si>
    <t xml:space="preserve">(a) + (b) +  (c) + (d) + (e) - (f) </t>
  </si>
  <si>
    <t>(g) – (h) – (i)</t>
  </si>
  <si>
    <t>From (j) and (h)</t>
  </si>
  <si>
    <t>(k) + (l)</t>
  </si>
  <si>
    <t>(o) – (p)</t>
  </si>
  <si>
    <t>3.4(1)</t>
  </si>
  <si>
    <t>4.2(3)(a)</t>
  </si>
  <si>
    <t>4.2(3)(b)</t>
  </si>
  <si>
    <t>4.2(2)(d)</t>
  </si>
  <si>
    <t>4.2(4)</t>
  </si>
  <si>
    <t>4.2(2)</t>
  </si>
  <si>
    <t>4.5(3)</t>
  </si>
  <si>
    <t>AESO 2021</t>
  </si>
  <si>
    <t>3.4(1)(a)(iv)</t>
  </si>
  <si>
    <t>2021-01-01</t>
  </si>
  <si>
    <t>2021.0.0</t>
  </si>
  <si>
    <t xml:space="preserve">the construction contribution provisions that apply to a project are those in effect on the date in which a </t>
  </si>
  <si>
    <t>contribution provisions that applied to a project were those in effect on the date on which the Alberta Utilities</t>
  </si>
  <si>
    <t>(v)</t>
  </si>
  <si>
    <t>Date of System Access Service Agreement Execution</t>
  </si>
  <si>
    <t xml:space="preserve">Enter the dates on which the System Access Service Agreement was executed, the Commission issues </t>
  </si>
  <si>
    <t xml:space="preserve">energization authorization and commercial operation, although not all projects require commissioning before </t>
  </si>
  <si>
    <t>beginning commercial operation.</t>
  </si>
  <si>
    <t>row (v) only when:</t>
  </si>
  <si>
    <t>determines the amount and timing of construction contributions and row (v) should be left blank.</t>
  </si>
  <si>
    <t>DTS Only</t>
  </si>
  <si>
    <t>New Service</t>
  </si>
  <si>
    <t>New Substation</t>
  </si>
  <si>
    <r>
      <t>Information documents are not authoritative. Information documents are for information purposes only and are intended to provide guidance. In the event of any discrepancy between an information document and any authoritative document</t>
    </r>
    <r>
      <rPr>
        <vertAlign val="superscript"/>
        <sz val="10"/>
        <rFont val="Arial"/>
        <family val="2"/>
      </rPr>
      <t>1</t>
    </r>
    <r>
      <rPr>
        <sz val="10"/>
        <rFont val="Arial"/>
        <family val="2"/>
      </rPr>
      <t xml:space="preserve"> in effect, the authoritative document governs.</t>
    </r>
  </si>
  <si>
    <r>
      <rPr>
        <vertAlign val="superscript"/>
        <sz val="9"/>
        <rFont val="Arial"/>
        <family val="2"/>
      </rPr>
      <t>1</t>
    </r>
    <r>
      <rPr>
        <sz val="9"/>
        <rFont val="Arial"/>
        <family val="2"/>
      </rPr>
      <t xml:space="preserve"> “Authoritative document” is the general name given by the AESO to categories of documents made by the AESO </t>
    </r>
  </si>
  <si>
    <r>
      <t xml:space="preserve">under the authority of the </t>
    </r>
    <r>
      <rPr>
        <i/>
        <sz val="9"/>
        <rFont val="Arial"/>
        <family val="2"/>
      </rPr>
      <t>Electric Utilities Act</t>
    </r>
    <r>
      <rPr>
        <sz val="9"/>
        <rFont val="Arial"/>
        <family val="2"/>
      </rPr>
      <t xml:space="preserve"> and associated regulations, and that contain binding legal requirements for </t>
    </r>
  </si>
  <si>
    <t>either market participants or the AESO, or both. Authoritative documents include: the ISO rules, the reliability standards</t>
  </si>
  <si>
    <t>and the ISO tariff.</t>
  </si>
  <si>
    <r>
      <t>This information document relates to the following authoritative documents</t>
    </r>
    <r>
      <rPr>
        <sz val="10"/>
        <rFont val="Arial"/>
        <family val="2"/>
      </rPr>
      <t>:</t>
    </r>
  </si>
  <si>
    <r>
      <t xml:space="preserve">•    the ISO tariff, </t>
    </r>
    <r>
      <rPr>
        <i/>
        <sz val="10"/>
        <rFont val="Arial"/>
        <family val="2"/>
      </rPr>
      <t>Classification and Allocation of Connection Projects Costs</t>
    </r>
    <r>
      <rPr>
        <sz val="10"/>
        <rFont val="Arial"/>
        <family val="2"/>
      </rPr>
      <t>,</t>
    </r>
    <r>
      <rPr>
        <i/>
        <sz val="10"/>
        <rFont val="Arial"/>
        <family val="2"/>
      </rPr>
      <t xml:space="preserve"> </t>
    </r>
    <r>
      <rPr>
        <sz val="10"/>
        <rFont val="Arial"/>
        <family val="2"/>
      </rPr>
      <t>previously known as</t>
    </r>
  </si>
  <si>
    <r>
      <t xml:space="preserve">•    the ISO tariff, </t>
    </r>
    <r>
      <rPr>
        <i/>
        <sz val="10"/>
        <rFont val="Arial"/>
        <family val="2"/>
      </rPr>
      <t>Changes to System Access Service</t>
    </r>
    <r>
      <rPr>
        <sz val="10"/>
        <rFont val="Arial"/>
        <family val="2"/>
      </rPr>
      <t>,</t>
    </r>
    <r>
      <rPr>
        <i/>
        <sz val="10"/>
        <rFont val="Arial"/>
        <family val="2"/>
      </rPr>
      <t xml:space="preserve"> </t>
    </r>
    <r>
      <rPr>
        <sz val="10"/>
        <rFont val="Arial"/>
        <family val="2"/>
      </rPr>
      <t xml:space="preserve">previously known as </t>
    </r>
    <r>
      <rPr>
        <i/>
        <sz val="10"/>
        <rFont val="Arial"/>
        <family val="2"/>
      </rPr>
      <t xml:space="preserve">Changes to System Access </t>
    </r>
  </si>
  <si>
    <t xml:space="preserve">The purpose of this information document is to allow the calculation of a construction contribution for </t>
  </si>
  <si>
    <t xml:space="preserve">The calculation described in this information document is not valid for connection projects where contract </t>
  </si>
  <si>
    <r>
      <t xml:space="preserve">In accordance with the </t>
    </r>
    <r>
      <rPr>
        <i/>
        <sz val="10"/>
        <rFont val="Arial"/>
        <family val="2"/>
      </rPr>
      <t xml:space="preserve">Classification and Allocation of Connection Projects Costs </t>
    </r>
    <r>
      <rPr>
        <sz val="10"/>
        <rFont val="Arial"/>
        <family val="2"/>
      </rPr>
      <t>section of the ISO tariff,</t>
    </r>
  </si>
  <si>
    <t>market participant executes a System Access Service Agreement. Prior to January 1, 2021, the construction</t>
  </si>
  <si>
    <t>Commission issued permit and licence for a connection project.</t>
  </si>
  <si>
    <r>
      <t xml:space="preserve">Enter the values used in the determination of a construction contribution on the </t>
    </r>
    <r>
      <rPr>
        <i/>
        <sz val="10"/>
        <rFont val="Arial"/>
        <family val="2"/>
      </rPr>
      <t>A1 Costs and Contract</t>
    </r>
    <r>
      <rPr>
        <sz val="10"/>
        <rFont val="Arial"/>
        <family val="2"/>
      </rPr>
      <t xml:space="preserve"> </t>
    </r>
  </si>
  <si>
    <t xml:space="preserve">preparation of the calculation at the top of the same sheet, which will replace the default text. Input messages </t>
  </si>
  <si>
    <r>
      <t xml:space="preserve">printable area of the </t>
    </r>
    <r>
      <rPr>
        <i/>
        <sz val="10"/>
        <rFont val="Arial"/>
        <family val="2"/>
      </rPr>
      <t>A1 Costs and Contract</t>
    </r>
    <r>
      <rPr>
        <sz val="10"/>
        <rFont val="Arial"/>
        <family val="2"/>
      </rPr>
      <t xml:space="preserve"> sheet. An error message generally indicates how the error </t>
    </r>
  </si>
  <si>
    <r>
      <t xml:space="preserve">Provide project details by making the applicable choices in rows (a), (b), (c) and (d) of the </t>
    </r>
    <r>
      <rPr>
        <i/>
        <sz val="10"/>
        <rFont val="Arial"/>
        <family val="2"/>
      </rPr>
      <t xml:space="preserve">A1 Costs and </t>
    </r>
  </si>
  <si>
    <r>
      <rPr>
        <i/>
        <sz val="10"/>
        <rFont val="Arial"/>
        <family val="2"/>
      </rPr>
      <t>Contract</t>
    </r>
    <r>
      <rPr>
        <sz val="10"/>
        <rFont val="Arial"/>
        <family val="2"/>
      </rPr>
      <t xml:space="preserve"> sheet. The choices selected in these cells affect other input cells on the sheet as well as </t>
    </r>
  </si>
  <si>
    <r>
      <t xml:space="preserve">dollars), in rows (e) to (o) of the </t>
    </r>
    <r>
      <rPr>
        <i/>
        <sz val="10"/>
        <rFont val="Arial"/>
        <family val="2"/>
      </rPr>
      <t>A1 Costs and Contract</t>
    </r>
    <r>
      <rPr>
        <sz val="10"/>
        <rFont val="Arial"/>
        <family val="2"/>
      </rPr>
      <t xml:space="preserve"> sheet.</t>
    </r>
  </si>
  <si>
    <r>
      <t xml:space="preserve">of shared facilities costs between market participants is described in the </t>
    </r>
    <r>
      <rPr>
        <i/>
        <sz val="10"/>
        <rFont val="Arial"/>
        <family val="2"/>
      </rPr>
      <t xml:space="preserve">Changes to System Access </t>
    </r>
  </si>
  <si>
    <r>
      <rPr>
        <i/>
        <sz val="10"/>
        <rFont val="Arial"/>
        <family val="2"/>
      </rPr>
      <t>Service</t>
    </r>
    <r>
      <rPr>
        <sz val="10"/>
        <rFont val="Arial"/>
        <family val="2"/>
      </rPr>
      <t xml:space="preserve"> section of the ISO tariff.</t>
    </r>
  </si>
  <si>
    <t xml:space="preserve">cost new of the removed transformer (i.e., the current cost of similar new equipment having the </t>
  </si>
  <si>
    <r>
      <t xml:space="preserve">nearest equivalent capability) should generally be entered in row (m), in accordance with the </t>
    </r>
    <r>
      <rPr>
        <i/>
        <sz val="10"/>
        <rFont val="Arial"/>
        <family val="2"/>
      </rPr>
      <t>Construction</t>
    </r>
  </si>
  <si>
    <r>
      <rPr>
        <i/>
        <sz val="10"/>
        <rFont val="Arial"/>
        <family val="2"/>
      </rPr>
      <t xml:space="preserve">Contributions for Connection Projects </t>
    </r>
    <r>
      <rPr>
        <sz val="10"/>
        <rFont val="Arial"/>
        <family val="2"/>
      </rPr>
      <t>section of the ISO tariff.</t>
    </r>
  </si>
  <si>
    <t xml:space="preserve">permit and licence, the AESO issues energization authorization, and commercial operation begins for the </t>
  </si>
  <si>
    <t xml:space="preserve">connection project in rows (p), (q), and (s). In general, commissioning activities occur between the dates of </t>
  </si>
  <si>
    <t xml:space="preserve">Enter 20 years for the maximum investment term for the connection project in row (s), unless a </t>
  </si>
  <si>
    <t xml:space="preserve">Enter the discount rate in row (u) if more than one contract stage exists for the project (i.e., if any </t>
  </si>
  <si>
    <r>
      <t xml:space="preserve">determined in accordance with the </t>
    </r>
    <r>
      <rPr>
        <i/>
        <sz val="10"/>
        <rFont val="Arial"/>
        <family val="2"/>
      </rPr>
      <t xml:space="preserve">Classification and Allocation of Connection Projects Costs </t>
    </r>
    <r>
      <rPr>
        <sz val="10"/>
        <rFont val="Arial"/>
        <family val="2"/>
      </rPr>
      <t xml:space="preserve">section of the ISO </t>
    </r>
  </si>
  <si>
    <r>
      <t xml:space="preserve">tariff and is set out in Information Document #2011-005T, </t>
    </r>
    <r>
      <rPr>
        <i/>
        <sz val="10"/>
        <rFont val="Arial"/>
        <family val="2"/>
      </rPr>
      <t>Discount Rates for ISO Tariff</t>
    </r>
    <r>
      <rPr>
        <sz val="10"/>
        <rFont val="Arial"/>
        <family val="2"/>
      </rPr>
      <t xml:space="preserve">, which is updated regularly </t>
    </r>
  </si>
  <si>
    <r>
      <t xml:space="preserve">•    the construction contribution is being adjusted after energization in accordance with the </t>
    </r>
    <r>
      <rPr>
        <i/>
        <sz val="10"/>
        <rFont val="Arial"/>
        <family val="2"/>
      </rPr>
      <t xml:space="preserve">Changes  </t>
    </r>
  </si>
  <si>
    <r>
      <t xml:space="preserve">     </t>
    </r>
    <r>
      <rPr>
        <i/>
        <sz val="10"/>
        <rFont val="Arial"/>
        <family val="2"/>
      </rPr>
      <t xml:space="preserve">to System Access Service </t>
    </r>
    <r>
      <rPr>
        <sz val="10"/>
        <rFont val="Arial"/>
        <family val="2"/>
      </rPr>
      <t>section of the ISO tariff.</t>
    </r>
  </si>
  <si>
    <t>During the development of the connection project up to energization, the owner of transmission facilities</t>
  </si>
  <si>
    <r>
      <t xml:space="preserve">Contract capacities on the </t>
    </r>
    <r>
      <rPr>
        <i/>
        <sz val="10"/>
        <rFont val="Arial"/>
        <family val="2"/>
      </rPr>
      <t>A1 Costs and Contract</t>
    </r>
    <r>
      <rPr>
        <sz val="10"/>
        <rFont val="Arial"/>
        <family val="2"/>
      </rPr>
      <t xml:space="preserve"> sheet should be entered as total capacity, not incremental </t>
    </r>
  </si>
  <si>
    <t xml:space="preserve">capacity. For example, if a market participant contracts initially for 20 MW in Stage 1 with a later </t>
  </si>
  <si>
    <t xml:space="preserve">increase of 10 MW in Stage 2, those amounts must be entered as 20 MW in Stage 1 and 30 MW in </t>
  </si>
  <si>
    <t>Stage 2.</t>
  </si>
  <si>
    <t xml:space="preserve">the project (i.e., for Stage 1, Stage 2, Stage 3, and so on). If an unshaded capacity cell is left blank in a </t>
  </si>
  <si>
    <t>row, it is treated as an amount of zero (i.e., "0 MW").</t>
  </si>
  <si>
    <r>
      <t xml:space="preserve">After all relevant values have been entered or selected on the </t>
    </r>
    <r>
      <rPr>
        <i/>
        <sz val="10"/>
        <rFont val="Arial"/>
        <family val="2"/>
      </rPr>
      <t>A1 Costs and Contract</t>
    </r>
    <r>
      <rPr>
        <sz val="10"/>
        <rFont val="Arial"/>
        <family val="2"/>
      </rPr>
      <t xml:space="preserve"> sheet, the </t>
    </r>
  </si>
  <si>
    <r>
      <t xml:space="preserve">construction contribution determination is summarized on the </t>
    </r>
    <r>
      <rPr>
        <i/>
        <sz val="10"/>
        <rFont val="Arial"/>
        <family val="2"/>
      </rPr>
      <t>A2 Contribution</t>
    </r>
    <r>
      <rPr>
        <sz val="10"/>
        <rFont val="Arial"/>
        <family val="2"/>
      </rPr>
      <t xml:space="preserve"> sheet.</t>
    </r>
  </si>
  <si>
    <r>
      <rPr>
        <i/>
        <sz val="10"/>
        <rFont val="Arial"/>
        <family val="2"/>
      </rPr>
      <t>A3 Allocation and Fractions</t>
    </r>
    <r>
      <rPr>
        <sz val="10"/>
        <rFont val="Arial"/>
        <family val="2"/>
      </rPr>
      <t xml:space="preserve"> and the </t>
    </r>
    <r>
      <rPr>
        <i/>
        <sz val="10"/>
        <rFont val="Arial"/>
        <family val="2"/>
      </rPr>
      <t>A4 Investment</t>
    </r>
    <r>
      <rPr>
        <sz val="10"/>
        <rFont val="Arial"/>
        <family val="2"/>
      </rPr>
      <t xml:space="preserve"> sheets. In particular, the investment term that is </t>
    </r>
  </si>
  <si>
    <r>
      <t xml:space="preserve">required to minimize the construction contribution is provided at the bottom of the </t>
    </r>
    <r>
      <rPr>
        <i/>
        <sz val="10"/>
        <rFont val="Arial"/>
        <family val="2"/>
      </rPr>
      <t>A4 Investment</t>
    </r>
  </si>
  <si>
    <t xml:space="preserve">sheet, including beginning and ending dates. The investment term is also provided in row (s) of the </t>
  </si>
  <si>
    <r>
      <rPr>
        <i/>
        <sz val="10"/>
        <rFont val="Arial"/>
        <family val="2"/>
      </rPr>
      <t>A1 Costs and Contract</t>
    </r>
    <r>
      <rPr>
        <sz val="10"/>
        <rFont val="Arial"/>
        <family val="2"/>
      </rPr>
      <t xml:space="preserve"> sheet.</t>
    </r>
  </si>
  <si>
    <r>
      <t xml:space="preserve">These first four sheets (i.e., </t>
    </r>
    <r>
      <rPr>
        <i/>
        <sz val="10"/>
        <rFont val="Arial"/>
        <family val="2"/>
      </rPr>
      <t>A1 Costs and Contract</t>
    </r>
    <r>
      <rPr>
        <sz val="10"/>
        <rFont val="Arial"/>
        <family val="2"/>
      </rPr>
      <t xml:space="preserve">, </t>
    </r>
    <r>
      <rPr>
        <i/>
        <sz val="10"/>
        <rFont val="Arial"/>
        <family val="2"/>
      </rPr>
      <t>A2 Contribution</t>
    </r>
    <r>
      <rPr>
        <sz val="10"/>
        <rFont val="Arial"/>
        <family val="2"/>
      </rPr>
      <t xml:space="preserve">, </t>
    </r>
    <r>
      <rPr>
        <i/>
        <sz val="10"/>
        <rFont val="Arial"/>
        <family val="2"/>
      </rPr>
      <t>A3 Allocation and Fractions,</t>
    </r>
    <r>
      <rPr>
        <sz val="10"/>
        <rFont val="Arial"/>
        <family val="2"/>
      </rPr>
      <t xml:space="preserve"> and </t>
    </r>
  </si>
  <si>
    <r>
      <rPr>
        <i/>
        <sz val="10"/>
        <rFont val="Arial"/>
        <family val="2"/>
      </rPr>
      <t>A4 Investment</t>
    </r>
    <r>
      <rPr>
        <sz val="10"/>
        <rFont val="Arial"/>
        <family val="2"/>
      </rPr>
      <t>) are set up for printing, each as a single letter-size page.</t>
    </r>
  </si>
  <si>
    <r>
      <t xml:space="preserve">a summary on the </t>
    </r>
    <r>
      <rPr>
        <i/>
        <sz val="10"/>
        <rFont val="Arial"/>
        <family val="2"/>
      </rPr>
      <t>Discounted Increments</t>
    </r>
    <r>
      <rPr>
        <sz val="10"/>
        <rFont val="Arial"/>
        <family val="2"/>
      </rPr>
      <t xml:space="preserve"> and </t>
    </r>
    <r>
      <rPr>
        <i/>
        <sz val="10"/>
        <rFont val="Arial"/>
        <family val="2"/>
      </rPr>
      <t>Nominal Increments</t>
    </r>
    <r>
      <rPr>
        <sz val="10"/>
        <rFont val="Arial"/>
        <family val="2"/>
      </rPr>
      <t xml:space="preserve"> sheets, and then incrementally for </t>
    </r>
  </si>
  <si>
    <r>
      <t xml:space="preserve">each contract stage on the </t>
    </r>
    <r>
      <rPr>
        <i/>
        <sz val="10"/>
        <rFont val="Arial"/>
        <family val="2"/>
      </rPr>
      <t>Stage (1-10) Investment</t>
    </r>
    <r>
      <rPr>
        <sz val="10"/>
        <rFont val="Arial"/>
        <family val="2"/>
      </rPr>
      <t xml:space="preserve"> sheets. For all incremental contract capacity after </t>
    </r>
  </si>
  <si>
    <t xml:space="preserve">Stage 1, nominal investment is first calculated based on the capacity and years for each increment. </t>
  </si>
  <si>
    <t xml:space="preserve">Discounted investment is then calculated back to the date of commercial operation in accordance with </t>
  </si>
  <si>
    <r>
      <t xml:space="preserve">the </t>
    </r>
    <r>
      <rPr>
        <i/>
        <sz val="10"/>
        <rFont val="Arial"/>
        <family val="2"/>
      </rPr>
      <t xml:space="preserve">Construction Contributions for Connection Projects </t>
    </r>
    <r>
      <rPr>
        <sz val="10"/>
        <rFont val="Arial"/>
        <family val="2"/>
      </rPr>
      <t>section of the ISO tariff.</t>
    </r>
  </si>
  <si>
    <t>Project Name:</t>
  </si>
  <si>
    <t>Project Number:</t>
  </si>
  <si>
    <t>Any Other Market Participants at Substation?</t>
  </si>
  <si>
    <t>Attachment A1: Costs and Contract Details</t>
  </si>
  <si>
    <t>Attachment A2: Contribution Determination</t>
  </si>
  <si>
    <t>Attachment A1 - Costs and Contract</t>
  </si>
  <si>
    <t>Attachment A2 - Contribution</t>
  </si>
  <si>
    <t>Attachment A3 - Allocation and Fractions</t>
  </si>
  <si>
    <t>Attachment A4 - Investment Determination</t>
  </si>
  <si>
    <t>Attachments</t>
  </si>
  <si>
    <t>Project No.:</t>
  </si>
  <si>
    <t>Attachment A3: Allocation of Costs and Substation Fractions</t>
  </si>
  <si>
    <t>Investment Term Ends on:</t>
  </si>
  <si>
    <r>
      <t xml:space="preserve">     </t>
    </r>
    <r>
      <rPr>
        <i/>
        <sz val="10"/>
        <rFont val="Arial"/>
        <family val="2"/>
      </rPr>
      <t>Serivce After Energization.</t>
    </r>
  </si>
  <si>
    <r>
      <t xml:space="preserve">     </t>
    </r>
    <r>
      <rPr>
        <i/>
        <sz val="10"/>
        <rFont val="Arial"/>
        <family val="2"/>
      </rPr>
      <t>Construction Contributions for Connection Projects</t>
    </r>
    <r>
      <rPr>
        <sz val="10"/>
        <rFont val="Arial"/>
        <family val="2"/>
      </rPr>
      <t>; and</t>
    </r>
  </si>
  <si>
    <t>contribution. The calculations described in this information document primarily reflect provisions in the</t>
  </si>
  <si>
    <r>
      <rPr>
        <i/>
        <sz val="10"/>
        <rFont val="Arial"/>
        <family val="2"/>
      </rPr>
      <t>Construction Contributions for Connections Projects</t>
    </r>
    <r>
      <rPr>
        <sz val="10"/>
        <rFont val="Arial"/>
        <family val="2"/>
      </rPr>
      <t xml:space="preserve"> section of the ISO tariff.</t>
    </r>
  </si>
  <si>
    <r>
      <t xml:space="preserve">Select the appropriate ISO tariff from the dropdown menu on cell "I10" of the </t>
    </r>
    <r>
      <rPr>
        <i/>
        <sz val="10"/>
        <rFont val="Arial"/>
        <family val="2"/>
      </rPr>
      <t>A1 Costs and Contract</t>
    </r>
    <r>
      <rPr>
        <sz val="10"/>
        <rFont val="Arial"/>
        <family val="2"/>
      </rPr>
      <t xml:space="preserve"> sheet</t>
    </r>
  </si>
  <si>
    <t>and confirm that the contribution calculator applies to the project by checking the effective date in cell "I11".</t>
  </si>
  <si>
    <t>Name of Market Participant</t>
  </si>
  <si>
    <t>Market Participant:</t>
  </si>
  <si>
    <t>Attachment A4: Investment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</si>
</sst>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8" formatCode="&quot;$&quot;#,##0.00_);[Red]\(&quot;$&quot;#,##0.00\)"/>
    <numFmt numFmtId="44" formatCode="_(&quot;$&quot;* #,##0.00_);_(&quot;$&quot;* \(#,##0.00\);_(&quot;$&quot;* &quot;-&quot;??_);_(@_)"/>
    <numFmt numFmtId="43" formatCode="_(* #,##0.00_);_(* \(#,##0.00\);_(* &quot;-&quot;??_);_(@_)"/>
    <numFmt numFmtId="164" formatCode="mmm\ yyyy"/>
    <numFmt numFmtId="165" formatCode="#,##0_);\(#,##0\);&quot;&quot;"/>
    <numFmt numFmtId="166" formatCode="#,##0.00_);\(#,##0.00\);&quot;&quot;"/>
    <numFmt numFmtId="167" formatCode="\(#0\);\(\-#0\);&quot;&quot;"/>
    <numFmt numFmtId="168" formatCode="?\(0\);?\(\-0\);&quot;&quot;"/>
    <numFmt numFmtId="169" formatCode="0.00000_);\(0.00000\)"/>
    <numFmt numFmtId="170" formatCode="#,##0.00000_);\(#,##0.00000\)"/>
    <numFmt numFmtId="171" formatCode="?0"/>
    <numFmt numFmtId="172" formatCode="??0"/>
    <numFmt numFmtId="173" formatCode="&quot;$&quot;#,##0"/>
    <numFmt numFmtId="174" formatCode="#,##0&quot; years&quot;_);\(#,##0&quot; years&quot;\)"/>
    <numFmt numFmtId="175" formatCode="mmmm\ d\,\ yyyy"/>
    <numFmt numFmtId="176" formatCode="&quot;$&quot;#,##0_)&quot;            &quot;;\(&quot;$&quot;#,##0\)&quot;            &quot;;&quot;$&quot;0_)&quot;            &quot;;@_)&quot;            &quot;"/>
    <numFmt numFmtId="177" formatCode="&quot;$&quot;#,##0_);\(&quot;$&quot;#,##0\);&quot;$&quot;0_);@_)"/>
    <numFmt numFmtId="178" formatCode="mmm\ yyyy;mmm\ yyyy;&quot;&quot;"/>
    <numFmt numFmtId="179" formatCode="??0;??0;&quot;&quot;"/>
    <numFmt numFmtId="180" formatCode="??0;\-??0;&quot;Months&quot;"/>
    <numFmt numFmtId="181" formatCode="??0;\-??0;&quot;Cumul&quot;"/>
    <numFmt numFmtId="182" formatCode="??0;\-??0;&quot;&quot;"/>
    <numFmt numFmtId="183" formatCode="mmm\ d\,\ yyyy"/>
    <numFmt numFmtId="184" formatCode="mmm\ d\,\ yyyy_)"/>
    <numFmt numFmtId="185" formatCode="[$-409]mmmm\ d\,\ yyyy;@"/>
    <numFmt numFmtId="186" formatCode="_(&quot;$&quot;* #,##0.0_);_(&quot;$&quot;* \(#,##0.0\);_(&quot;$&quot;* &quot;-&quot;??_);_(@_)"/>
    <numFmt numFmtId="187" formatCode="_(&quot;$&quot;* #,##0_);_(&quot;$&quot;* \(#,##0\);_(&quot;$&quot;* &quot;-&quot;??_);_(@_)"/>
    <numFmt numFmtId="188" formatCode="[$-409]d/mmm/yy;@"/>
    <numFmt numFmtId="189" formatCode="mmm\ dd\,\ yyyy"/>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i/>
      <sz val="10"/>
      <name val="Arial"/>
      <family val="2"/>
    </font>
    <font>
      <sz val="10"/>
      <color indexed="55"/>
      <name val="Arial"/>
      <family val="2"/>
    </font>
    <font>
      <b/>
      <i/>
      <sz val="10"/>
      <color indexed="10"/>
      <name val="Arial"/>
      <family val="2"/>
    </font>
    <font>
      <sz val="11"/>
      <name val="Arial Black"/>
      <family val="2"/>
    </font>
    <font>
      <sz val="6"/>
      <name val="Arial"/>
      <family val="2"/>
    </font>
    <font>
      <b/>
      <sz val="18"/>
      <color indexed="18"/>
      <name val="Arial"/>
      <family val="2"/>
    </font>
    <font>
      <b/>
      <sz val="12"/>
      <color indexed="18"/>
      <name val="Arial"/>
      <family val="2"/>
    </font>
    <font>
      <b/>
      <i/>
      <sz val="10"/>
      <color indexed="18"/>
      <name val="Arial"/>
      <family val="2"/>
    </font>
    <font>
      <sz val="10"/>
      <color indexed="12"/>
      <name val="Arial"/>
      <family val="2"/>
    </font>
    <font>
      <b/>
      <sz val="10"/>
      <color indexed="12"/>
      <name val="Arial"/>
      <family val="2"/>
    </font>
    <font>
      <sz val="8"/>
      <name val="Arial"/>
      <family val="2"/>
    </font>
    <font>
      <sz val="9"/>
      <name val="Arial"/>
      <family val="2"/>
    </font>
    <font>
      <vertAlign val="superscript"/>
      <sz val="10"/>
      <name val="Arial"/>
      <family val="2"/>
    </font>
    <font>
      <vertAlign val="superscript"/>
      <sz val="9"/>
      <name val="Arial"/>
      <family val="2"/>
    </font>
    <font>
      <i/>
      <sz val="9"/>
      <name val="Arial"/>
      <family val="2"/>
    </font>
    <font>
      <sz val="4"/>
      <name val="Arial"/>
      <family val="2"/>
    </font>
    <font>
      <sz val="7"/>
      <name val="Arial"/>
      <family val="2"/>
    </font>
    <font>
      <b/>
      <i/>
      <sz val="13"/>
      <color indexed="18"/>
      <name val="Arial"/>
      <family val="2"/>
    </font>
    <font>
      <sz val="10"/>
      <color rgb="FFFF0000"/>
      <name val="Arial"/>
      <family val="2"/>
    </font>
    <font>
      <b/>
      <sz val="10"/>
      <color rgb="FFFF0000"/>
      <name val="Arial"/>
      <family val="2"/>
    </font>
    <font>
      <u/>
      <sz val="11"/>
      <color theme="1"/>
      <name val="Calibri"/>
      <family val="2"/>
      <scheme val="minor"/>
    </font>
    <font>
      <sz val="10"/>
      <color theme="1"/>
      <name val="Arial"/>
      <family val="2"/>
    </font>
    <font>
      <b/>
      <sz val="10"/>
      <color indexed="18"/>
      <name val="Arial"/>
      <family val="2"/>
    </font>
    <font>
      <b/>
      <sz val="11"/>
      <color theme="3"/>
      <name val="Arial"/>
      <family val="2"/>
    </font>
    <font>
      <b/>
      <sz val="12"/>
      <color theme="3"/>
      <name val="Arial"/>
      <family val="2"/>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4"/>
        <bgColor indexed="64"/>
      </patternFill>
    </fill>
    <fill>
      <patternFill patternType="solid">
        <fgColor indexed="51"/>
        <bgColor indexed="64"/>
      </patternFill>
    </fill>
    <fill>
      <patternFill patternType="solid">
        <fgColor indexed="11"/>
        <bgColor indexed="64"/>
      </patternFill>
    </fill>
    <fill>
      <patternFill patternType="solid">
        <fgColor indexed="15"/>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5">
    <xf numFmtId="0" fontId="0" fillId="0" borderId="0"/>
    <xf numFmtId="0" fontId="19" fillId="0" borderId="0"/>
    <xf numFmtId="0" fontId="4" fillId="0" borderId="0"/>
    <xf numFmtId="0" fontId="13" fillId="0" borderId="0"/>
    <xf numFmtId="0" fontId="14" fillId="0" borderId="0"/>
    <xf numFmtId="0" fontId="15" fillId="0" borderId="0">
      <alignment vertical="top"/>
    </xf>
    <xf numFmtId="0" fontId="3"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4" fillId="0" borderId="0"/>
    <xf numFmtId="0" fontId="4" fillId="0" borderId="0"/>
  </cellStyleXfs>
  <cellXfs count="518">
    <xf numFmtId="0" fontId="0" fillId="0" borderId="0" xfId="0"/>
    <xf numFmtId="0" fontId="6" fillId="0" borderId="0" xfId="0" applyFont="1"/>
    <xf numFmtId="0" fontId="0" fillId="0" borderId="1" xfId="0" applyBorder="1" applyAlignment="1">
      <alignment horizontal="center"/>
    </xf>
    <xf numFmtId="0" fontId="0" fillId="0" borderId="0" xfId="0" applyAlignment="1">
      <alignment horizontal="left" indent="2"/>
    </xf>
    <xf numFmtId="39" fontId="0" fillId="0" borderId="0" xfId="0" applyNumberFormat="1"/>
    <xf numFmtId="5" fontId="0" fillId="0" borderId="0" xfId="0" applyNumberFormat="1"/>
    <xf numFmtId="0" fontId="0" fillId="0" borderId="2" xfId="0" applyBorder="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0" fillId="0" borderId="7" xfId="0" applyBorder="1" applyAlignment="1">
      <alignment horizontal="center"/>
    </xf>
    <xf numFmtId="168" fontId="0" fillId="0" borderId="8" xfId="0" applyNumberFormat="1" applyBorder="1" applyAlignment="1">
      <alignment horizontal="center"/>
    </xf>
    <xf numFmtId="168" fontId="0" fillId="0" borderId="9" xfId="0" applyNumberFormat="1" applyBorder="1" applyAlignment="1">
      <alignment horizontal="center"/>
    </xf>
    <xf numFmtId="167" fontId="0" fillId="0" borderId="1" xfId="0" applyNumberFormat="1" applyBorder="1" applyAlignment="1">
      <alignment horizontal="center"/>
    </xf>
    <xf numFmtId="168" fontId="4" fillId="0" borderId="8" xfId="0" applyNumberFormat="1" applyFont="1" applyBorder="1" applyAlignment="1">
      <alignment horizontal="center"/>
    </xf>
    <xf numFmtId="164" fontId="4" fillId="0" borderId="10" xfId="0" applyNumberFormat="1" applyFont="1" applyBorder="1" applyAlignment="1">
      <alignment horizontal="center"/>
    </xf>
    <xf numFmtId="166" fontId="4" fillId="0" borderId="11" xfId="0" applyNumberFormat="1" applyFont="1" applyBorder="1"/>
    <xf numFmtId="39" fontId="4" fillId="0" borderId="8" xfId="0" applyNumberFormat="1" applyFont="1" applyFill="1" applyBorder="1"/>
    <xf numFmtId="39" fontId="4" fillId="0" borderId="11" xfId="0" applyNumberFormat="1" applyFont="1" applyFill="1" applyBorder="1"/>
    <xf numFmtId="168" fontId="4" fillId="0" borderId="9" xfId="0" applyNumberFormat="1" applyFont="1" applyBorder="1" applyAlignment="1">
      <alignment horizontal="center"/>
    </xf>
    <xf numFmtId="164" fontId="4" fillId="0" borderId="12" xfId="0" applyNumberFormat="1" applyFont="1" applyFill="1" applyBorder="1" applyAlignment="1">
      <alignment horizontal="center"/>
    </xf>
    <xf numFmtId="166" fontId="4" fillId="0" borderId="13" xfId="0" applyNumberFormat="1" applyFont="1" applyBorder="1"/>
    <xf numFmtId="39" fontId="4" fillId="0" borderId="9" xfId="0" applyNumberFormat="1" applyFont="1" applyFill="1" applyBorder="1"/>
    <xf numFmtId="39" fontId="4" fillId="0" borderId="13" xfId="0" applyNumberFormat="1" applyFont="1" applyFill="1" applyBorder="1"/>
    <xf numFmtId="167" fontId="4" fillId="0" borderId="1" xfId="0" applyNumberFormat="1" applyFont="1" applyBorder="1" applyAlignment="1">
      <alignment horizontal="center"/>
    </xf>
    <xf numFmtId="164" fontId="4" fillId="0" borderId="14" xfId="0" applyNumberFormat="1" applyFont="1" applyFill="1" applyBorder="1" applyAlignment="1">
      <alignment horizontal="center"/>
    </xf>
    <xf numFmtId="166" fontId="4" fillId="0" borderId="15" xfId="0" applyNumberFormat="1" applyFont="1" applyBorder="1"/>
    <xf numFmtId="39" fontId="4" fillId="0" borderId="1" xfId="0" applyNumberFormat="1" applyFont="1" applyFill="1" applyBorder="1"/>
    <xf numFmtId="39" fontId="4" fillId="0" borderId="15" xfId="0" applyNumberFormat="1" applyFont="1" applyFill="1" applyBorder="1"/>
    <xf numFmtId="5" fontId="0" fillId="0" borderId="0" xfId="0" applyNumberFormat="1" applyAlignment="1"/>
    <xf numFmtId="0" fontId="0" fillId="0" borderId="16" xfId="0" applyBorder="1" applyAlignment="1">
      <alignment horizontal="center"/>
    </xf>
    <xf numFmtId="0" fontId="6" fillId="0" borderId="7" xfId="0" applyFont="1" applyBorder="1" applyAlignment="1">
      <alignment horizontal="center"/>
    </xf>
    <xf numFmtId="0" fontId="0" fillId="0" borderId="3" xfId="0" applyBorder="1"/>
    <xf numFmtId="0" fontId="0" fillId="0" borderId="4" xfId="0" applyBorder="1"/>
    <xf numFmtId="170" fontId="4" fillId="0" borderId="11" xfId="0" applyNumberFormat="1" applyFont="1" applyFill="1" applyBorder="1"/>
    <xf numFmtId="170" fontId="4" fillId="0" borderId="13" xfId="0" applyNumberFormat="1" applyFont="1" applyFill="1" applyBorder="1"/>
    <xf numFmtId="170" fontId="4" fillId="0" borderId="15" xfId="0" applyNumberFormat="1" applyFont="1" applyFill="1" applyBorder="1"/>
    <xf numFmtId="39" fontId="4" fillId="0" borderId="10" xfId="0" applyNumberFormat="1" applyFont="1" applyFill="1" applyBorder="1"/>
    <xf numFmtId="39" fontId="4" fillId="0" borderId="12" xfId="0" applyNumberFormat="1" applyFont="1" applyFill="1" applyBorder="1"/>
    <xf numFmtId="39" fontId="4" fillId="0" borderId="14" xfId="0" applyNumberFormat="1" applyFont="1" applyFill="1" applyBorder="1"/>
    <xf numFmtId="170" fontId="4" fillId="0" borderId="8" xfId="0" applyNumberFormat="1" applyFont="1" applyFill="1" applyBorder="1"/>
    <xf numFmtId="170" fontId="4" fillId="0" borderId="10" xfId="0" applyNumberFormat="1" applyFont="1" applyFill="1" applyBorder="1"/>
    <xf numFmtId="170" fontId="4" fillId="0" borderId="9" xfId="0" applyNumberFormat="1" applyFont="1" applyFill="1" applyBorder="1"/>
    <xf numFmtId="170" fontId="4" fillId="0" borderId="12" xfId="0" applyNumberFormat="1" applyFont="1" applyFill="1" applyBorder="1"/>
    <xf numFmtId="170" fontId="4" fillId="0" borderId="1" xfId="0" applyNumberFormat="1" applyFont="1" applyFill="1" applyBorder="1"/>
    <xf numFmtId="170" fontId="4" fillId="0" borderId="14" xfId="0" applyNumberFormat="1" applyFont="1" applyFill="1" applyBorder="1"/>
    <xf numFmtId="167" fontId="0" fillId="0" borderId="0" xfId="0" applyNumberFormat="1" applyAlignment="1"/>
    <xf numFmtId="0" fontId="0" fillId="0" borderId="15" xfId="0" applyBorder="1" applyAlignment="1">
      <alignment horizontal="center"/>
    </xf>
    <xf numFmtId="39" fontId="0" fillId="0" borderId="11" xfId="0" applyNumberFormat="1" applyBorder="1"/>
    <xf numFmtId="39" fontId="0" fillId="0" borderId="13" xfId="0" applyNumberFormat="1" applyBorder="1"/>
    <xf numFmtId="39" fontId="0" fillId="0" borderId="15" xfId="0" applyNumberFormat="1" applyBorder="1"/>
    <xf numFmtId="0" fontId="0" fillId="0" borderId="14" xfId="0" applyBorder="1" applyAlignment="1">
      <alignment horizontal="center"/>
    </xf>
    <xf numFmtId="169" fontId="0" fillId="0" borderId="8" xfId="0" applyNumberFormat="1" applyBorder="1" applyAlignment="1"/>
    <xf numFmtId="39" fontId="0" fillId="0" borderId="10" xfId="0" applyNumberFormat="1" applyBorder="1"/>
    <xf numFmtId="169" fontId="0" fillId="0" borderId="9" xfId="0" applyNumberFormat="1" applyBorder="1" applyAlignment="1"/>
    <xf numFmtId="39" fontId="0" fillId="0" borderId="12" xfId="0" applyNumberFormat="1" applyBorder="1"/>
    <xf numFmtId="169" fontId="0" fillId="0" borderId="1" xfId="0" applyNumberFormat="1" applyBorder="1" applyAlignment="1"/>
    <xf numFmtId="39" fontId="0" fillId="0" borderId="14" xfId="0" applyNumberFormat="1" applyBorder="1"/>
    <xf numFmtId="39" fontId="0" fillId="0" borderId="17" xfId="0" applyNumberFormat="1" applyBorder="1"/>
    <xf numFmtId="39" fontId="0" fillId="0" borderId="18" xfId="0" applyNumberFormat="1" applyBorder="1"/>
    <xf numFmtId="39" fontId="0" fillId="0" borderId="19" xfId="0" applyNumberFormat="1" applyBorder="1"/>
    <xf numFmtId="0" fontId="0" fillId="0" borderId="2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6" fillId="0" borderId="2" xfId="0" applyFont="1" applyBorder="1" applyAlignment="1">
      <alignment horizontal="center"/>
    </xf>
    <xf numFmtId="0" fontId="6" fillId="0" borderId="21" xfId="0" applyFont="1" applyBorder="1" applyAlignment="1">
      <alignment horizontal="center"/>
    </xf>
    <xf numFmtId="39" fontId="0" fillId="0" borderId="8" xfId="0" applyNumberFormat="1" applyBorder="1" applyAlignment="1">
      <alignment horizontal="center"/>
    </xf>
    <xf numFmtId="171" fontId="0" fillId="0" borderId="11" xfId="0" applyNumberFormat="1" applyBorder="1" applyAlignment="1">
      <alignment horizontal="center"/>
    </xf>
    <xf numFmtId="39" fontId="0" fillId="0" borderId="9" xfId="0" applyNumberFormat="1" applyBorder="1" applyAlignment="1">
      <alignment horizontal="center"/>
    </xf>
    <xf numFmtId="171" fontId="0" fillId="0" borderId="13" xfId="0" applyNumberFormat="1" applyBorder="1" applyAlignment="1">
      <alignment horizontal="center"/>
    </xf>
    <xf numFmtId="39" fontId="0" fillId="0" borderId="1" xfId="0" applyNumberFormat="1" applyBorder="1" applyAlignment="1">
      <alignment horizontal="center"/>
    </xf>
    <xf numFmtId="171" fontId="0" fillId="0" borderId="15" xfId="0" applyNumberFormat="1" applyBorder="1" applyAlignment="1">
      <alignment horizontal="center"/>
    </xf>
    <xf numFmtId="5" fontId="0" fillId="0" borderId="8" xfId="0" applyNumberFormat="1" applyBorder="1"/>
    <xf numFmtId="5" fontId="0" fillId="0" borderId="10" xfId="0" applyNumberFormat="1" applyBorder="1"/>
    <xf numFmtId="5" fontId="0" fillId="0" borderId="11" xfId="0" applyNumberFormat="1" applyBorder="1"/>
    <xf numFmtId="5" fontId="0" fillId="0" borderId="9" xfId="0" applyNumberFormat="1" applyBorder="1"/>
    <xf numFmtId="5" fontId="0" fillId="0" borderId="12" xfId="0" applyNumberFormat="1" applyBorder="1"/>
    <xf numFmtId="5" fontId="0" fillId="0" borderId="13" xfId="0" applyNumberFormat="1" applyBorder="1"/>
    <xf numFmtId="0" fontId="7" fillId="0" borderId="10" xfId="0" applyFont="1" applyBorder="1" applyAlignment="1">
      <alignment horizontal="center"/>
    </xf>
    <xf numFmtId="0" fontId="7" fillId="0" borderId="1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8" fontId="0" fillId="0" borderId="0" xfId="0" applyNumberFormat="1"/>
    <xf numFmtId="164" fontId="0" fillId="0" borderId="8" xfId="0" applyNumberFormat="1" applyBorder="1" applyAlignment="1">
      <alignment horizontal="center"/>
    </xf>
    <xf numFmtId="164" fontId="0" fillId="0" borderId="9" xfId="0" applyNumberFormat="1" applyBorder="1" applyAlignment="1">
      <alignment horizontal="center"/>
    </xf>
    <xf numFmtId="164" fontId="0" fillId="0" borderId="1" xfId="0" applyNumberFormat="1" applyBorder="1" applyAlignment="1">
      <alignment horizontal="center"/>
    </xf>
    <xf numFmtId="172" fontId="0" fillId="0" borderId="11" xfId="0" applyNumberFormat="1" applyBorder="1" applyAlignment="1">
      <alignment horizontal="center"/>
    </xf>
    <xf numFmtId="0" fontId="7" fillId="0" borderId="0" xfId="0" applyFont="1"/>
    <xf numFmtId="166" fontId="6" fillId="0" borderId="25" xfId="0" applyNumberFormat="1" applyFont="1" applyFill="1" applyBorder="1"/>
    <xf numFmtId="0" fontId="6" fillId="0" borderId="26" xfId="0" applyFont="1" applyBorder="1" applyAlignment="1"/>
    <xf numFmtId="0" fontId="6" fillId="0" borderId="27" xfId="0" applyFont="1" applyBorder="1" applyAlignment="1">
      <alignment horizontal="right"/>
    </xf>
    <xf numFmtId="0" fontId="6" fillId="0" borderId="0" xfId="0" applyFont="1" applyAlignment="1">
      <alignment horizontal="right"/>
    </xf>
    <xf numFmtId="169" fontId="4" fillId="0" borderId="8" xfId="0" applyNumberFormat="1" applyFont="1" applyFill="1" applyBorder="1"/>
    <xf numFmtId="169" fontId="4" fillId="0" borderId="10" xfId="0" applyNumberFormat="1" applyFont="1" applyFill="1" applyBorder="1"/>
    <xf numFmtId="169" fontId="4" fillId="0" borderId="11" xfId="0" applyNumberFormat="1" applyFont="1" applyFill="1" applyBorder="1"/>
    <xf numFmtId="169" fontId="4" fillId="0" borderId="9" xfId="0" applyNumberFormat="1" applyFont="1" applyFill="1" applyBorder="1"/>
    <xf numFmtId="169" fontId="4" fillId="0" borderId="12" xfId="0" applyNumberFormat="1" applyFont="1" applyFill="1" applyBorder="1"/>
    <xf numFmtId="169" fontId="4" fillId="0" borderId="13" xfId="0" applyNumberFormat="1" applyFont="1" applyFill="1" applyBorder="1"/>
    <xf numFmtId="169" fontId="4" fillId="0" borderId="1" xfId="0" applyNumberFormat="1" applyFont="1" applyFill="1" applyBorder="1"/>
    <xf numFmtId="169" fontId="4" fillId="0" borderId="14" xfId="0" applyNumberFormat="1" applyFont="1" applyFill="1" applyBorder="1"/>
    <xf numFmtId="169" fontId="4" fillId="0" borderId="15" xfId="0" applyNumberFormat="1" applyFont="1" applyFill="1" applyBorder="1"/>
    <xf numFmtId="169" fontId="6" fillId="0" borderId="1" xfId="0" applyNumberFormat="1" applyFont="1" applyFill="1" applyBorder="1"/>
    <xf numFmtId="169" fontId="6" fillId="0" borderId="14" xfId="0" applyNumberFormat="1" applyFont="1" applyFill="1" applyBorder="1"/>
    <xf numFmtId="169" fontId="6" fillId="0" borderId="15" xfId="0" applyNumberFormat="1" applyFont="1" applyFill="1" applyBorder="1"/>
    <xf numFmtId="5" fontId="6" fillId="0" borderId="0" xfId="0" applyNumberFormat="1" applyFont="1"/>
    <xf numFmtId="166" fontId="6" fillId="0" borderId="28" xfId="0" applyNumberFormat="1" applyFont="1" applyFill="1" applyBorder="1"/>
    <xf numFmtId="0" fontId="0" fillId="0" borderId="0" xfId="0" applyAlignment="1">
      <alignment horizontal="left"/>
    </xf>
    <xf numFmtId="0" fontId="9" fillId="0" borderId="0" xfId="0" applyFont="1" applyAlignment="1">
      <alignment horizontal="left" indent="2"/>
    </xf>
    <xf numFmtId="0" fontId="9" fillId="0" borderId="0" xfId="0" applyFont="1"/>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center" vertical="center"/>
    </xf>
    <xf numFmtId="167" fontId="6" fillId="0" borderId="0" xfId="0" applyNumberFormat="1" applyFont="1" applyAlignment="1"/>
    <xf numFmtId="39" fontId="6" fillId="0" borderId="0" xfId="0" applyNumberFormat="1" applyFont="1"/>
    <xf numFmtId="5" fontId="6" fillId="0" borderId="0" xfId="0" applyNumberFormat="1" applyFont="1" applyAlignment="1"/>
    <xf numFmtId="5" fontId="6" fillId="0" borderId="0" xfId="0" applyNumberFormat="1" applyFont="1" applyBorder="1" applyAlignment="1">
      <alignment vertical="center"/>
    </xf>
    <xf numFmtId="0" fontId="0" fillId="0" borderId="0" xfId="0" applyBorder="1"/>
    <xf numFmtId="5" fontId="7" fillId="0" borderId="0" xfId="0" applyNumberFormat="1" applyFont="1" applyBorder="1" applyAlignment="1">
      <alignment vertical="center"/>
    </xf>
    <xf numFmtId="0" fontId="7" fillId="0" borderId="0" xfId="0" applyFont="1" applyBorder="1"/>
    <xf numFmtId="0" fontId="0" fillId="0" borderId="0" xfId="0" applyAlignment="1">
      <alignment horizontal="left" indent="1"/>
    </xf>
    <xf numFmtId="5" fontId="6" fillId="0" borderId="28" xfId="0" applyNumberFormat="1" applyFont="1" applyBorder="1"/>
    <xf numFmtId="5" fontId="6" fillId="0" borderId="17" xfId="0" applyNumberFormat="1" applyFont="1" applyBorder="1"/>
    <xf numFmtId="174" fontId="6" fillId="0" borderId="19" xfId="0" applyNumberFormat="1" applyFont="1" applyBorder="1"/>
    <xf numFmtId="171" fontId="0" fillId="0" borderId="0" xfId="0" applyNumberFormat="1" applyBorder="1" applyAlignment="1">
      <alignment horizontal="center"/>
    </xf>
    <xf numFmtId="172" fontId="0" fillId="0" borderId="0" xfId="0" applyNumberFormat="1" applyBorder="1" applyAlignment="1">
      <alignment horizontal="center"/>
    </xf>
    <xf numFmtId="0" fontId="6" fillId="0" borderId="22" xfId="0" applyFont="1" applyBorder="1" applyAlignment="1">
      <alignment horizontal="center"/>
    </xf>
    <xf numFmtId="5" fontId="6" fillId="0" borderId="22" xfId="0" applyNumberFormat="1" applyFont="1" applyFill="1" applyBorder="1"/>
    <xf numFmtId="5" fontId="6" fillId="0" borderId="24" xfId="0" applyNumberFormat="1" applyFont="1" applyFill="1" applyBorder="1"/>
    <xf numFmtId="5" fontId="6" fillId="0" borderId="23" xfId="0" applyNumberFormat="1" applyFont="1" applyFill="1" applyBorder="1"/>
    <xf numFmtId="0" fontId="7" fillId="0" borderId="0" xfId="0" applyFont="1" applyBorder="1" applyAlignment="1">
      <alignment horizontal="center" vertical="center"/>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11" fillId="0" borderId="0" xfId="0" applyFont="1"/>
    <xf numFmtId="0" fontId="12" fillId="0" borderId="0" xfId="0" applyFont="1"/>
    <xf numFmtId="0" fontId="6" fillId="0" borderId="23" xfId="0" applyFont="1" applyBorder="1" applyAlignment="1">
      <alignment horizontal="center"/>
    </xf>
    <xf numFmtId="0" fontId="0" fillId="0" borderId="10" xfId="0" applyBorder="1" applyAlignment="1">
      <alignment horizontal="right"/>
    </xf>
    <xf numFmtId="167" fontId="0" fillId="0" borderId="11" xfId="0" applyNumberFormat="1" applyBorder="1" applyAlignment="1">
      <alignment horizontal="right"/>
    </xf>
    <xf numFmtId="0" fontId="0" fillId="0" borderId="12" xfId="0" applyBorder="1" applyAlignment="1">
      <alignment horizontal="right"/>
    </xf>
    <xf numFmtId="167" fontId="0" fillId="0" borderId="13" xfId="0" applyNumberFormat="1" applyBorder="1" applyAlignment="1">
      <alignment horizontal="right"/>
    </xf>
    <xf numFmtId="0" fontId="0" fillId="0" borderId="14" xfId="0" applyBorder="1" applyAlignment="1">
      <alignment horizontal="right"/>
    </xf>
    <xf numFmtId="167" fontId="0" fillId="0" borderId="15" xfId="0" applyNumberFormat="1" applyBorder="1" applyAlignment="1">
      <alignment horizontal="right"/>
    </xf>
    <xf numFmtId="177" fontId="0" fillId="0" borderId="8" xfId="0" applyNumberFormat="1" applyBorder="1" applyAlignment="1">
      <alignment horizontal="right"/>
    </xf>
    <xf numFmtId="177" fontId="0" fillId="0" borderId="10" xfId="0" applyNumberFormat="1" applyBorder="1" applyAlignment="1">
      <alignment horizontal="right"/>
    </xf>
    <xf numFmtId="177" fontId="0" fillId="0" borderId="11" xfId="0" applyNumberFormat="1" applyBorder="1" applyAlignment="1">
      <alignment horizontal="right"/>
    </xf>
    <xf numFmtId="177" fontId="0" fillId="0" borderId="9" xfId="0" applyNumberFormat="1" applyBorder="1" applyAlignment="1">
      <alignment horizontal="right"/>
    </xf>
    <xf numFmtId="177" fontId="0" fillId="0" borderId="12" xfId="0" applyNumberFormat="1" applyBorder="1" applyAlignment="1">
      <alignment horizontal="right"/>
    </xf>
    <xf numFmtId="177" fontId="0" fillId="0" borderId="13" xfId="0" applyNumberFormat="1" applyBorder="1" applyAlignment="1">
      <alignment horizontal="right"/>
    </xf>
    <xf numFmtId="177" fontId="0" fillId="0" borderId="1" xfId="0" applyNumberFormat="1" applyBorder="1" applyAlignment="1">
      <alignment horizontal="right"/>
    </xf>
    <xf numFmtId="177" fontId="0" fillId="0" borderId="14" xfId="0" applyNumberFormat="1" applyBorder="1" applyAlignment="1">
      <alignment horizontal="right"/>
    </xf>
    <xf numFmtId="177" fontId="0" fillId="0" borderId="15" xfId="0" applyNumberFormat="1" applyBorder="1" applyAlignment="1">
      <alignment horizontal="right"/>
    </xf>
    <xf numFmtId="0" fontId="6" fillId="2" borderId="22" xfId="0" applyFont="1" applyFill="1" applyBorder="1" applyAlignment="1">
      <alignment horizontal="center"/>
    </xf>
    <xf numFmtId="0" fontId="6" fillId="2" borderId="23" xfId="0" applyFont="1" applyFill="1" applyBorder="1" applyAlignment="1">
      <alignment horizontal="center"/>
    </xf>
    <xf numFmtId="177" fontId="0" fillId="0" borderId="8" xfId="0" applyNumberFormat="1" applyFill="1" applyBorder="1" applyAlignment="1">
      <alignment horizontal="right"/>
    </xf>
    <xf numFmtId="177" fontId="0" fillId="0" borderId="11" xfId="0" applyNumberFormat="1" applyFill="1" applyBorder="1" applyAlignment="1">
      <alignment horizontal="right"/>
    </xf>
    <xf numFmtId="177" fontId="0" fillId="0" borderId="9" xfId="0" applyNumberFormat="1" applyFill="1" applyBorder="1" applyAlignment="1">
      <alignment horizontal="right"/>
    </xf>
    <xf numFmtId="177" fontId="0" fillId="0" borderId="13" xfId="0" applyNumberFormat="1" applyFill="1" applyBorder="1" applyAlignment="1">
      <alignment horizontal="right"/>
    </xf>
    <xf numFmtId="177" fontId="0" fillId="0" borderId="1" xfId="0" applyNumberFormat="1" applyFill="1" applyBorder="1" applyAlignment="1">
      <alignment horizontal="right"/>
    </xf>
    <xf numFmtId="177" fontId="0" fillId="0" borderId="15" xfId="0" applyNumberFormat="1" applyFill="1" applyBorder="1" applyAlignment="1">
      <alignment horizontal="right"/>
    </xf>
    <xf numFmtId="178" fontId="0" fillId="0" borderId="10" xfId="0" applyNumberFormat="1" applyBorder="1" applyAlignment="1">
      <alignment horizontal="center"/>
    </xf>
    <xf numFmtId="178" fontId="0" fillId="0" borderId="11" xfId="0" applyNumberFormat="1" applyBorder="1" applyAlignment="1">
      <alignment horizontal="center"/>
    </xf>
    <xf numFmtId="178" fontId="0" fillId="0" borderId="12" xfId="0" applyNumberFormat="1" applyBorder="1" applyAlignment="1">
      <alignment horizontal="center"/>
    </xf>
    <xf numFmtId="178" fontId="0" fillId="0" borderId="13" xfId="0" applyNumberFormat="1" applyBorder="1" applyAlignment="1">
      <alignment horizontal="center"/>
    </xf>
    <xf numFmtId="178" fontId="0" fillId="0" borderId="14" xfId="0" applyNumberFormat="1" applyBorder="1" applyAlignment="1">
      <alignment horizontal="center"/>
    </xf>
    <xf numFmtId="178" fontId="0" fillId="0" borderId="15" xfId="0" applyNumberFormat="1" applyBorder="1" applyAlignment="1">
      <alignment horizontal="center"/>
    </xf>
    <xf numFmtId="171" fontId="0" fillId="0" borderId="22" xfId="0" applyNumberFormat="1" applyBorder="1" applyAlignment="1">
      <alignment horizontal="center"/>
    </xf>
    <xf numFmtId="181" fontId="0" fillId="0" borderId="23" xfId="0" applyNumberFormat="1" applyBorder="1" applyAlignment="1">
      <alignment horizontal="center"/>
    </xf>
    <xf numFmtId="0" fontId="7" fillId="0" borderId="23" xfId="0" applyFont="1" applyBorder="1" applyAlignment="1">
      <alignment horizontal="center"/>
    </xf>
    <xf numFmtId="182" fontId="0" fillId="0" borderId="13" xfId="0" applyNumberFormat="1" applyBorder="1" applyAlignment="1">
      <alignment horizontal="center"/>
    </xf>
    <xf numFmtId="182" fontId="0" fillId="0" borderId="15" xfId="0" applyNumberFormat="1" applyBorder="1" applyAlignment="1">
      <alignment horizontal="center"/>
    </xf>
    <xf numFmtId="0" fontId="14" fillId="0" borderId="0" xfId="4"/>
    <xf numFmtId="0" fontId="19" fillId="0" borderId="0" xfId="1"/>
    <xf numFmtId="0" fontId="4" fillId="0" borderId="0" xfId="2" applyFont="1"/>
    <xf numFmtId="0" fontId="4" fillId="0" borderId="0" xfId="2"/>
    <xf numFmtId="0" fontId="14" fillId="0" borderId="0" xfId="4" applyFont="1"/>
    <xf numFmtId="0" fontId="11" fillId="0" borderId="0" xfId="0" applyFont="1" applyAlignment="1"/>
    <xf numFmtId="177" fontId="0" fillId="0" borderId="29" xfId="0" applyNumberFormat="1" applyBorder="1" applyAlignment="1">
      <alignment horizontal="right"/>
    </xf>
    <xf numFmtId="177" fontId="0" fillId="0" borderId="31" xfId="0" applyNumberFormat="1" applyBorder="1" applyAlignment="1">
      <alignment horizontal="right"/>
    </xf>
    <xf numFmtId="177" fontId="0" fillId="0" borderId="16" xfId="0" applyNumberFormat="1" applyBorder="1" applyAlignment="1">
      <alignment horizontal="right"/>
    </xf>
    <xf numFmtId="182" fontId="0" fillId="0" borderId="0" xfId="0" applyNumberFormat="1"/>
    <xf numFmtId="0" fontId="6" fillId="0" borderId="41" xfId="0" applyFont="1" applyBorder="1" applyAlignment="1">
      <alignment horizontal="center"/>
    </xf>
    <xf numFmtId="0" fontId="6" fillId="0" borderId="42" xfId="0" applyFont="1" applyFill="1" applyBorder="1" applyAlignment="1">
      <alignment horizontal="center"/>
    </xf>
    <xf numFmtId="172" fontId="0" fillId="0" borderId="0" xfId="0" applyNumberFormat="1"/>
    <xf numFmtId="164" fontId="16" fillId="3" borderId="12" xfId="0" applyNumberFormat="1" applyFont="1" applyFill="1" applyBorder="1" applyAlignment="1" applyProtection="1">
      <alignment horizontal="center"/>
      <protection locked="0"/>
    </xf>
    <xf numFmtId="39" fontId="16" fillId="3" borderId="8" xfId="0" applyNumberFormat="1" applyFont="1" applyFill="1" applyBorder="1" applyProtection="1">
      <protection locked="0"/>
    </xf>
    <xf numFmtId="39" fontId="16" fillId="3" borderId="9" xfId="0" applyNumberFormat="1" applyFont="1" applyFill="1" applyBorder="1" applyProtection="1">
      <protection locked="0"/>
    </xf>
    <xf numFmtId="39" fontId="16" fillId="3" borderId="1" xfId="0" applyNumberFormat="1" applyFont="1" applyFill="1" applyBorder="1" applyProtection="1">
      <protection locked="0"/>
    </xf>
    <xf numFmtId="39" fontId="16" fillId="3" borderId="10" xfId="0" applyNumberFormat="1" applyFont="1" applyFill="1" applyBorder="1" applyProtection="1">
      <protection locked="0"/>
    </xf>
    <xf numFmtId="39" fontId="16" fillId="3" borderId="11" xfId="0" applyNumberFormat="1" applyFont="1" applyFill="1" applyBorder="1" applyProtection="1">
      <protection locked="0"/>
    </xf>
    <xf numFmtId="39" fontId="16" fillId="3" borderId="12" xfId="0" applyNumberFormat="1" applyFont="1" applyFill="1" applyBorder="1" applyProtection="1">
      <protection locked="0"/>
    </xf>
    <xf numFmtId="39" fontId="16" fillId="3" borderId="13" xfId="0" applyNumberFormat="1" applyFont="1" applyFill="1" applyBorder="1" applyProtection="1">
      <protection locked="0"/>
    </xf>
    <xf numFmtId="39" fontId="16" fillId="3" borderId="14" xfId="0" applyNumberFormat="1" applyFont="1" applyFill="1" applyBorder="1" applyProtection="1">
      <protection locked="0"/>
    </xf>
    <xf numFmtId="39" fontId="16" fillId="3" borderId="15" xfId="0" applyNumberFormat="1" applyFont="1" applyFill="1" applyBorder="1" applyProtection="1">
      <protection locked="0"/>
    </xf>
    <xf numFmtId="0" fontId="0" fillId="4" borderId="14" xfId="0" applyFill="1" applyBorder="1" applyAlignment="1">
      <alignment horizontal="center"/>
    </xf>
    <xf numFmtId="0" fontId="0" fillId="5" borderId="14" xfId="0" applyFill="1" applyBorder="1" applyAlignment="1">
      <alignment horizontal="center"/>
    </xf>
    <xf numFmtId="0" fontId="0" fillId="6" borderId="14" xfId="0" applyFill="1" applyBorder="1" applyAlignment="1">
      <alignment horizontal="center"/>
    </xf>
    <xf numFmtId="0" fontId="0" fillId="7" borderId="14" xfId="0" applyFill="1" applyBorder="1" applyAlignment="1">
      <alignment horizontal="center"/>
    </xf>
    <xf numFmtId="0" fontId="0" fillId="8" borderId="14" xfId="0" applyFill="1" applyBorder="1" applyAlignment="1">
      <alignment horizontal="center"/>
    </xf>
    <xf numFmtId="0" fontId="0" fillId="9" borderId="14" xfId="0" applyFill="1" applyBorder="1" applyAlignment="1">
      <alignment horizontal="center"/>
    </xf>
    <xf numFmtId="0" fontId="0" fillId="10" borderId="14" xfId="0" applyFill="1" applyBorder="1" applyAlignment="1">
      <alignment horizontal="center"/>
    </xf>
    <xf numFmtId="0" fontId="0" fillId="11" borderId="14" xfId="0" applyFill="1" applyBorder="1" applyAlignment="1">
      <alignment horizontal="center"/>
    </xf>
    <xf numFmtId="0" fontId="0" fillId="12" borderId="14" xfId="0" applyFill="1" applyBorder="1" applyAlignment="1">
      <alignment horizontal="center"/>
    </xf>
    <xf numFmtId="0" fontId="0" fillId="13" borderId="15" xfId="0" applyFill="1" applyBorder="1" applyAlignment="1">
      <alignment horizontal="center"/>
    </xf>
    <xf numFmtId="164" fontId="0" fillId="3" borderId="9" xfId="0" applyNumberFormat="1" applyFill="1" applyBorder="1" applyAlignment="1">
      <alignment horizontal="center"/>
    </xf>
    <xf numFmtId="167" fontId="0" fillId="3" borderId="13" xfId="0" applyNumberFormat="1" applyFill="1" applyBorder="1" applyAlignment="1">
      <alignment horizontal="right"/>
    </xf>
    <xf numFmtId="177" fontId="0" fillId="3" borderId="9" xfId="0" applyNumberFormat="1" applyFill="1" applyBorder="1" applyAlignment="1">
      <alignment horizontal="right"/>
    </xf>
    <xf numFmtId="177" fontId="0" fillId="3" borderId="12" xfId="0" applyNumberFormat="1" applyFill="1" applyBorder="1" applyAlignment="1">
      <alignment horizontal="right"/>
    </xf>
    <xf numFmtId="177" fontId="0" fillId="3" borderId="13" xfId="0" applyNumberFormat="1" applyFill="1" applyBorder="1" applyAlignment="1">
      <alignment horizontal="right"/>
    </xf>
    <xf numFmtId="0" fontId="0" fillId="3" borderId="0" xfId="0" applyFill="1"/>
    <xf numFmtId="1" fontId="0" fillId="3" borderId="12" xfId="0" applyNumberFormat="1" applyFill="1" applyBorder="1" applyAlignment="1">
      <alignment horizontal="right"/>
    </xf>
    <xf numFmtId="0" fontId="11" fillId="0" borderId="0" xfId="0" applyFont="1" applyProtection="1"/>
    <xf numFmtId="0" fontId="12" fillId="0" borderId="0" xfId="0" applyFont="1" applyProtection="1"/>
    <xf numFmtId="0" fontId="0" fillId="0" borderId="0" xfId="0" applyProtection="1"/>
    <xf numFmtId="0" fontId="0" fillId="0" borderId="0" xfId="0" applyAlignment="1" applyProtection="1">
      <alignment horizontal="left" indent="2"/>
    </xf>
    <xf numFmtId="0" fontId="4" fillId="0" borderId="0" xfId="0" applyFont="1" applyFill="1" applyAlignment="1" applyProtection="1">
      <alignment horizontal="left" indent="2"/>
    </xf>
    <xf numFmtId="0" fontId="9" fillId="0" borderId="0" xfId="0" applyFont="1" applyAlignment="1" applyProtection="1">
      <alignment horizontal="left" indent="2"/>
    </xf>
    <xf numFmtId="0" fontId="6" fillId="0" borderId="0" xfId="0" applyFont="1" applyProtection="1"/>
    <xf numFmtId="0" fontId="10" fillId="0" borderId="0" xfId="0" applyFont="1" applyProtection="1"/>
    <xf numFmtId="5" fontId="0" fillId="0" borderId="0" xfId="0" applyNumberFormat="1" applyProtection="1"/>
    <xf numFmtId="0" fontId="4" fillId="0" borderId="0" xfId="0" applyFont="1" applyFill="1" applyProtection="1"/>
    <xf numFmtId="0" fontId="6" fillId="0" borderId="0" xfId="0" applyFont="1" applyFill="1" applyProtection="1"/>
    <xf numFmtId="10" fontId="6" fillId="0" borderId="0" xfId="0" applyNumberFormat="1" applyFont="1" applyFill="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43" xfId="0" applyBorder="1" applyProtection="1"/>
    <xf numFmtId="0" fontId="6" fillId="0" borderId="44" xfId="0" applyFont="1" applyBorder="1" applyAlignment="1" applyProtection="1">
      <alignment horizontal="center"/>
    </xf>
    <xf numFmtId="0" fontId="6" fillId="0" borderId="45"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0" fontId="0" fillId="0" borderId="16" xfId="0" applyBorder="1" applyAlignment="1" applyProtection="1">
      <alignment horizontal="center"/>
    </xf>
    <xf numFmtId="0" fontId="6" fillId="0" borderId="7" xfId="0" applyFont="1" applyBorder="1" applyAlignment="1" applyProtection="1">
      <alignment horizontal="center"/>
    </xf>
    <xf numFmtId="168" fontId="0" fillId="0" borderId="8" xfId="0" applyNumberFormat="1" applyBorder="1" applyAlignment="1" applyProtection="1">
      <alignment horizontal="center"/>
    </xf>
    <xf numFmtId="164" fontId="0" fillId="0" borderId="10" xfId="0" applyNumberFormat="1" applyBorder="1" applyAlignment="1" applyProtection="1">
      <alignment horizontal="center"/>
    </xf>
    <xf numFmtId="165" fontId="0" fillId="0" borderId="11" xfId="0" applyNumberFormat="1" applyBorder="1" applyProtection="1"/>
    <xf numFmtId="168" fontId="0" fillId="0" borderId="9" xfId="0" applyNumberFormat="1" applyBorder="1" applyAlignment="1" applyProtection="1">
      <alignment horizontal="center"/>
    </xf>
    <xf numFmtId="165" fontId="0" fillId="0" borderId="13" xfId="0" applyNumberFormat="1" applyBorder="1" applyProtection="1"/>
    <xf numFmtId="167" fontId="0" fillId="0" borderId="1" xfId="0" applyNumberFormat="1" applyBorder="1" applyAlignment="1" applyProtection="1">
      <alignment horizontal="center"/>
    </xf>
    <xf numFmtId="165" fontId="0" fillId="0" borderId="15" xfId="0" applyNumberFormat="1" applyBorder="1" applyProtection="1"/>
    <xf numFmtId="0" fontId="6" fillId="0" borderId="26" xfId="0" applyFont="1" applyBorder="1" applyAlignment="1" applyProtection="1"/>
    <xf numFmtId="0" fontId="6" fillId="0" borderId="27" xfId="0" applyFont="1" applyBorder="1" applyAlignment="1" applyProtection="1">
      <alignment horizontal="right"/>
    </xf>
    <xf numFmtId="165" fontId="6" fillId="0" borderId="23" xfId="0" applyNumberFormat="1" applyFont="1" applyBorder="1" applyProtection="1"/>
    <xf numFmtId="0" fontId="7" fillId="0" borderId="0" xfId="1" applyFont="1"/>
    <xf numFmtId="0" fontId="18" fillId="0" borderId="0" xfId="2" applyFont="1"/>
    <xf numFmtId="0" fontId="7" fillId="0" borderId="0" xfId="2" applyFont="1"/>
    <xf numFmtId="0" fontId="18" fillId="0" borderId="0" xfId="2" applyFont="1" applyAlignment="1">
      <alignment horizontal="center"/>
    </xf>
    <xf numFmtId="0" fontId="15" fillId="0" borderId="0" xfId="5" applyAlignment="1">
      <alignment vertical="top"/>
    </xf>
    <xf numFmtId="0" fontId="18" fillId="0" borderId="0" xfId="2" applyFont="1" applyBorder="1" applyAlignment="1"/>
    <xf numFmtId="0" fontId="18" fillId="0" borderId="0" xfId="2" applyFont="1" applyBorder="1" applyAlignment="1">
      <alignment horizontal="center"/>
    </xf>
    <xf numFmtId="0" fontId="4" fillId="0" borderId="0" xfId="2" applyAlignment="1">
      <alignment vertical="center"/>
    </xf>
    <xf numFmtId="0" fontId="19" fillId="0" borderId="0" xfId="2" applyFont="1"/>
    <xf numFmtId="0" fontId="19" fillId="0" borderId="0" xfId="0" applyFont="1"/>
    <xf numFmtId="0" fontId="23" fillId="0" borderId="0" xfId="1" applyFont="1"/>
    <xf numFmtId="0" fontId="24" fillId="0" borderId="0" xfId="1" applyFont="1"/>
    <xf numFmtId="0" fontId="25" fillId="0" borderId="0" xfId="5" applyFont="1" applyAlignment="1">
      <alignment vertical="top"/>
    </xf>
    <xf numFmtId="0" fontId="15" fillId="0" borderId="0" xfId="5">
      <alignment vertical="top"/>
    </xf>
    <xf numFmtId="0" fontId="25" fillId="0" borderId="0" xfId="5" applyFont="1">
      <alignment vertical="top"/>
    </xf>
    <xf numFmtId="184" fontId="0" fillId="0" borderId="17" xfId="0" applyNumberFormat="1" applyBorder="1"/>
    <xf numFmtId="184" fontId="0" fillId="0" borderId="19" xfId="0" applyNumberFormat="1" applyBorder="1"/>
    <xf numFmtId="0" fontId="7" fillId="0" borderId="0" xfId="0" applyFont="1" applyFill="1" applyProtection="1"/>
    <xf numFmtId="0" fontId="7" fillId="0" borderId="0" xfId="0" applyFont="1" applyProtection="1"/>
    <xf numFmtId="168" fontId="4" fillId="0" borderId="8" xfId="0" applyNumberFormat="1" applyFont="1" applyFill="1" applyBorder="1" applyAlignment="1">
      <alignment horizontal="center"/>
    </xf>
    <xf numFmtId="164" fontId="4" fillId="0" borderId="10" xfId="0" applyNumberFormat="1" applyFont="1" applyFill="1" applyBorder="1" applyAlignment="1">
      <alignment horizontal="center"/>
    </xf>
    <xf numFmtId="166" fontId="4" fillId="0" borderId="11" xfId="0" applyNumberFormat="1" applyFont="1" applyFill="1" applyBorder="1"/>
    <xf numFmtId="168" fontId="4" fillId="0" borderId="9" xfId="0" applyNumberFormat="1" applyFont="1" applyFill="1" applyBorder="1" applyAlignment="1">
      <alignment horizontal="center"/>
    </xf>
    <xf numFmtId="166" fontId="4" fillId="0" borderId="13" xfId="0" applyNumberFormat="1" applyFont="1" applyFill="1" applyBorder="1"/>
    <xf numFmtId="0" fontId="4" fillId="0" borderId="0" xfId="2" applyFill="1"/>
    <xf numFmtId="0" fontId="7" fillId="0" borderId="46" xfId="2" applyFont="1" applyBorder="1" applyAlignment="1">
      <alignment vertical="center" wrapText="1"/>
    </xf>
    <xf numFmtId="0" fontId="7" fillId="0" borderId="35" xfId="2" applyFont="1" applyBorder="1" applyAlignment="1">
      <alignment vertical="center" wrapText="1"/>
    </xf>
    <xf numFmtId="0" fontId="4" fillId="0" borderId="40" xfId="2" applyBorder="1" applyAlignment="1">
      <alignment vertical="center"/>
    </xf>
    <xf numFmtId="0" fontId="9" fillId="0" borderId="0" xfId="0" quotePrefix="1" applyFont="1" applyProtection="1"/>
    <xf numFmtId="0" fontId="4" fillId="0" borderId="0" xfId="0" applyFont="1"/>
    <xf numFmtId="0" fontId="5" fillId="0" borderId="0" xfId="2" applyFont="1" applyBorder="1" applyAlignment="1"/>
    <xf numFmtId="0" fontId="5" fillId="0" borderId="0" xfId="2" applyFont="1"/>
    <xf numFmtId="0" fontId="5" fillId="0" borderId="0" xfId="2" applyFont="1" applyAlignment="1">
      <alignment horizontal="right"/>
    </xf>
    <xf numFmtId="0" fontId="5" fillId="0" borderId="0" xfId="2" applyFont="1" applyBorder="1" applyAlignment="1">
      <alignment horizontal="right"/>
    </xf>
    <xf numFmtId="0" fontId="4" fillId="0" borderId="0" xfId="0" applyFont="1" applyProtection="1"/>
    <xf numFmtId="0" fontId="16" fillId="3" borderId="0" xfId="0" applyFont="1" applyFill="1" applyBorder="1" applyAlignment="1" applyProtection="1">
      <alignment horizontal="center"/>
      <protection locked="0"/>
    </xf>
    <xf numFmtId="0" fontId="0" fillId="0" borderId="0" xfId="0" applyAlignment="1">
      <alignment horizontal="center"/>
    </xf>
    <xf numFmtId="185" fontId="0" fillId="0" borderId="0" xfId="0" applyNumberFormat="1" applyAlignment="1">
      <alignment horizontal="center"/>
    </xf>
    <xf numFmtId="0" fontId="3" fillId="0" borderId="0" xfId="6"/>
    <xf numFmtId="0" fontId="3" fillId="0" borderId="0" xfId="6" applyAlignment="1">
      <alignment horizontal="center"/>
    </xf>
    <xf numFmtId="187" fontId="3" fillId="0" borderId="0" xfId="8" applyNumberFormat="1" applyFont="1" applyAlignment="1">
      <alignment horizontal="center"/>
    </xf>
    <xf numFmtId="0" fontId="3" fillId="0" borderId="0" xfId="6"/>
    <xf numFmtId="0" fontId="3" fillId="0" borderId="0" xfId="6" applyAlignment="1">
      <alignment horizontal="center"/>
    </xf>
    <xf numFmtId="186" fontId="3" fillId="0" borderId="0" xfId="8" applyNumberFormat="1" applyFont="1" applyAlignment="1">
      <alignment horizontal="center"/>
    </xf>
    <xf numFmtId="187" fontId="3" fillId="0" borderId="0" xfId="8" applyNumberFormat="1" applyFont="1" applyAlignment="1">
      <alignment horizontal="center"/>
    </xf>
    <xf numFmtId="188" fontId="4" fillId="0" borderId="0" xfId="0" quotePrefix="1" applyNumberFormat="1" applyFont="1" applyProtection="1"/>
    <xf numFmtId="188" fontId="4" fillId="0" borderId="0" xfId="0" quotePrefix="1" applyNumberFormat="1" applyFont="1" applyAlignment="1" applyProtection="1">
      <alignment horizontal="right"/>
    </xf>
    <xf numFmtId="0" fontId="0" fillId="0" borderId="0" xfId="0" applyAlignment="1">
      <alignment horizontal="right"/>
    </xf>
    <xf numFmtId="0" fontId="4" fillId="0" borderId="0" xfId="2" applyFont="1" applyFill="1"/>
    <xf numFmtId="0" fontId="4" fillId="0" borderId="0" xfId="1" applyFont="1"/>
    <xf numFmtId="0" fontId="27" fillId="0" borderId="0" xfId="0" applyFont="1" applyProtection="1"/>
    <xf numFmtId="0" fontId="28" fillId="0" borderId="0" xfId="6" applyFont="1"/>
    <xf numFmtId="5" fontId="26" fillId="0" borderId="0" xfId="0" applyNumberFormat="1" applyFont="1" applyFill="1" applyBorder="1"/>
    <xf numFmtId="186" fontId="3" fillId="0" borderId="0" xfId="8" applyNumberFormat="1" applyFont="1" applyFill="1" applyAlignment="1">
      <alignment horizontal="center"/>
    </xf>
    <xf numFmtId="0" fontId="16" fillId="3" borderId="0" xfId="0" applyFont="1" applyFill="1" applyBorder="1" applyAlignment="1" applyProtection="1">
      <alignment horizontal="center"/>
      <protection locked="0"/>
    </xf>
    <xf numFmtId="0" fontId="4" fillId="0" borderId="0" xfId="0" applyFont="1" applyFill="1" applyProtection="1"/>
    <xf numFmtId="0" fontId="4" fillId="0" borderId="0" xfId="0" applyFont="1" applyProtection="1"/>
    <xf numFmtId="0" fontId="0" fillId="0" borderId="0" xfId="0"/>
    <xf numFmtId="0" fontId="4" fillId="0" borderId="0" xfId="0" applyFont="1"/>
    <xf numFmtId="0" fontId="0" fillId="0" borderId="0" xfId="0" applyAlignment="1">
      <alignment vertical="center"/>
    </xf>
    <xf numFmtId="0" fontId="4" fillId="0" borderId="0" xfId="0" applyFont="1" applyBorder="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 xfId="0" applyBorder="1" applyAlignment="1">
      <alignment horizontal="center" vertical="center"/>
    </xf>
    <xf numFmtId="0" fontId="4" fillId="0" borderId="22" xfId="0" applyFont="1" applyBorder="1" applyAlignment="1">
      <alignment horizontal="center" vertical="center"/>
    </xf>
    <xf numFmtId="0" fontId="0" fillId="0" borderId="9" xfId="0" applyBorder="1" applyAlignment="1">
      <alignment horizontal="center" vertical="center"/>
    </xf>
    <xf numFmtId="0" fontId="4" fillId="0" borderId="0" xfId="2" applyFont="1"/>
    <xf numFmtId="0" fontId="4" fillId="0" borderId="0" xfId="0" applyFont="1" applyProtection="1"/>
    <xf numFmtId="0" fontId="0" fillId="0" borderId="54" xfId="0" applyBorder="1" applyAlignment="1">
      <alignment horizontal="center" vertical="center"/>
    </xf>
    <xf numFmtId="5" fontId="4" fillId="0" borderId="0" xfId="0" applyNumberFormat="1" applyFont="1" applyAlignment="1">
      <alignment vertical="center"/>
    </xf>
    <xf numFmtId="0" fontId="0" fillId="0" borderId="47"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4" fillId="0" borderId="0" xfId="0" applyFont="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49" fontId="4" fillId="0" borderId="0" xfId="0" applyNumberFormat="1" applyFont="1"/>
    <xf numFmtId="0" fontId="0" fillId="0" borderId="0" xfId="0" applyFont="1" applyFill="1" applyProtection="1"/>
    <xf numFmtId="0" fontId="5" fillId="0" borderId="0" xfId="2" applyFont="1" applyAlignment="1">
      <alignment horizontal="center"/>
    </xf>
    <xf numFmtId="185" fontId="4" fillId="0" borderId="0" xfId="0" applyNumberFormat="1" applyFont="1" applyFill="1" applyAlignment="1">
      <alignment horizontal="center"/>
    </xf>
    <xf numFmtId="0" fontId="4" fillId="0" borderId="0" xfId="0" applyFont="1" applyFill="1"/>
    <xf numFmtId="185" fontId="0" fillId="0" borderId="0" xfId="0" applyNumberFormat="1" applyFill="1" applyAlignment="1">
      <alignment horizontal="center"/>
    </xf>
    <xf numFmtId="187" fontId="3" fillId="0" borderId="0" xfId="8" applyNumberFormat="1" applyFont="1" applyFill="1" applyAlignment="1">
      <alignment horizontal="center"/>
    </xf>
    <xf numFmtId="0" fontId="0" fillId="0" borderId="0" xfId="0" applyFill="1"/>
    <xf numFmtId="0" fontId="4" fillId="0" borderId="0" xfId="0" applyFont="1" applyAlignment="1">
      <alignment horizontal="center"/>
    </xf>
    <xf numFmtId="187" fontId="1" fillId="0" borderId="0" xfId="8" applyNumberFormat="1" applyFont="1" applyFill="1" applyAlignment="1">
      <alignment horizontal="center"/>
    </xf>
    <xf numFmtId="186" fontId="1" fillId="0" borderId="0" xfId="8" applyNumberFormat="1" applyFont="1" applyFill="1" applyAlignment="1">
      <alignment horizontal="center"/>
    </xf>
    <xf numFmtId="5" fontId="4" fillId="0" borderId="0" xfId="0" applyNumberFormat="1" applyFont="1" applyFill="1" applyAlignment="1">
      <alignment vertical="center"/>
    </xf>
    <xf numFmtId="0" fontId="6" fillId="0" borderId="0" xfId="0" applyFont="1" applyFill="1"/>
    <xf numFmtId="14" fontId="4" fillId="0" borderId="28" xfId="2" quotePrefix="1" applyNumberFormat="1" applyFont="1" applyFill="1" applyBorder="1" applyAlignment="1">
      <alignment vertical="center"/>
    </xf>
    <xf numFmtId="0" fontId="4" fillId="0" borderId="28" xfId="2" applyFont="1" applyFill="1" applyBorder="1" applyAlignment="1">
      <alignment horizontal="center" vertical="center" wrapText="1"/>
    </xf>
    <xf numFmtId="0" fontId="0" fillId="0" borderId="0" xfId="0" applyFill="1" applyProtection="1"/>
    <xf numFmtId="0" fontId="30" fillId="0" borderId="0" xfId="4" applyFont="1"/>
    <xf numFmtId="0" fontId="19" fillId="0" borderId="0" xfId="12" applyFont="1"/>
    <xf numFmtId="0" fontId="19" fillId="0" borderId="0" xfId="14" applyFont="1"/>
    <xf numFmtId="0" fontId="6" fillId="0" borderId="28" xfId="2" applyFont="1" applyBorder="1" applyAlignment="1">
      <alignment horizontal="left" vertical="center"/>
    </xf>
    <xf numFmtId="0" fontId="8" fillId="0" borderId="0" xfId="2" applyFont="1"/>
    <xf numFmtId="0" fontId="8" fillId="0" borderId="0" xfId="1" applyFont="1"/>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14" borderId="0" xfId="0" applyFill="1" applyProtection="1"/>
    <xf numFmtId="0" fontId="4" fillId="14" borderId="0" xfId="0" applyFont="1" applyFill="1" applyProtection="1"/>
    <xf numFmtId="0" fontId="0" fillId="14" borderId="0" xfId="0" applyFont="1" applyFill="1" applyProtection="1"/>
    <xf numFmtId="0" fontId="6" fillId="14" borderId="0" xfId="0" applyFont="1" applyFill="1" applyProtection="1"/>
    <xf numFmtId="5" fontId="0" fillId="14" borderId="29" xfId="0" applyNumberFormat="1" applyFill="1" applyBorder="1" applyAlignment="1">
      <alignment vertical="center"/>
    </xf>
    <xf numFmtId="5" fontId="0" fillId="14" borderId="30" xfId="0" applyNumberFormat="1" applyFill="1" applyBorder="1" applyAlignment="1">
      <alignment vertical="center"/>
    </xf>
    <xf numFmtId="5" fontId="0" fillId="14" borderId="36" xfId="0" applyNumberFormat="1" applyFill="1" applyBorder="1" applyAlignment="1">
      <alignment vertical="center"/>
    </xf>
    <xf numFmtId="20" fontId="0" fillId="14" borderId="11" xfId="0" quotePrefix="1" applyNumberFormat="1" applyFill="1" applyBorder="1" applyAlignment="1">
      <alignment horizontal="center" vertical="center"/>
    </xf>
    <xf numFmtId="5" fontId="0" fillId="14" borderId="55" xfId="0" applyNumberFormat="1" applyFill="1" applyBorder="1" applyAlignment="1">
      <alignment vertical="center"/>
    </xf>
    <xf numFmtId="5" fontId="0" fillId="14" borderId="32" xfId="0" applyNumberFormat="1" applyFill="1" applyBorder="1" applyAlignment="1">
      <alignment vertical="center"/>
    </xf>
    <xf numFmtId="5" fontId="0" fillId="14" borderId="56" xfId="0" applyNumberFormat="1" applyFill="1" applyBorder="1" applyAlignment="1">
      <alignment vertical="center"/>
    </xf>
    <xf numFmtId="20" fontId="0" fillId="14" borderId="52" xfId="0" quotePrefix="1" applyNumberFormat="1" applyFill="1" applyBorder="1" applyAlignment="1">
      <alignment horizontal="center" vertical="center"/>
    </xf>
    <xf numFmtId="20" fontId="4" fillId="14" borderId="52" xfId="0" quotePrefix="1" applyNumberFormat="1" applyFont="1" applyFill="1" applyBorder="1" applyAlignment="1">
      <alignment horizontal="center" vertical="center"/>
    </xf>
    <xf numFmtId="5" fontId="0" fillId="14" borderId="31" xfId="0" applyNumberFormat="1" applyFill="1" applyBorder="1" applyAlignment="1">
      <alignment vertical="center"/>
    </xf>
    <xf numFmtId="5" fontId="0" fillId="14" borderId="37" xfId="0" applyNumberFormat="1" applyFill="1" applyBorder="1" applyAlignment="1">
      <alignment vertical="center"/>
    </xf>
    <xf numFmtId="0" fontId="0" fillId="14" borderId="13" xfId="0" applyFill="1" applyBorder="1" applyAlignment="1">
      <alignment horizontal="center" vertical="center"/>
    </xf>
    <xf numFmtId="0" fontId="0" fillId="14" borderId="16" xfId="0" applyFill="1" applyBorder="1" applyAlignment="1">
      <alignment vertical="center"/>
    </xf>
    <xf numFmtId="5" fontId="0" fillId="14" borderId="33" xfId="0" applyNumberFormat="1" applyFill="1" applyBorder="1" applyAlignment="1">
      <alignment vertical="center"/>
    </xf>
    <xf numFmtId="0" fontId="0" fillId="14" borderId="38" xfId="0" applyFill="1" applyBorder="1" applyAlignment="1">
      <alignment vertical="center"/>
    </xf>
    <xf numFmtId="0" fontId="0" fillId="14" borderId="15" xfId="0" applyFill="1" applyBorder="1" applyAlignment="1">
      <alignment horizontal="center" vertical="center"/>
    </xf>
    <xf numFmtId="0" fontId="0" fillId="14" borderId="29" xfId="0" applyFill="1" applyBorder="1" applyAlignment="1">
      <alignment vertical="center"/>
    </xf>
    <xf numFmtId="0" fontId="0" fillId="14" borderId="36" xfId="0" applyFill="1" applyBorder="1" applyAlignment="1">
      <alignment vertical="center"/>
    </xf>
    <xf numFmtId="0" fontId="0" fillId="14" borderId="11" xfId="0" applyFill="1" applyBorder="1" applyAlignment="1">
      <alignment horizontal="center" vertical="center"/>
    </xf>
    <xf numFmtId="0" fontId="0" fillId="14" borderId="31" xfId="0" applyFill="1" applyBorder="1" applyAlignment="1">
      <alignment vertical="center"/>
    </xf>
    <xf numFmtId="0" fontId="0" fillId="14" borderId="37" xfId="0" applyFill="1" applyBorder="1" applyAlignment="1">
      <alignment vertical="center"/>
    </xf>
    <xf numFmtId="0" fontId="6" fillId="14" borderId="34" xfId="0" applyFont="1" applyFill="1" applyBorder="1" applyAlignment="1">
      <alignment vertical="center"/>
    </xf>
    <xf numFmtId="5" fontId="6" fillId="14" borderId="35" xfId="0" applyNumberFormat="1" applyFont="1" applyFill="1" applyBorder="1" applyAlignment="1">
      <alignment vertical="center"/>
    </xf>
    <xf numFmtId="0" fontId="6" fillId="14" borderId="39" xfId="0" applyFont="1" applyFill="1" applyBorder="1" applyAlignment="1">
      <alignment vertical="center"/>
    </xf>
    <xf numFmtId="0" fontId="0" fillId="14" borderId="23" xfId="0" applyFill="1" applyBorder="1" applyAlignment="1">
      <alignment horizontal="center" vertical="center" wrapText="1"/>
    </xf>
    <xf numFmtId="0" fontId="0" fillId="14" borderId="0" xfId="0" applyFill="1"/>
    <xf numFmtId="0" fontId="0" fillId="14" borderId="40" xfId="0" applyFill="1" applyBorder="1"/>
    <xf numFmtId="0" fontId="6" fillId="14" borderId="23" xfId="0" applyFont="1" applyFill="1" applyBorder="1" applyAlignment="1">
      <alignment horizontal="center"/>
    </xf>
    <xf numFmtId="5" fontId="0" fillId="14" borderId="10" xfId="0" applyNumberFormat="1" applyFill="1" applyBorder="1" applyAlignment="1">
      <alignment vertical="center"/>
    </xf>
    <xf numFmtId="0" fontId="4" fillId="14" borderId="11" xfId="0" applyFont="1" applyFill="1" applyBorder="1" applyAlignment="1">
      <alignment horizontal="center" vertical="center" wrapText="1"/>
    </xf>
    <xf numFmtId="5" fontId="7" fillId="14" borderId="12" xfId="0" applyNumberFormat="1" applyFont="1" applyFill="1" applyBorder="1" applyAlignment="1">
      <alignment vertical="center"/>
    </xf>
    <xf numFmtId="0" fontId="7" fillId="14" borderId="15" xfId="0" applyFont="1" applyFill="1" applyBorder="1" applyAlignment="1">
      <alignment horizontal="center" vertical="center" wrapText="1"/>
    </xf>
    <xf numFmtId="5" fontId="6" fillId="14" borderId="10" xfId="0" applyNumberFormat="1" applyFont="1" applyFill="1" applyBorder="1" applyAlignment="1">
      <alignment vertical="center"/>
    </xf>
    <xf numFmtId="0" fontId="0" fillId="14" borderId="11" xfId="0" applyFill="1" applyBorder="1" applyAlignment="1">
      <alignment horizontal="center" vertical="center" wrapText="1"/>
    </xf>
    <xf numFmtId="169" fontId="0" fillId="14" borderId="14" xfId="0" applyNumberFormat="1" applyFill="1" applyBorder="1" applyAlignment="1">
      <alignment vertical="center"/>
    </xf>
    <xf numFmtId="5" fontId="0" fillId="14" borderId="14" xfId="0" applyNumberFormat="1" applyFill="1" applyBorder="1" applyAlignment="1">
      <alignment horizontal="right" vertical="center"/>
    </xf>
    <xf numFmtId="0" fontId="4" fillId="14" borderId="11" xfId="0" applyFont="1" applyFill="1" applyBorder="1" applyAlignment="1">
      <alignment horizontal="center" vertical="center"/>
    </xf>
    <xf numFmtId="5" fontId="0" fillId="14" borderId="14" xfId="0" applyNumberFormat="1" applyFill="1" applyBorder="1" applyAlignment="1">
      <alignment vertical="center"/>
    </xf>
    <xf numFmtId="5" fontId="0" fillId="14" borderId="24" xfId="0" applyNumberFormat="1" applyFill="1" applyBorder="1" applyAlignment="1">
      <alignment vertical="center"/>
    </xf>
    <xf numFmtId="0" fontId="0" fillId="14" borderId="23" xfId="0" applyFill="1" applyBorder="1" applyAlignment="1">
      <alignment horizontal="center" vertical="center"/>
    </xf>
    <xf numFmtId="5" fontId="6" fillId="14" borderId="34" xfId="0" applyNumberFormat="1" applyFont="1" applyFill="1" applyBorder="1" applyAlignment="1">
      <alignment vertical="center"/>
    </xf>
    <xf numFmtId="5" fontId="6" fillId="14" borderId="39" xfId="0" applyNumberFormat="1" applyFont="1" applyFill="1" applyBorder="1" applyAlignment="1">
      <alignment vertical="center"/>
    </xf>
    <xf numFmtId="0" fontId="7" fillId="14" borderId="23" xfId="0" applyFont="1" applyFill="1" applyBorder="1" applyAlignment="1">
      <alignment horizontal="center" vertical="center"/>
    </xf>
    <xf numFmtId="0" fontId="32" fillId="0" borderId="0" xfId="0" applyFont="1" applyAlignment="1">
      <alignment horizontal="center"/>
    </xf>
    <xf numFmtId="0" fontId="7" fillId="0" borderId="0" xfId="2" applyFont="1" applyFill="1"/>
    <xf numFmtId="0" fontId="19" fillId="0" borderId="0" xfId="1" applyFill="1"/>
    <xf numFmtId="189" fontId="4" fillId="0" borderId="0" xfId="0" quotePrefix="1" applyNumberFormat="1" applyFont="1" applyAlignment="1" applyProtection="1">
      <alignment horizontal="center"/>
    </xf>
    <xf numFmtId="183" fontId="4" fillId="0" borderId="0" xfId="0" quotePrefix="1" applyNumberFormat="1" applyFont="1" applyProtection="1"/>
    <xf numFmtId="183" fontId="4" fillId="0" borderId="0" xfId="0" quotePrefix="1" applyNumberFormat="1" applyFont="1" applyAlignment="1" applyProtection="1">
      <alignment horizontal="right"/>
    </xf>
    <xf numFmtId="189" fontId="4" fillId="0" borderId="0" xfId="0" quotePrefix="1" applyNumberFormat="1" applyFont="1" applyAlignment="1" applyProtection="1">
      <alignment horizontal="right"/>
    </xf>
    <xf numFmtId="189" fontId="0" fillId="0" borderId="0" xfId="0" applyNumberFormat="1"/>
    <xf numFmtId="0" fontId="29" fillId="0" borderId="0" xfId="12" applyFont="1" applyAlignment="1">
      <alignment horizontal="left" vertical="top" wrapText="1"/>
    </xf>
    <xf numFmtId="0" fontId="6" fillId="0" borderId="46" xfId="2" applyFont="1" applyBorder="1" applyAlignment="1">
      <alignment horizontal="left" vertical="center"/>
    </xf>
    <xf numFmtId="0" fontId="6" fillId="0" borderId="35" xfId="2" applyFont="1" applyBorder="1" applyAlignment="1">
      <alignment horizontal="left" vertical="center"/>
    </xf>
    <xf numFmtId="0" fontId="6" fillId="0" borderId="25" xfId="2" applyFont="1" applyBorder="1" applyAlignment="1">
      <alignment horizontal="left" vertical="center"/>
    </xf>
    <xf numFmtId="0" fontId="6" fillId="2" borderId="46" xfId="0" applyFont="1" applyFill="1" applyBorder="1" applyAlignment="1" applyProtection="1">
      <alignment horizontal="center"/>
    </xf>
    <xf numFmtId="0" fontId="6" fillId="2" borderId="35" xfId="0" applyFont="1" applyFill="1" applyBorder="1" applyAlignment="1" applyProtection="1">
      <alignment horizontal="center"/>
    </xf>
    <xf numFmtId="0" fontId="6" fillId="2" borderId="25" xfId="0" applyFont="1" applyFill="1" applyBorder="1" applyAlignment="1" applyProtection="1">
      <alignment horizontal="center"/>
    </xf>
    <xf numFmtId="10" fontId="16" fillId="3" borderId="0" xfId="0" applyNumberFormat="1" applyFont="1" applyFill="1" applyAlignment="1" applyProtection="1">
      <alignment horizontal="right"/>
      <protection locked="0"/>
    </xf>
    <xf numFmtId="173" fontId="16" fillId="3" borderId="0" xfId="0" applyNumberFormat="1" applyFont="1" applyFill="1" applyAlignment="1" applyProtection="1">
      <protection locked="0"/>
    </xf>
    <xf numFmtId="5" fontId="16" fillId="3" borderId="0" xfId="0" applyNumberFormat="1" applyFont="1" applyFill="1" applyAlignment="1" applyProtection="1">
      <protection locked="0"/>
    </xf>
    <xf numFmtId="5" fontId="4" fillId="0" borderId="26" xfId="0" applyNumberFormat="1" applyFont="1" applyFill="1" applyBorder="1" applyAlignment="1" applyProtection="1"/>
    <xf numFmtId="183" fontId="16" fillId="3" borderId="0" xfId="0" applyNumberFormat="1" applyFont="1" applyFill="1" applyAlignment="1" applyProtection="1">
      <alignment horizontal="right"/>
      <protection locked="0"/>
    </xf>
    <xf numFmtId="0" fontId="16" fillId="3" borderId="0" xfId="0" applyFont="1" applyFill="1" applyAlignment="1" applyProtection="1">
      <alignment horizontal="left"/>
      <protection locked="0"/>
    </xf>
    <xf numFmtId="0" fontId="6" fillId="0" borderId="0" xfId="0" applyFont="1" applyAlignment="1" applyProtection="1">
      <alignment horizontal="center"/>
    </xf>
    <xf numFmtId="5" fontId="16" fillId="3" borderId="0" xfId="0" applyNumberFormat="1" applyFont="1" applyFill="1" applyBorder="1" applyAlignment="1" applyProtection="1">
      <protection locked="0"/>
    </xf>
    <xf numFmtId="1" fontId="16" fillId="3" borderId="0" xfId="0" applyNumberFormat="1" applyFont="1" applyFill="1" applyAlignment="1" applyProtection="1">
      <alignment horizontal="right"/>
      <protection locked="0"/>
    </xf>
    <xf numFmtId="0" fontId="16" fillId="3" borderId="0" xfId="0" applyFont="1" applyFill="1" applyAlignment="1" applyProtection="1">
      <alignment horizontal="center"/>
      <protection locked="0"/>
    </xf>
    <xf numFmtId="0" fontId="16" fillId="3" borderId="0" xfId="0" applyFont="1" applyFill="1" applyBorder="1" applyAlignment="1" applyProtection="1">
      <alignment horizontal="center"/>
      <protection locked="0"/>
    </xf>
    <xf numFmtId="5" fontId="16" fillId="3" borderId="0" xfId="0" applyNumberFormat="1" applyFont="1" applyFill="1" applyBorder="1" applyAlignment="1" applyProtection="1">
      <alignment horizontal="center"/>
      <protection locked="0"/>
    </xf>
    <xf numFmtId="0" fontId="32" fillId="0" borderId="0" xfId="0" applyFont="1" applyAlignment="1" applyProtection="1">
      <alignment horizontal="center"/>
    </xf>
    <xf numFmtId="0" fontId="17" fillId="3" borderId="0" xfId="0" applyFont="1" applyFill="1" applyAlignment="1" applyProtection="1">
      <alignment horizontal="left"/>
      <protection locked="0"/>
    </xf>
    <xf numFmtId="0" fontId="16" fillId="3" borderId="0" xfId="0" applyFont="1" applyFill="1" applyAlignment="1" applyProtection="1">
      <alignment horizontal="right"/>
      <protection locked="0"/>
    </xf>
    <xf numFmtId="183" fontId="16" fillId="3" borderId="0" xfId="0" applyNumberFormat="1" applyFont="1" applyFill="1" applyAlignment="1" applyProtection="1">
      <alignment horizontal="left"/>
      <protection locked="0"/>
    </xf>
    <xf numFmtId="0" fontId="6" fillId="0" borderId="46" xfId="0" applyFont="1" applyBorder="1" applyAlignment="1" applyProtection="1">
      <alignment horizontal="center"/>
    </xf>
    <xf numFmtId="0" fontId="6" fillId="0" borderId="35" xfId="0" applyFont="1" applyBorder="1" applyAlignment="1" applyProtection="1">
      <alignment horizontal="center"/>
    </xf>
    <xf numFmtId="0" fontId="6" fillId="0" borderId="25" xfId="0" applyFont="1" applyBorder="1" applyAlignment="1" applyProtection="1">
      <alignment horizontal="center"/>
    </xf>
    <xf numFmtId="0" fontId="6" fillId="0" borderId="49" xfId="0" applyFont="1" applyBorder="1" applyAlignment="1" applyProtection="1">
      <alignment horizontal="center"/>
    </xf>
    <xf numFmtId="0" fontId="6" fillId="0" borderId="36" xfId="0" applyFont="1" applyBorder="1" applyAlignment="1" applyProtection="1">
      <alignment horizontal="center"/>
    </xf>
    <xf numFmtId="0" fontId="6" fillId="0" borderId="30" xfId="0" applyFont="1" applyBorder="1" applyAlignment="1" applyProtection="1">
      <alignment horizontal="center"/>
    </xf>
    <xf numFmtId="0" fontId="31" fillId="0" borderId="0" xfId="0" applyFont="1" applyAlignment="1">
      <alignment horizontal="center"/>
    </xf>
    <xf numFmtId="0" fontId="4" fillId="14" borderId="10" xfId="0" applyFont="1" applyFill="1" applyBorder="1" applyAlignment="1">
      <alignment horizontal="left" vertical="center" wrapText="1"/>
    </xf>
    <xf numFmtId="0" fontId="7" fillId="14" borderId="10" xfId="0" applyFont="1" applyFill="1" applyBorder="1" applyAlignment="1">
      <alignment horizontal="left" vertical="center" wrapText="1"/>
    </xf>
    <xf numFmtId="0" fontId="0" fillId="14" borderId="29" xfId="0" applyFill="1" applyBorder="1" applyAlignment="1">
      <alignment horizontal="left" vertical="center" wrapText="1"/>
    </xf>
    <xf numFmtId="0" fontId="0" fillId="14" borderId="36" xfId="0" applyFill="1" applyBorder="1" applyAlignment="1">
      <alignment horizontal="left" vertical="center"/>
    </xf>
    <xf numFmtId="176" fontId="7" fillId="14" borderId="29" xfId="0" applyNumberFormat="1" applyFont="1" applyFill="1" applyBorder="1" applyAlignment="1">
      <alignment horizontal="right" vertical="center" wrapText="1"/>
    </xf>
    <xf numFmtId="176" fontId="7" fillId="14" borderId="36" xfId="0" applyNumberFormat="1" applyFont="1" applyFill="1" applyBorder="1" applyAlignment="1">
      <alignment horizontal="right" vertical="center" wrapText="1"/>
    </xf>
    <xf numFmtId="0" fontId="7" fillId="14" borderId="12" xfId="0" applyFont="1" applyFill="1" applyBorder="1" applyAlignment="1">
      <alignment horizontal="left" vertical="center" wrapText="1"/>
    </xf>
    <xf numFmtId="176" fontId="6" fillId="14" borderId="10" xfId="0" applyNumberFormat="1" applyFont="1" applyFill="1" applyBorder="1" applyAlignment="1">
      <alignment horizontal="right" vertical="center"/>
    </xf>
    <xf numFmtId="0" fontId="6" fillId="14" borderId="10" xfId="0" applyFont="1" applyFill="1" applyBorder="1" applyAlignment="1">
      <alignment horizontal="left" vertical="center" wrapText="1"/>
    </xf>
    <xf numFmtId="0" fontId="6" fillId="0" borderId="0" xfId="0" applyFont="1" applyAlignment="1">
      <alignment horizontal="left"/>
    </xf>
    <xf numFmtId="0" fontId="0" fillId="0" borderId="0" xfId="0" applyAlignment="1">
      <alignment horizontal="left"/>
    </xf>
    <xf numFmtId="175" fontId="0" fillId="0" borderId="0" xfId="0" applyNumberFormat="1" applyAlignment="1">
      <alignment horizontal="left"/>
    </xf>
    <xf numFmtId="0" fontId="6" fillId="0" borderId="24" xfId="0" applyFont="1" applyBorder="1" applyAlignment="1">
      <alignment horizontal="center"/>
    </xf>
    <xf numFmtId="0" fontId="6" fillId="14" borderId="34" xfId="0" applyFont="1" applyFill="1" applyBorder="1" applyAlignment="1">
      <alignment horizontal="left" vertical="center" wrapText="1"/>
    </xf>
    <xf numFmtId="0" fontId="6" fillId="14" borderId="35" xfId="0" applyFont="1" applyFill="1" applyBorder="1" applyAlignment="1">
      <alignment horizontal="left" vertical="center" wrapText="1"/>
    </xf>
    <xf numFmtId="0" fontId="6" fillId="14" borderId="39" xfId="0" applyFont="1" applyFill="1" applyBorder="1" applyAlignment="1">
      <alignment horizontal="left" vertical="center" wrapText="1"/>
    </xf>
    <xf numFmtId="0" fontId="6" fillId="0" borderId="0" xfId="0" applyFont="1" applyBorder="1" applyAlignment="1">
      <alignment horizontal="left" vertical="center" wrapText="1"/>
    </xf>
    <xf numFmtId="0" fontId="7" fillId="0" borderId="26" xfId="0" applyFont="1" applyBorder="1" applyAlignment="1">
      <alignment horizontal="left" vertical="center" wrapText="1"/>
    </xf>
    <xf numFmtId="176" fontId="7" fillId="14" borderId="12" xfId="0" applyNumberFormat="1" applyFont="1" applyFill="1" applyBorder="1" applyAlignment="1">
      <alignment horizontal="right" vertical="center" wrapText="1"/>
    </xf>
    <xf numFmtId="0" fontId="0" fillId="14" borderId="14" xfId="0" applyFill="1" applyBorder="1" applyAlignment="1">
      <alignment horizontal="left" vertical="center" wrapText="1"/>
    </xf>
    <xf numFmtId="0" fontId="0" fillId="14" borderId="24" xfId="0" applyFill="1" applyBorder="1" applyAlignment="1">
      <alignment horizontal="left" vertical="center" wrapText="1"/>
    </xf>
    <xf numFmtId="0" fontId="4" fillId="14" borderId="24" xfId="0" applyFont="1" applyFill="1" applyBorder="1" applyAlignment="1">
      <alignment horizontal="left" vertical="center" wrapText="1"/>
    </xf>
    <xf numFmtId="0" fontId="4" fillId="14" borderId="14" xfId="0" applyFont="1" applyFill="1" applyBorder="1" applyAlignment="1">
      <alignment horizontal="left" vertical="center" wrapText="1"/>
    </xf>
    <xf numFmtId="0" fontId="4" fillId="14" borderId="14" xfId="0" applyFont="1" applyFill="1" applyBorder="1" applyAlignment="1">
      <alignment horizontal="left" vertical="center"/>
    </xf>
    <xf numFmtId="0" fontId="0" fillId="14" borderId="14" xfId="0" applyFill="1" applyBorder="1" applyAlignment="1">
      <alignment horizontal="left" vertical="center"/>
    </xf>
    <xf numFmtId="0" fontId="0" fillId="14" borderId="10" xfId="0" applyFill="1" applyBorder="1" applyAlignment="1">
      <alignment horizontal="left" vertical="center" wrapText="1"/>
    </xf>
    <xf numFmtId="0" fontId="7" fillId="14" borderId="50" xfId="0" applyFont="1" applyFill="1" applyBorder="1" applyAlignment="1">
      <alignment horizontal="center" vertical="center" wrapText="1"/>
    </xf>
    <xf numFmtId="0" fontId="7" fillId="14" borderId="51" xfId="0" applyFont="1" applyFill="1" applyBorder="1" applyAlignment="1">
      <alignment horizontal="center" vertical="center" wrapText="1"/>
    </xf>
    <xf numFmtId="0" fontId="7" fillId="14" borderId="48"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0" fillId="0" borderId="24" xfId="0" applyBorder="1"/>
    <xf numFmtId="0" fontId="0" fillId="14" borderId="12" xfId="0" applyFill="1" applyBorder="1" applyAlignment="1">
      <alignment horizontal="left" vertical="center" wrapText="1"/>
    </xf>
    <xf numFmtId="0" fontId="4" fillId="14" borderId="12" xfId="0" applyFont="1" applyFill="1" applyBorder="1" applyAlignment="1">
      <alignment horizontal="left" vertical="center" wrapText="1"/>
    </xf>
    <xf numFmtId="0" fontId="4" fillId="14" borderId="31" xfId="0" applyFont="1" applyFill="1" applyBorder="1" applyAlignment="1">
      <alignment horizontal="left" vertical="center" wrapText="1"/>
    </xf>
    <xf numFmtId="0" fontId="4" fillId="14" borderId="37" xfId="0" applyFont="1" applyFill="1" applyBorder="1" applyAlignment="1">
      <alignment horizontal="left" vertical="center" wrapText="1"/>
    </xf>
    <xf numFmtId="0" fontId="4" fillId="14" borderId="32" xfId="0" applyFont="1" applyFill="1" applyBorder="1" applyAlignment="1">
      <alignment horizontal="left" vertical="center" wrapText="1"/>
    </xf>
    <xf numFmtId="0" fontId="4" fillId="14" borderId="31" xfId="0" applyFont="1" applyFill="1" applyBorder="1" applyAlignment="1">
      <alignment horizontal="center" vertical="center" wrapText="1"/>
    </xf>
    <xf numFmtId="0" fontId="4" fillId="14" borderId="37" xfId="0" applyFont="1" applyFill="1" applyBorder="1" applyAlignment="1">
      <alignment horizontal="center" vertical="center" wrapText="1"/>
    </xf>
    <xf numFmtId="0" fontId="6" fillId="14" borderId="8"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1" xfId="0" applyFont="1" applyFill="1" applyBorder="1" applyAlignment="1">
      <alignment horizontal="center" vertical="center" wrapText="1"/>
    </xf>
    <xf numFmtId="0" fontId="6" fillId="14" borderId="45"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0" fillId="14" borderId="37" xfId="0" applyFill="1" applyBorder="1" applyAlignment="1">
      <alignment horizontal="left" vertical="center" wrapText="1"/>
    </xf>
    <xf numFmtId="0" fontId="6" fillId="14" borderId="24" xfId="0" applyFont="1" applyFill="1" applyBorder="1" applyAlignment="1">
      <alignment horizontal="left" vertical="center" wrapText="1"/>
    </xf>
    <xf numFmtId="0" fontId="7" fillId="14" borderId="24" xfId="0" applyFont="1" applyFill="1" applyBorder="1" applyAlignment="1">
      <alignment horizontal="left" vertical="center" wrapText="1"/>
    </xf>
    <xf numFmtId="0" fontId="6" fillId="14" borderId="24" xfId="0" applyFont="1" applyFill="1" applyBorder="1" applyAlignment="1">
      <alignment horizontal="center"/>
    </xf>
    <xf numFmtId="0" fontId="32" fillId="0" borderId="0" xfId="0" applyFont="1" applyAlignment="1">
      <alignment horizontal="center"/>
    </xf>
    <xf numFmtId="0" fontId="6" fillId="0" borderId="49" xfId="0" applyFont="1" applyBorder="1" applyAlignment="1">
      <alignment horizontal="center"/>
    </xf>
    <xf numFmtId="0" fontId="6" fillId="0" borderId="36" xfId="0" applyFont="1" applyBorder="1" applyAlignment="1">
      <alignment horizontal="center"/>
    </xf>
    <xf numFmtId="0" fontId="6" fillId="2" borderId="46" xfId="0" applyFont="1" applyFill="1" applyBorder="1" applyAlignment="1">
      <alignment horizontal="center"/>
    </xf>
    <xf numFmtId="0" fontId="6" fillId="2" borderId="35" xfId="0" applyFont="1" applyFill="1" applyBorder="1" applyAlignment="1">
      <alignment horizontal="center"/>
    </xf>
    <xf numFmtId="0" fontId="6" fillId="2" borderId="25" xfId="0" applyFont="1" applyFill="1" applyBorder="1" applyAlignment="1">
      <alignment horizontal="center"/>
    </xf>
    <xf numFmtId="5" fontId="6" fillId="0" borderId="46" xfId="0" applyNumberFormat="1" applyFont="1" applyFill="1" applyBorder="1" applyAlignment="1">
      <alignment horizontal="center"/>
    </xf>
    <xf numFmtId="5" fontId="6" fillId="0" borderId="35" xfId="0" applyNumberFormat="1" applyFont="1" applyFill="1" applyBorder="1" applyAlignment="1">
      <alignment horizontal="center"/>
    </xf>
    <xf numFmtId="5" fontId="6" fillId="0" borderId="25" xfId="0" applyNumberFormat="1" applyFont="1" applyFill="1" applyBorder="1" applyAlignment="1">
      <alignment horizontal="center"/>
    </xf>
    <xf numFmtId="5" fontId="8" fillId="2" borderId="4" xfId="0" applyNumberFormat="1" applyFont="1" applyFill="1" applyBorder="1" applyAlignment="1">
      <alignment horizontal="center" vertical="center" wrapText="1"/>
    </xf>
    <xf numFmtId="5" fontId="8" fillId="2" borderId="45" xfId="0" applyNumberFormat="1" applyFont="1" applyFill="1" applyBorder="1" applyAlignment="1">
      <alignment horizontal="center" vertical="center" wrapText="1"/>
    </xf>
    <xf numFmtId="5" fontId="8" fillId="2" borderId="52" xfId="0" applyNumberFormat="1" applyFont="1" applyFill="1" applyBorder="1" applyAlignment="1">
      <alignment horizontal="center" vertical="center" wrapText="1"/>
    </xf>
    <xf numFmtId="0" fontId="6" fillId="0" borderId="46" xfId="0" applyFont="1" applyFill="1" applyBorder="1" applyAlignment="1">
      <alignment horizontal="center"/>
    </xf>
    <xf numFmtId="0" fontId="6" fillId="0" borderId="35" xfId="0" applyFont="1" applyFill="1" applyBorder="1" applyAlignment="1">
      <alignment horizontal="center"/>
    </xf>
    <xf numFmtId="0" fontId="6" fillId="0" borderId="25" xfId="0" applyFont="1" applyFill="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2" borderId="22" xfId="0" applyFont="1" applyFill="1" applyBorder="1" applyAlignment="1">
      <alignment horizontal="center"/>
    </xf>
    <xf numFmtId="0" fontId="6" fillId="2" borderId="23" xfId="0" applyFont="1" applyFill="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6" fillId="0" borderId="12" xfId="0" applyFont="1" applyBorder="1" applyAlignment="1">
      <alignment horizontal="center"/>
    </xf>
    <xf numFmtId="0" fontId="6" fillId="0" borderId="1" xfId="0" applyFont="1" applyBorder="1" applyAlignment="1">
      <alignment horizontal="center"/>
    </xf>
    <xf numFmtId="0" fontId="6" fillId="0" borderId="14" xfId="0" applyFont="1" applyBorder="1" applyAlignment="1">
      <alignment horizontal="center"/>
    </xf>
    <xf numFmtId="0" fontId="11" fillId="0" borderId="0" xfId="0" applyFont="1" applyAlignment="1">
      <alignment horizontal="center"/>
    </xf>
    <xf numFmtId="0" fontId="0" fillId="0" borderId="0" xfId="0" applyAlignment="1"/>
    <xf numFmtId="180" fontId="0" fillId="0" borderId="24" xfId="0" applyNumberFormat="1" applyBorder="1" applyAlignment="1">
      <alignment horizontal="center"/>
    </xf>
    <xf numFmtId="172" fontId="0" fillId="0" borderId="10" xfId="0" applyNumberFormat="1" applyBorder="1" applyAlignment="1">
      <alignment horizontal="center"/>
    </xf>
    <xf numFmtId="182" fontId="0" fillId="0" borderId="12" xfId="0" applyNumberFormat="1" applyBorder="1" applyAlignment="1">
      <alignment horizontal="center"/>
    </xf>
    <xf numFmtId="182" fontId="0" fillId="0" borderId="14" xfId="0" applyNumberFormat="1" applyBorder="1" applyAlignment="1">
      <alignment horizontal="center"/>
    </xf>
    <xf numFmtId="0" fontId="6" fillId="0" borderId="30" xfId="0" applyFont="1" applyBorder="1" applyAlignment="1">
      <alignment horizontal="center"/>
    </xf>
    <xf numFmtId="0" fontId="6" fillId="0" borderId="53" xfId="0" applyFont="1" applyBorder="1" applyAlignment="1">
      <alignment horizontal="center"/>
    </xf>
    <xf numFmtId="0" fontId="6" fillId="0" borderId="29" xfId="0" applyFont="1" applyBorder="1" applyAlignment="1">
      <alignment horizontal="center"/>
    </xf>
    <xf numFmtId="172" fontId="0" fillId="0" borderId="12" xfId="0" applyNumberFormat="1" applyBorder="1" applyAlignment="1">
      <alignment horizontal="center"/>
    </xf>
    <xf numFmtId="179" fontId="0" fillId="0" borderId="12" xfId="0" applyNumberFormat="1" applyBorder="1" applyAlignment="1">
      <alignment horizontal="center"/>
    </xf>
    <xf numFmtId="0" fontId="0" fillId="0" borderId="24" xfId="0" applyBorder="1" applyAlignment="1">
      <alignment horizontal="center"/>
    </xf>
    <xf numFmtId="179" fontId="0" fillId="0" borderId="14" xfId="0" applyNumberFormat="1" applyBorder="1" applyAlignment="1">
      <alignment horizontal="center"/>
    </xf>
  </cellXfs>
  <cellStyles count="15">
    <cellStyle name="Between Paragraphs" xfId="1" xr:uid="{00000000-0005-0000-0000-000000000000}"/>
    <cellStyle name="Comma 2" xfId="7" xr:uid="{00000000-0005-0000-0000-000001000000}"/>
    <cellStyle name="Comma 2 2" xfId="10" xr:uid="{00000000-0005-0000-0000-000002000000}"/>
    <cellStyle name="Currency 2" xfId="8" xr:uid="{00000000-0005-0000-0000-000003000000}"/>
    <cellStyle name="Currency 2 2" xfId="11" xr:uid="{00000000-0005-0000-0000-000004000000}"/>
    <cellStyle name="Fact Sheet Body Text" xfId="2" xr:uid="{00000000-0005-0000-0000-000005000000}"/>
    <cellStyle name="Fact Sheet Body Text 2" xfId="14" xr:uid="{5A042B53-CE1A-40F9-989F-B23168142145}"/>
    <cellStyle name="Fact Sheet Heading 1" xfId="3" xr:uid="{00000000-0005-0000-0000-000006000000}"/>
    <cellStyle name="Fact Sheet Heading 2" xfId="4" xr:uid="{00000000-0005-0000-0000-000007000000}"/>
    <cellStyle name="Fact Sheet Heading 3" xfId="5" xr:uid="{00000000-0005-0000-0000-000008000000}"/>
    <cellStyle name="Normal" xfId="0" builtinId="0"/>
    <cellStyle name="Normal 2" xfId="6" xr:uid="{00000000-0005-0000-0000-00000B000000}"/>
    <cellStyle name="Normal 2 2" xfId="9" xr:uid="{00000000-0005-0000-0000-00000C000000}"/>
    <cellStyle name="Normal 3" xfId="12" xr:uid="{00000000-0005-0000-0000-00000D000000}"/>
    <cellStyle name="Normal 4" xfId="13" xr:uid="{00000000-0005-0000-0000-00000E000000}"/>
  </cellStyles>
  <dxfs count="67">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indexed="65"/>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fill>
    </dxf>
    <dxf>
      <fill>
        <patternFill patternType="lightUp"/>
      </fill>
    </dxf>
    <dxf>
      <font>
        <b/>
        <i val="0"/>
        <condense val="0"/>
        <extend val="0"/>
        <color indexed="9"/>
      </font>
      <fill>
        <patternFill>
          <bgColor indexed="10"/>
        </patternFill>
      </fill>
    </dxf>
    <dxf>
      <border>
        <left style="hair">
          <color indexed="64"/>
        </left>
        <right style="thin">
          <color indexed="64"/>
        </right>
        <top style="thin">
          <color indexed="64"/>
        </top>
        <bottom style="thin">
          <color indexed="64"/>
        </bottom>
      </border>
    </dxf>
    <dxf>
      <border>
        <left/>
        <right style="hair">
          <color indexed="64"/>
        </right>
        <top style="thin">
          <color indexed="64"/>
        </top>
        <bottom style="thin">
          <color indexed="64"/>
        </bottom>
      </border>
    </dxf>
    <dxf>
      <border>
        <left style="hair">
          <color indexed="64"/>
        </left>
        <right style="thin">
          <color indexed="64"/>
        </right>
        <top style="hair">
          <color indexed="64"/>
        </top>
        <bottom style="thin">
          <color indexed="64"/>
        </bottom>
      </border>
    </dxf>
    <dxf>
      <border>
        <left/>
        <right style="hair">
          <color indexed="64"/>
        </right>
        <top style="hair">
          <color indexed="64"/>
        </top>
        <bottom style="thin">
          <color indexed="64"/>
        </bottom>
      </border>
    </dxf>
    <dxf>
      <border>
        <bottom style="hair">
          <color indexed="64"/>
        </bottom>
      </border>
    </dxf>
    <dxf>
      <border>
        <left style="hair">
          <color indexed="64"/>
        </left>
        <right/>
        <top style="thin">
          <color indexed="64"/>
        </top>
        <bottom style="thin">
          <color indexed="64"/>
        </bottom>
      </border>
    </dxf>
    <dxf>
      <border>
        <left style="hair">
          <color indexed="64"/>
        </left>
        <right style="hair">
          <color indexed="64"/>
        </right>
        <top style="thin">
          <color indexed="64"/>
        </top>
        <bottom style="thin">
          <color indexed="64"/>
        </bottom>
      </border>
    </dxf>
    <dxf>
      <border>
        <left style="thin">
          <color indexed="64"/>
        </left>
        <right style="hair">
          <color indexed="64"/>
        </right>
        <top style="thin">
          <color indexed="64"/>
        </top>
        <bottom style="thin">
          <color indexed="64"/>
        </bottom>
      </border>
    </dxf>
    <dxf>
      <border>
        <left style="hair">
          <color indexed="64"/>
        </left>
        <right/>
        <top style="hair">
          <color indexed="64"/>
        </top>
        <bottom style="thin">
          <color indexed="64"/>
        </bottom>
      </border>
    </dxf>
    <dxf>
      <border>
        <left style="hair">
          <color indexed="64"/>
        </left>
        <right style="hair">
          <color indexed="64"/>
        </right>
        <top style="hair">
          <color indexed="64"/>
        </top>
        <bottom style="thin">
          <color indexed="64"/>
        </bottom>
      </border>
    </dxf>
    <dxf>
      <border>
        <left style="thin">
          <color indexed="64"/>
        </left>
        <right style="hair">
          <color indexed="64"/>
        </right>
        <top style="hair">
          <color indexed="64"/>
        </top>
        <bottom style="thin">
          <color indexed="64"/>
        </bottom>
      </border>
    </dxf>
    <dxf>
      <border>
        <left/>
        <right/>
        <top style="thin">
          <color indexed="64"/>
        </top>
        <bottom style="thin">
          <color indexed="64"/>
        </bottom>
      </border>
    </dxf>
    <dxf>
      <border>
        <left/>
        <right/>
        <top style="hair">
          <color indexed="64"/>
        </top>
        <bottom style="thin">
          <color indexed="64"/>
        </bottom>
      </border>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ont>
        <b/>
        <i val="0"/>
        <condense val="0"/>
        <extend val="0"/>
        <color indexed="9"/>
      </font>
      <fill>
        <patternFill>
          <bgColor indexed="10"/>
        </patternFill>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Discounted Incremental Investment</a:t>
            </a:r>
          </a:p>
        </c:rich>
      </c:tx>
      <c:layout>
        <c:manualLayout>
          <c:xMode val="edge"/>
          <c:yMode val="edge"/>
          <c:x val="0.26465943738015313"/>
          <c:y val="3.3742331288343558E-2"/>
        </c:manualLayout>
      </c:layout>
      <c:overlay val="0"/>
      <c:spPr>
        <a:noFill/>
        <a:ln w="25400">
          <a:noFill/>
        </a:ln>
      </c:spPr>
    </c:title>
    <c:autoTitleDeleted val="0"/>
    <c:plotArea>
      <c:layout>
        <c:manualLayout>
          <c:layoutTarget val="inner"/>
          <c:xMode val="edge"/>
          <c:yMode val="edge"/>
          <c:x val="0.10301117321461874"/>
          <c:y val="0.11349693251533742"/>
          <c:w val="0.84944598220054834"/>
          <c:h val="0.78220858895705525"/>
        </c:manualLayout>
      </c:layout>
      <c:barChart>
        <c:barDir val="col"/>
        <c:grouping val="stacked"/>
        <c:varyColors val="0"/>
        <c:ser>
          <c:idx val="0"/>
          <c:order val="0"/>
          <c:tx>
            <c:strRef>
              <c:f>'Discounted Increments'!$K$22</c:f>
              <c:strCache>
                <c:ptCount val="1"/>
                <c:pt idx="0">
                  <c:v>Stage (1)</c:v>
                </c:pt>
              </c:strCache>
            </c:strRef>
          </c:tx>
          <c:spPr>
            <a:solidFill>
              <a:srgbClr val="FF00FF"/>
            </a:solidFill>
            <a:ln w="25400">
              <a:noFill/>
            </a:ln>
          </c:spPr>
          <c:invertIfNegative val="0"/>
          <c:val>
            <c:numRef>
              <c:f>'Discounted Increments'!$K$23:$K$262</c:f>
              <c:numCache>
                <c:formatCode>"$"#,##0_);\("$"#,##0\);"$"0_);@_)</c:formatCode>
                <c:ptCount val="240"/>
                <c:pt idx="0">
                  <c:v>8904.1666666666661</c:v>
                </c:pt>
                <c:pt idx="1">
                  <c:v>8904.1666666666661</c:v>
                </c:pt>
                <c:pt idx="2">
                  <c:v>8904.1666666666661</c:v>
                </c:pt>
                <c:pt idx="3">
                  <c:v>8904.1666666666661</c:v>
                </c:pt>
                <c:pt idx="4">
                  <c:v>8904.1666666666661</c:v>
                </c:pt>
                <c:pt idx="5">
                  <c:v>8904.1666666666661</c:v>
                </c:pt>
                <c:pt idx="6">
                  <c:v>8904.1666666666661</c:v>
                </c:pt>
                <c:pt idx="7">
                  <c:v>8904.1666666666661</c:v>
                </c:pt>
                <c:pt idx="8">
                  <c:v>8904.1666666666661</c:v>
                </c:pt>
                <c:pt idx="9">
                  <c:v>8904.1666666666661</c:v>
                </c:pt>
                <c:pt idx="10">
                  <c:v>8904.1666666666661</c:v>
                </c:pt>
                <c:pt idx="11">
                  <c:v>8904.1666666666661</c:v>
                </c:pt>
                <c:pt idx="12">
                  <c:v>8904.1666666666661</c:v>
                </c:pt>
                <c:pt idx="13">
                  <c:v>8904.1666666666661</c:v>
                </c:pt>
                <c:pt idx="14">
                  <c:v>8904.1666666666661</c:v>
                </c:pt>
                <c:pt idx="15">
                  <c:v>8904.1666666666661</c:v>
                </c:pt>
                <c:pt idx="16">
                  <c:v>8904.1666666666661</c:v>
                </c:pt>
                <c:pt idx="17">
                  <c:v>8904.1666666666661</c:v>
                </c:pt>
                <c:pt idx="18">
                  <c:v>8904.1666666666661</c:v>
                </c:pt>
                <c:pt idx="19">
                  <c:v>8904.1666666666661</c:v>
                </c:pt>
                <c:pt idx="20">
                  <c:v>8904.1666666666661</c:v>
                </c:pt>
                <c:pt idx="21">
                  <c:v>8904.1666666666661</c:v>
                </c:pt>
                <c:pt idx="22">
                  <c:v>8904.1666666666661</c:v>
                </c:pt>
                <c:pt idx="23">
                  <c:v>8904.1666666666661</c:v>
                </c:pt>
                <c:pt idx="24">
                  <c:v>8904.1666666666661</c:v>
                </c:pt>
                <c:pt idx="25">
                  <c:v>8904.1666666666661</c:v>
                </c:pt>
                <c:pt idx="26">
                  <c:v>8904.1666666666661</c:v>
                </c:pt>
                <c:pt idx="27">
                  <c:v>8904.1666666666661</c:v>
                </c:pt>
                <c:pt idx="28">
                  <c:v>8904.1666666666661</c:v>
                </c:pt>
                <c:pt idx="29">
                  <c:v>8904.1666666666661</c:v>
                </c:pt>
                <c:pt idx="30">
                  <c:v>8904.1666666666661</c:v>
                </c:pt>
                <c:pt idx="31">
                  <c:v>8904.1666666666661</c:v>
                </c:pt>
                <c:pt idx="32">
                  <c:v>8904.1666666666661</c:v>
                </c:pt>
                <c:pt idx="33">
                  <c:v>8904.1666666666661</c:v>
                </c:pt>
                <c:pt idx="34">
                  <c:v>8904.1666666666661</c:v>
                </c:pt>
                <c:pt idx="35">
                  <c:v>8904.1666666666661</c:v>
                </c:pt>
                <c:pt idx="36">
                  <c:v>8904.1666666666661</c:v>
                </c:pt>
                <c:pt idx="37">
                  <c:v>8904.1666666666661</c:v>
                </c:pt>
                <c:pt idx="38">
                  <c:v>8904.1666666666661</c:v>
                </c:pt>
                <c:pt idx="39">
                  <c:v>8904.1666666666661</c:v>
                </c:pt>
                <c:pt idx="40">
                  <c:v>8904.1666666666661</c:v>
                </c:pt>
                <c:pt idx="41">
                  <c:v>8904.1666666666661</c:v>
                </c:pt>
                <c:pt idx="42">
                  <c:v>8904.1666666666661</c:v>
                </c:pt>
                <c:pt idx="43">
                  <c:v>8904.1666666666661</c:v>
                </c:pt>
                <c:pt idx="44">
                  <c:v>8904.1666666666661</c:v>
                </c:pt>
                <c:pt idx="45">
                  <c:v>8904.1666666666661</c:v>
                </c:pt>
                <c:pt idx="46">
                  <c:v>8904.1666666666661</c:v>
                </c:pt>
                <c:pt idx="47">
                  <c:v>8904.1666666666661</c:v>
                </c:pt>
                <c:pt idx="48">
                  <c:v>8904.1666666666661</c:v>
                </c:pt>
                <c:pt idx="49">
                  <c:v>8904.1666666666661</c:v>
                </c:pt>
                <c:pt idx="50">
                  <c:v>8904.1666666666661</c:v>
                </c:pt>
                <c:pt idx="51">
                  <c:v>8904.1666666666661</c:v>
                </c:pt>
                <c:pt idx="52">
                  <c:v>8904.1666666666661</c:v>
                </c:pt>
                <c:pt idx="53">
                  <c:v>8904.1666666666661</c:v>
                </c:pt>
                <c:pt idx="54">
                  <c:v>8904.1666666666661</c:v>
                </c:pt>
                <c:pt idx="55">
                  <c:v>8904.1666666666661</c:v>
                </c:pt>
                <c:pt idx="56">
                  <c:v>8904.1666666666661</c:v>
                </c:pt>
                <c:pt idx="57">
                  <c:v>8904.1666666666661</c:v>
                </c:pt>
                <c:pt idx="58">
                  <c:v>8904.1666666666661</c:v>
                </c:pt>
                <c:pt idx="59">
                  <c:v>8904.1666666666661</c:v>
                </c:pt>
                <c:pt idx="60">
                  <c:v>8904.1666666666661</c:v>
                </c:pt>
                <c:pt idx="61">
                  <c:v>8904.1666666666661</c:v>
                </c:pt>
                <c:pt idx="62">
                  <c:v>8904.1666666666661</c:v>
                </c:pt>
                <c:pt idx="63">
                  <c:v>8904.1666666666661</c:v>
                </c:pt>
                <c:pt idx="64">
                  <c:v>8904.1666666666661</c:v>
                </c:pt>
                <c:pt idx="65">
                  <c:v>8904.1666666666661</c:v>
                </c:pt>
                <c:pt idx="66">
                  <c:v>8904.1666666666661</c:v>
                </c:pt>
                <c:pt idx="67">
                  <c:v>8904.1666666666661</c:v>
                </c:pt>
                <c:pt idx="68">
                  <c:v>8904.1666666666661</c:v>
                </c:pt>
                <c:pt idx="69">
                  <c:v>8904.1666666666661</c:v>
                </c:pt>
                <c:pt idx="70">
                  <c:v>8904.1666666666661</c:v>
                </c:pt>
                <c:pt idx="71">
                  <c:v>8904.1666666666661</c:v>
                </c:pt>
                <c:pt idx="72">
                  <c:v>8904.1666666666661</c:v>
                </c:pt>
                <c:pt idx="73">
                  <c:v>8904.1666666666661</c:v>
                </c:pt>
                <c:pt idx="74">
                  <c:v>8904.1666666666661</c:v>
                </c:pt>
                <c:pt idx="75">
                  <c:v>8904.1666666666661</c:v>
                </c:pt>
                <c:pt idx="76">
                  <c:v>8904.1666666666661</c:v>
                </c:pt>
                <c:pt idx="77">
                  <c:v>8904.1666666666661</c:v>
                </c:pt>
                <c:pt idx="78">
                  <c:v>8904.1666666666661</c:v>
                </c:pt>
                <c:pt idx="79">
                  <c:v>8904.1666666666661</c:v>
                </c:pt>
                <c:pt idx="80">
                  <c:v>8904.1666666666661</c:v>
                </c:pt>
                <c:pt idx="81">
                  <c:v>8904.1666666666661</c:v>
                </c:pt>
                <c:pt idx="82">
                  <c:v>8904.1666666666661</c:v>
                </c:pt>
                <c:pt idx="83">
                  <c:v>8904.1666666666661</c:v>
                </c:pt>
                <c:pt idx="84">
                  <c:v>8904.1666666666661</c:v>
                </c:pt>
                <c:pt idx="85">
                  <c:v>8904.1666666666661</c:v>
                </c:pt>
                <c:pt idx="86">
                  <c:v>8904.1666666666661</c:v>
                </c:pt>
                <c:pt idx="87">
                  <c:v>8904.1666666666661</c:v>
                </c:pt>
                <c:pt idx="88">
                  <c:v>8904.1666666666661</c:v>
                </c:pt>
                <c:pt idx="89">
                  <c:v>8904.1666666666661</c:v>
                </c:pt>
                <c:pt idx="90">
                  <c:v>8904.1666666666661</c:v>
                </c:pt>
                <c:pt idx="91">
                  <c:v>8904.1666666666661</c:v>
                </c:pt>
                <c:pt idx="92">
                  <c:v>8904.1666666666661</c:v>
                </c:pt>
                <c:pt idx="93">
                  <c:v>8904.1666666666661</c:v>
                </c:pt>
                <c:pt idx="94">
                  <c:v>8904.1666666666661</c:v>
                </c:pt>
                <c:pt idx="95">
                  <c:v>8904.1666666666661</c:v>
                </c:pt>
                <c:pt idx="96">
                  <c:v>8904.1666666666661</c:v>
                </c:pt>
                <c:pt idx="97">
                  <c:v>8904.1666666666661</c:v>
                </c:pt>
                <c:pt idx="98">
                  <c:v>8904.1666666666661</c:v>
                </c:pt>
                <c:pt idx="99">
                  <c:v>8904.1666666666661</c:v>
                </c:pt>
                <c:pt idx="100">
                  <c:v>8904.1666666666661</c:v>
                </c:pt>
                <c:pt idx="101">
                  <c:v>8904.1666666666661</c:v>
                </c:pt>
                <c:pt idx="102">
                  <c:v>8904.1666666666661</c:v>
                </c:pt>
                <c:pt idx="103">
                  <c:v>8904.1666666666661</c:v>
                </c:pt>
                <c:pt idx="104">
                  <c:v>8904.1666666666661</c:v>
                </c:pt>
                <c:pt idx="105">
                  <c:v>8904.1666666666661</c:v>
                </c:pt>
                <c:pt idx="106">
                  <c:v>8904.1666666666661</c:v>
                </c:pt>
                <c:pt idx="107">
                  <c:v>8904.1666666666661</c:v>
                </c:pt>
                <c:pt idx="108">
                  <c:v>8904.1666666666661</c:v>
                </c:pt>
                <c:pt idx="109">
                  <c:v>8904.1666666666661</c:v>
                </c:pt>
                <c:pt idx="110">
                  <c:v>8904.1666666666661</c:v>
                </c:pt>
                <c:pt idx="111">
                  <c:v>8904.1666666666661</c:v>
                </c:pt>
                <c:pt idx="112">
                  <c:v>8904.1666666666661</c:v>
                </c:pt>
                <c:pt idx="113">
                  <c:v>8904.1666666666661</c:v>
                </c:pt>
                <c:pt idx="114">
                  <c:v>8904.1666666666661</c:v>
                </c:pt>
                <c:pt idx="115">
                  <c:v>8904.1666666666661</c:v>
                </c:pt>
                <c:pt idx="116">
                  <c:v>8904.1666666666661</c:v>
                </c:pt>
                <c:pt idx="117">
                  <c:v>8904.1666666666661</c:v>
                </c:pt>
                <c:pt idx="118">
                  <c:v>8904.1666666666661</c:v>
                </c:pt>
                <c:pt idx="119">
                  <c:v>8904.1666666666661</c:v>
                </c:pt>
                <c:pt idx="120">
                  <c:v>8904.1666666666661</c:v>
                </c:pt>
                <c:pt idx="121">
                  <c:v>8904.1666666666661</c:v>
                </c:pt>
                <c:pt idx="122">
                  <c:v>8904.1666666666661</c:v>
                </c:pt>
                <c:pt idx="123">
                  <c:v>8904.1666666666661</c:v>
                </c:pt>
                <c:pt idx="124">
                  <c:v>8904.1666666666661</c:v>
                </c:pt>
                <c:pt idx="125">
                  <c:v>8904.1666666666661</c:v>
                </c:pt>
                <c:pt idx="126">
                  <c:v>8904.1666666666661</c:v>
                </c:pt>
                <c:pt idx="127">
                  <c:v>8904.1666666666661</c:v>
                </c:pt>
                <c:pt idx="128">
                  <c:v>8904.1666666666661</c:v>
                </c:pt>
                <c:pt idx="129">
                  <c:v>8904.1666666666661</c:v>
                </c:pt>
                <c:pt idx="130">
                  <c:v>8904.1666666666661</c:v>
                </c:pt>
                <c:pt idx="131">
                  <c:v>8904.1666666666661</c:v>
                </c:pt>
                <c:pt idx="132">
                  <c:v>8904.1666666666661</c:v>
                </c:pt>
                <c:pt idx="133">
                  <c:v>8904.1666666666661</c:v>
                </c:pt>
                <c:pt idx="134">
                  <c:v>8904.1666666666661</c:v>
                </c:pt>
                <c:pt idx="135">
                  <c:v>8904.1666666666661</c:v>
                </c:pt>
                <c:pt idx="136">
                  <c:v>8904.1666666666661</c:v>
                </c:pt>
                <c:pt idx="137">
                  <c:v>8904.1666666666661</c:v>
                </c:pt>
                <c:pt idx="138">
                  <c:v>8904.1666666666661</c:v>
                </c:pt>
                <c:pt idx="139">
                  <c:v>8904.1666666666661</c:v>
                </c:pt>
                <c:pt idx="140">
                  <c:v>8904.1666666666661</c:v>
                </c:pt>
                <c:pt idx="141">
                  <c:v>8904.1666666666661</c:v>
                </c:pt>
                <c:pt idx="142">
                  <c:v>8904.1666666666661</c:v>
                </c:pt>
                <c:pt idx="143">
                  <c:v>8904.1666666666661</c:v>
                </c:pt>
                <c:pt idx="144">
                  <c:v>8904.1666666666661</c:v>
                </c:pt>
                <c:pt idx="145">
                  <c:v>8904.1666666666661</c:v>
                </c:pt>
                <c:pt idx="146">
                  <c:v>8904.1666666666661</c:v>
                </c:pt>
                <c:pt idx="147">
                  <c:v>8904.1666666666661</c:v>
                </c:pt>
                <c:pt idx="148">
                  <c:v>8904.1666666666661</c:v>
                </c:pt>
                <c:pt idx="149">
                  <c:v>8904.1666666666661</c:v>
                </c:pt>
                <c:pt idx="150">
                  <c:v>8904.1666666666661</c:v>
                </c:pt>
                <c:pt idx="151">
                  <c:v>8904.1666666666661</c:v>
                </c:pt>
                <c:pt idx="152">
                  <c:v>8904.1666666666661</c:v>
                </c:pt>
                <c:pt idx="153">
                  <c:v>8904.1666666666661</c:v>
                </c:pt>
                <c:pt idx="154">
                  <c:v>8904.1666666666661</c:v>
                </c:pt>
                <c:pt idx="155">
                  <c:v>8904.1666666666661</c:v>
                </c:pt>
                <c:pt idx="156">
                  <c:v>8904.1666666666661</c:v>
                </c:pt>
                <c:pt idx="157">
                  <c:v>8904.1666666666661</c:v>
                </c:pt>
                <c:pt idx="158">
                  <c:v>8904.1666666666661</c:v>
                </c:pt>
                <c:pt idx="159">
                  <c:v>8904.1666666666661</c:v>
                </c:pt>
                <c:pt idx="160">
                  <c:v>8904.1666666666661</c:v>
                </c:pt>
                <c:pt idx="161">
                  <c:v>8904.1666666666661</c:v>
                </c:pt>
                <c:pt idx="162">
                  <c:v>8904.1666666666661</c:v>
                </c:pt>
                <c:pt idx="163">
                  <c:v>8904.1666666666661</c:v>
                </c:pt>
                <c:pt idx="164">
                  <c:v>8904.1666666666661</c:v>
                </c:pt>
                <c:pt idx="165">
                  <c:v>8904.1666666666661</c:v>
                </c:pt>
                <c:pt idx="166">
                  <c:v>8904.1666666666661</c:v>
                </c:pt>
                <c:pt idx="167">
                  <c:v>8904.1666666666661</c:v>
                </c:pt>
                <c:pt idx="168">
                  <c:v>8904.1666666666661</c:v>
                </c:pt>
                <c:pt idx="169">
                  <c:v>8904.1666666666661</c:v>
                </c:pt>
                <c:pt idx="170">
                  <c:v>8904.1666666666661</c:v>
                </c:pt>
                <c:pt idx="171">
                  <c:v>8904.1666666666661</c:v>
                </c:pt>
                <c:pt idx="172">
                  <c:v>8904.1666666666661</c:v>
                </c:pt>
                <c:pt idx="173">
                  <c:v>8904.1666666666661</c:v>
                </c:pt>
                <c:pt idx="174">
                  <c:v>8904.1666666666661</c:v>
                </c:pt>
                <c:pt idx="175">
                  <c:v>8904.1666666666661</c:v>
                </c:pt>
                <c:pt idx="176">
                  <c:v>8904.1666666666661</c:v>
                </c:pt>
                <c:pt idx="177">
                  <c:v>8904.1666666666661</c:v>
                </c:pt>
                <c:pt idx="178">
                  <c:v>8904.1666666666661</c:v>
                </c:pt>
                <c:pt idx="179">
                  <c:v>8904.1666666666661</c:v>
                </c:pt>
                <c:pt idx="180">
                  <c:v>8904.1666666666661</c:v>
                </c:pt>
                <c:pt idx="181">
                  <c:v>8904.1666666666661</c:v>
                </c:pt>
                <c:pt idx="182">
                  <c:v>8904.1666666666661</c:v>
                </c:pt>
                <c:pt idx="183">
                  <c:v>8904.1666666666661</c:v>
                </c:pt>
                <c:pt idx="184">
                  <c:v>8904.1666666666661</c:v>
                </c:pt>
                <c:pt idx="185">
                  <c:v>8904.1666666666661</c:v>
                </c:pt>
                <c:pt idx="186">
                  <c:v>8904.1666666666661</c:v>
                </c:pt>
                <c:pt idx="187">
                  <c:v>8904.1666666666661</c:v>
                </c:pt>
                <c:pt idx="188">
                  <c:v>8904.1666666666661</c:v>
                </c:pt>
                <c:pt idx="189">
                  <c:v>8904.1666666666661</c:v>
                </c:pt>
                <c:pt idx="190">
                  <c:v>8904.1666666666661</c:v>
                </c:pt>
                <c:pt idx="191">
                  <c:v>8904.1666666666661</c:v>
                </c:pt>
                <c:pt idx="192">
                  <c:v>8904.1666666666661</c:v>
                </c:pt>
                <c:pt idx="193">
                  <c:v>8904.1666666666661</c:v>
                </c:pt>
                <c:pt idx="194">
                  <c:v>8904.1666666666661</c:v>
                </c:pt>
                <c:pt idx="195">
                  <c:v>8904.1666666666661</c:v>
                </c:pt>
                <c:pt idx="196">
                  <c:v>8904.1666666666661</c:v>
                </c:pt>
                <c:pt idx="197">
                  <c:v>8904.1666666666661</c:v>
                </c:pt>
                <c:pt idx="198">
                  <c:v>8904.1666666666661</c:v>
                </c:pt>
                <c:pt idx="199">
                  <c:v>8904.1666666666661</c:v>
                </c:pt>
                <c:pt idx="200">
                  <c:v>8904.1666666666661</c:v>
                </c:pt>
                <c:pt idx="201">
                  <c:v>8904.1666666666661</c:v>
                </c:pt>
                <c:pt idx="202">
                  <c:v>8904.1666666666661</c:v>
                </c:pt>
                <c:pt idx="203">
                  <c:v>8904.1666666666661</c:v>
                </c:pt>
                <c:pt idx="204">
                  <c:v>8904.1666666666661</c:v>
                </c:pt>
                <c:pt idx="205">
                  <c:v>8904.1666666666661</c:v>
                </c:pt>
                <c:pt idx="206">
                  <c:v>8904.1666666666661</c:v>
                </c:pt>
                <c:pt idx="207">
                  <c:v>8904.1666666666661</c:v>
                </c:pt>
                <c:pt idx="208">
                  <c:v>8904.1666666666661</c:v>
                </c:pt>
                <c:pt idx="209">
                  <c:v>8904.1666666666661</c:v>
                </c:pt>
                <c:pt idx="210">
                  <c:v>8904.1666666666661</c:v>
                </c:pt>
                <c:pt idx="211">
                  <c:v>8904.1666666666661</c:v>
                </c:pt>
                <c:pt idx="212">
                  <c:v>8904.1666666666661</c:v>
                </c:pt>
                <c:pt idx="213">
                  <c:v>8904.1666666666661</c:v>
                </c:pt>
                <c:pt idx="214">
                  <c:v>8904.1666666666661</c:v>
                </c:pt>
                <c:pt idx="215">
                  <c:v>8904.1666666666661</c:v>
                </c:pt>
                <c:pt idx="216">
                  <c:v>8904.1666666666661</c:v>
                </c:pt>
                <c:pt idx="217">
                  <c:v>8904.1666666666661</c:v>
                </c:pt>
                <c:pt idx="218">
                  <c:v>8904.1666666666661</c:v>
                </c:pt>
                <c:pt idx="219">
                  <c:v>8904.1666666666661</c:v>
                </c:pt>
                <c:pt idx="220">
                  <c:v>8904.1666666666661</c:v>
                </c:pt>
                <c:pt idx="221">
                  <c:v>8904.1666666666661</c:v>
                </c:pt>
                <c:pt idx="222">
                  <c:v>8904.1666666666661</c:v>
                </c:pt>
                <c:pt idx="223">
                  <c:v>8904.1666666666661</c:v>
                </c:pt>
                <c:pt idx="224">
                  <c:v>8904.1666666666661</c:v>
                </c:pt>
                <c:pt idx="225">
                  <c:v>8904.1666666666661</c:v>
                </c:pt>
                <c:pt idx="226">
                  <c:v>8904.1666666666661</c:v>
                </c:pt>
                <c:pt idx="227">
                  <c:v>8904.1666666666661</c:v>
                </c:pt>
                <c:pt idx="228">
                  <c:v>8904.1666666666661</c:v>
                </c:pt>
                <c:pt idx="229">
                  <c:v>8904.1666666666661</c:v>
                </c:pt>
                <c:pt idx="230">
                  <c:v>8904.1666666666661</c:v>
                </c:pt>
                <c:pt idx="231">
                  <c:v>8904.1666666666661</c:v>
                </c:pt>
                <c:pt idx="232">
                  <c:v>8904.1666666666661</c:v>
                </c:pt>
                <c:pt idx="233">
                  <c:v>8904.1666666666661</c:v>
                </c:pt>
                <c:pt idx="234">
                  <c:v>8904.1666666666661</c:v>
                </c:pt>
                <c:pt idx="235">
                  <c:v>8904.1666666666661</c:v>
                </c:pt>
                <c:pt idx="236">
                  <c:v>8904.1666666666661</c:v>
                </c:pt>
                <c:pt idx="237">
                  <c:v>8904.1666666666661</c:v>
                </c:pt>
                <c:pt idx="238">
                  <c:v>8904.1666666666661</c:v>
                </c:pt>
                <c:pt idx="239">
                  <c:v>8904.1666666666661</c:v>
                </c:pt>
              </c:numCache>
            </c:numRef>
          </c:val>
          <c:extLst>
            <c:ext xmlns:c16="http://schemas.microsoft.com/office/drawing/2014/chart" uri="{C3380CC4-5D6E-409C-BE32-E72D297353CC}">
              <c16:uniqueId val="{00000000-DEF1-4532-8A81-35ADF2504D3C}"/>
            </c:ext>
          </c:extLst>
        </c:ser>
        <c:ser>
          <c:idx val="1"/>
          <c:order val="1"/>
          <c:tx>
            <c:strRef>
              <c:f>'Discounted Increments'!$L$22</c:f>
              <c:strCache>
                <c:ptCount val="1"/>
                <c:pt idx="0">
                  <c:v>Stage (2)</c:v>
                </c:pt>
              </c:strCache>
            </c:strRef>
          </c:tx>
          <c:spPr>
            <a:solidFill>
              <a:srgbClr val="00FF00"/>
            </a:solidFill>
            <a:ln w="25400">
              <a:noFill/>
            </a:ln>
          </c:spPr>
          <c:invertIfNegative val="0"/>
          <c:val>
            <c:numRef>
              <c:f>'Discounted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1-DEF1-4532-8A81-35ADF2504D3C}"/>
            </c:ext>
          </c:extLst>
        </c:ser>
        <c:ser>
          <c:idx val="2"/>
          <c:order val="2"/>
          <c:tx>
            <c:strRef>
              <c:f>'Discounted Increments'!$M$22</c:f>
              <c:strCache>
                <c:ptCount val="1"/>
                <c:pt idx="0">
                  <c:v>Stage (3)</c:v>
                </c:pt>
              </c:strCache>
            </c:strRef>
          </c:tx>
          <c:spPr>
            <a:solidFill>
              <a:srgbClr val="00CCFF"/>
            </a:solidFill>
            <a:ln w="25400">
              <a:noFill/>
            </a:ln>
          </c:spPr>
          <c:invertIfNegative val="0"/>
          <c:val>
            <c:numRef>
              <c:f>'Discounted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2-DEF1-4532-8A81-35ADF2504D3C}"/>
            </c:ext>
          </c:extLst>
        </c:ser>
        <c:ser>
          <c:idx val="3"/>
          <c:order val="3"/>
          <c:tx>
            <c:strRef>
              <c:f>'Discounted Increments'!$N$22</c:f>
              <c:strCache>
                <c:ptCount val="1"/>
                <c:pt idx="0">
                  <c:v>Stage (4)</c:v>
                </c:pt>
              </c:strCache>
            </c:strRef>
          </c:tx>
          <c:spPr>
            <a:solidFill>
              <a:srgbClr val="FFCC00"/>
            </a:solidFill>
            <a:ln w="25400">
              <a:noFill/>
            </a:ln>
          </c:spPr>
          <c:invertIfNegative val="0"/>
          <c:val>
            <c:numRef>
              <c:f>'Discounted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3-DEF1-4532-8A81-35ADF2504D3C}"/>
            </c:ext>
          </c:extLst>
        </c:ser>
        <c:ser>
          <c:idx val="4"/>
          <c:order val="4"/>
          <c:tx>
            <c:strRef>
              <c:f>'Discounted Increments'!$O$22</c:f>
              <c:strCache>
                <c:ptCount val="1"/>
                <c:pt idx="0">
                  <c:v>Stage (5)</c:v>
                </c:pt>
              </c:strCache>
            </c:strRef>
          </c:tx>
          <c:spPr>
            <a:solidFill>
              <a:srgbClr val="00FFFF"/>
            </a:solidFill>
            <a:ln w="25400">
              <a:noFill/>
            </a:ln>
          </c:spPr>
          <c:invertIfNegative val="0"/>
          <c:val>
            <c:numRef>
              <c:f>'Discounted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4-DEF1-4532-8A81-35ADF2504D3C}"/>
            </c:ext>
          </c:extLst>
        </c:ser>
        <c:ser>
          <c:idx val="5"/>
          <c:order val="5"/>
          <c:tx>
            <c:strRef>
              <c:f>'Discounted Increments'!$P$22</c:f>
              <c:strCache>
                <c:ptCount val="1"/>
                <c:pt idx="0">
                  <c:v>Stage (6)</c:v>
                </c:pt>
              </c:strCache>
            </c:strRef>
          </c:tx>
          <c:spPr>
            <a:solidFill>
              <a:srgbClr val="FF99CC"/>
            </a:solidFill>
            <a:ln w="25400">
              <a:noFill/>
            </a:ln>
          </c:spPr>
          <c:invertIfNegative val="0"/>
          <c:val>
            <c:numRef>
              <c:f>'Discounted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5-DEF1-4532-8A81-35ADF2504D3C}"/>
            </c:ext>
          </c:extLst>
        </c:ser>
        <c:ser>
          <c:idx val="6"/>
          <c:order val="6"/>
          <c:tx>
            <c:strRef>
              <c:f>'Discounted Increments'!$Q$22</c:f>
              <c:strCache>
                <c:ptCount val="1"/>
                <c:pt idx="0">
                  <c:v>Stage (7)</c:v>
                </c:pt>
              </c:strCache>
            </c:strRef>
          </c:tx>
          <c:spPr>
            <a:solidFill>
              <a:srgbClr val="CCFFCC"/>
            </a:solidFill>
            <a:ln w="25400">
              <a:noFill/>
            </a:ln>
          </c:spPr>
          <c:invertIfNegative val="0"/>
          <c:val>
            <c:numRef>
              <c:f>'Discounted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6-DEF1-4532-8A81-35ADF2504D3C}"/>
            </c:ext>
          </c:extLst>
        </c:ser>
        <c:ser>
          <c:idx val="7"/>
          <c:order val="7"/>
          <c:tx>
            <c:strRef>
              <c:f>'Discounted Increments'!$R$22</c:f>
              <c:strCache>
                <c:ptCount val="1"/>
                <c:pt idx="0">
                  <c:v>Stage (8)</c:v>
                </c:pt>
              </c:strCache>
            </c:strRef>
          </c:tx>
          <c:spPr>
            <a:solidFill>
              <a:srgbClr val="99CCFF"/>
            </a:solidFill>
            <a:ln w="25400">
              <a:noFill/>
            </a:ln>
          </c:spPr>
          <c:invertIfNegative val="0"/>
          <c:val>
            <c:numRef>
              <c:f>'Discounted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7-DEF1-4532-8A81-35ADF2504D3C}"/>
            </c:ext>
          </c:extLst>
        </c:ser>
        <c:ser>
          <c:idx val="8"/>
          <c:order val="8"/>
          <c:tx>
            <c:strRef>
              <c:f>'Discounted Increments'!$S$22</c:f>
              <c:strCache>
                <c:ptCount val="1"/>
                <c:pt idx="0">
                  <c:v>Stage (9)</c:v>
                </c:pt>
              </c:strCache>
            </c:strRef>
          </c:tx>
          <c:spPr>
            <a:solidFill>
              <a:srgbClr val="FFCC99"/>
            </a:solidFill>
            <a:ln w="25400">
              <a:noFill/>
            </a:ln>
          </c:spPr>
          <c:invertIfNegative val="0"/>
          <c:val>
            <c:numRef>
              <c:f>'Discounted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8-DEF1-4532-8A81-35ADF2504D3C}"/>
            </c:ext>
          </c:extLst>
        </c:ser>
        <c:ser>
          <c:idx val="9"/>
          <c:order val="9"/>
          <c:tx>
            <c:strRef>
              <c:f>'Discounted Increments'!$T$22</c:f>
              <c:strCache>
                <c:ptCount val="1"/>
                <c:pt idx="0">
                  <c:v>Stage (10)</c:v>
                </c:pt>
              </c:strCache>
            </c:strRef>
          </c:tx>
          <c:spPr>
            <a:solidFill>
              <a:srgbClr val="CCFFFF"/>
            </a:solidFill>
            <a:ln w="25400">
              <a:noFill/>
            </a:ln>
          </c:spPr>
          <c:invertIfNegative val="0"/>
          <c:val>
            <c:numRef>
              <c:f>'Discounted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9-DEF1-4532-8A81-35ADF2504D3C}"/>
            </c:ext>
          </c:extLst>
        </c:ser>
        <c:dLbls>
          <c:showLegendKey val="0"/>
          <c:showVal val="0"/>
          <c:showCatName val="0"/>
          <c:showSerName val="0"/>
          <c:showPercent val="0"/>
          <c:showBubbleSize val="0"/>
        </c:dLbls>
        <c:gapWidth val="0"/>
        <c:overlap val="100"/>
        <c:axId val="50665344"/>
        <c:axId val="50675712"/>
      </c:barChart>
      <c:catAx>
        <c:axId val="50665344"/>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49920793973653449"/>
              <c:y val="0.92024539877300615"/>
            </c:manualLayout>
          </c:layout>
          <c:overlay val="0"/>
          <c:spPr>
            <a:noFill/>
            <a:ln w="25400">
              <a:noFill/>
            </a:ln>
          </c:spPr>
        </c:title>
        <c:majorTickMark val="none"/>
        <c:minorTickMark val="none"/>
        <c:tickLblPos val="none"/>
        <c:spPr>
          <a:ln w="3175">
            <a:solidFill>
              <a:srgbClr val="000000"/>
            </a:solidFill>
            <a:prstDash val="solid"/>
          </a:ln>
        </c:spPr>
        <c:crossAx val="50675712"/>
        <c:crosses val="autoZero"/>
        <c:auto val="1"/>
        <c:lblAlgn val="ctr"/>
        <c:lblOffset val="100"/>
        <c:tickLblSkip val="12"/>
        <c:tickMarkSkip val="12"/>
        <c:noMultiLvlLbl val="0"/>
      </c:catAx>
      <c:valAx>
        <c:axId val="50675712"/>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Discounted Monthly ($/month)    </a:t>
                </a:r>
              </a:p>
            </c:rich>
          </c:tx>
          <c:layout>
            <c:manualLayout>
              <c:xMode val="edge"/>
              <c:yMode val="edge"/>
              <c:x val="5.8108821975699949E-3"/>
              <c:y val="0.22085889570552147"/>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6653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Nominal Incremental Investment</a:t>
            </a:r>
          </a:p>
        </c:rich>
      </c:tx>
      <c:layout>
        <c:manualLayout>
          <c:xMode val="edge"/>
          <c:yMode val="edge"/>
          <c:x val="0.27619097612798399"/>
          <c:y val="3.3846153846153845E-2"/>
        </c:manualLayout>
      </c:layout>
      <c:overlay val="0"/>
      <c:spPr>
        <a:noFill/>
        <a:ln w="25400">
          <a:noFill/>
        </a:ln>
      </c:spPr>
    </c:title>
    <c:autoTitleDeleted val="0"/>
    <c:plotArea>
      <c:layout>
        <c:manualLayout>
          <c:layoutTarget val="inner"/>
          <c:xMode val="edge"/>
          <c:yMode val="edge"/>
          <c:x val="0.10317476310572159"/>
          <c:y val="0.11384632488931024"/>
          <c:w val="0.85238227365803831"/>
          <c:h val="0.78153963572661622"/>
        </c:manualLayout>
      </c:layout>
      <c:barChart>
        <c:barDir val="col"/>
        <c:grouping val="stacked"/>
        <c:varyColors val="0"/>
        <c:ser>
          <c:idx val="0"/>
          <c:order val="0"/>
          <c:tx>
            <c:strRef>
              <c:f>'Nominal Increments'!$K$22</c:f>
              <c:strCache>
                <c:ptCount val="1"/>
                <c:pt idx="0">
                  <c:v>Stage (1)</c:v>
                </c:pt>
              </c:strCache>
            </c:strRef>
          </c:tx>
          <c:spPr>
            <a:solidFill>
              <a:srgbClr val="FF00FF"/>
            </a:solidFill>
            <a:ln w="25400">
              <a:noFill/>
            </a:ln>
          </c:spPr>
          <c:invertIfNegative val="0"/>
          <c:val>
            <c:numRef>
              <c:f>'Nominal Increments'!$K$23:$K$262</c:f>
              <c:numCache>
                <c:formatCode>"$"#,##0_);\("$"#,##0\);"$"0_);@_)</c:formatCode>
                <c:ptCount val="240"/>
                <c:pt idx="0">
                  <c:v>8904.1666666666661</c:v>
                </c:pt>
                <c:pt idx="1">
                  <c:v>8904.1666666666661</c:v>
                </c:pt>
                <c:pt idx="2">
                  <c:v>8904.1666666666661</c:v>
                </c:pt>
                <c:pt idx="3">
                  <c:v>8904.1666666666661</c:v>
                </c:pt>
                <c:pt idx="4">
                  <c:v>8904.1666666666661</c:v>
                </c:pt>
                <c:pt idx="5">
                  <c:v>8904.1666666666661</c:v>
                </c:pt>
                <c:pt idx="6">
                  <c:v>8904.1666666666661</c:v>
                </c:pt>
                <c:pt idx="7">
                  <c:v>8904.1666666666661</c:v>
                </c:pt>
                <c:pt idx="8">
                  <c:v>8904.1666666666661</c:v>
                </c:pt>
                <c:pt idx="9">
                  <c:v>8904.1666666666661</c:v>
                </c:pt>
                <c:pt idx="10">
                  <c:v>8904.1666666666661</c:v>
                </c:pt>
                <c:pt idx="11">
                  <c:v>8904.1666666666661</c:v>
                </c:pt>
                <c:pt idx="12">
                  <c:v>8904.1666666666661</c:v>
                </c:pt>
                <c:pt idx="13">
                  <c:v>8904.1666666666661</c:v>
                </c:pt>
                <c:pt idx="14">
                  <c:v>8904.1666666666661</c:v>
                </c:pt>
                <c:pt idx="15">
                  <c:v>8904.1666666666661</c:v>
                </c:pt>
                <c:pt idx="16">
                  <c:v>8904.1666666666661</c:v>
                </c:pt>
                <c:pt idx="17">
                  <c:v>8904.1666666666661</c:v>
                </c:pt>
                <c:pt idx="18">
                  <c:v>8904.1666666666661</c:v>
                </c:pt>
                <c:pt idx="19">
                  <c:v>8904.1666666666661</c:v>
                </c:pt>
                <c:pt idx="20">
                  <c:v>8904.1666666666661</c:v>
                </c:pt>
                <c:pt idx="21">
                  <c:v>8904.1666666666661</c:v>
                </c:pt>
                <c:pt idx="22">
                  <c:v>8904.1666666666661</c:v>
                </c:pt>
                <c:pt idx="23">
                  <c:v>8904.1666666666661</c:v>
                </c:pt>
                <c:pt idx="24">
                  <c:v>8904.1666666666661</c:v>
                </c:pt>
                <c:pt idx="25">
                  <c:v>8904.1666666666661</c:v>
                </c:pt>
                <c:pt idx="26">
                  <c:v>8904.1666666666661</c:v>
                </c:pt>
                <c:pt idx="27">
                  <c:v>8904.1666666666661</c:v>
                </c:pt>
                <c:pt idx="28">
                  <c:v>8904.1666666666661</c:v>
                </c:pt>
                <c:pt idx="29">
                  <c:v>8904.1666666666661</c:v>
                </c:pt>
                <c:pt idx="30">
                  <c:v>8904.1666666666661</c:v>
                </c:pt>
                <c:pt idx="31">
                  <c:v>8904.1666666666661</c:v>
                </c:pt>
                <c:pt idx="32">
                  <c:v>8904.1666666666661</c:v>
                </c:pt>
                <c:pt idx="33">
                  <c:v>8904.1666666666661</c:v>
                </c:pt>
                <c:pt idx="34">
                  <c:v>8904.1666666666661</c:v>
                </c:pt>
                <c:pt idx="35">
                  <c:v>8904.1666666666661</c:v>
                </c:pt>
                <c:pt idx="36">
                  <c:v>8904.1666666666661</c:v>
                </c:pt>
                <c:pt idx="37">
                  <c:v>8904.1666666666661</c:v>
                </c:pt>
                <c:pt idx="38">
                  <c:v>8904.1666666666661</c:v>
                </c:pt>
                <c:pt idx="39">
                  <c:v>8904.1666666666661</c:v>
                </c:pt>
                <c:pt idx="40">
                  <c:v>8904.1666666666661</c:v>
                </c:pt>
                <c:pt idx="41">
                  <c:v>8904.1666666666661</c:v>
                </c:pt>
                <c:pt idx="42">
                  <c:v>8904.1666666666661</c:v>
                </c:pt>
                <c:pt idx="43">
                  <c:v>8904.1666666666661</c:v>
                </c:pt>
                <c:pt idx="44">
                  <c:v>8904.1666666666661</c:v>
                </c:pt>
                <c:pt idx="45">
                  <c:v>8904.1666666666661</c:v>
                </c:pt>
                <c:pt idx="46">
                  <c:v>8904.1666666666661</c:v>
                </c:pt>
                <c:pt idx="47">
                  <c:v>8904.1666666666661</c:v>
                </c:pt>
                <c:pt idx="48">
                  <c:v>8904.1666666666661</c:v>
                </c:pt>
                <c:pt idx="49">
                  <c:v>8904.1666666666661</c:v>
                </c:pt>
                <c:pt idx="50">
                  <c:v>8904.1666666666661</c:v>
                </c:pt>
                <c:pt idx="51">
                  <c:v>8904.1666666666661</c:v>
                </c:pt>
                <c:pt idx="52">
                  <c:v>8904.1666666666661</c:v>
                </c:pt>
                <c:pt idx="53">
                  <c:v>8904.1666666666661</c:v>
                </c:pt>
                <c:pt idx="54">
                  <c:v>8904.1666666666661</c:v>
                </c:pt>
                <c:pt idx="55">
                  <c:v>8904.1666666666661</c:v>
                </c:pt>
                <c:pt idx="56">
                  <c:v>8904.1666666666661</c:v>
                </c:pt>
                <c:pt idx="57">
                  <c:v>8904.1666666666661</c:v>
                </c:pt>
                <c:pt idx="58">
                  <c:v>8904.1666666666661</c:v>
                </c:pt>
                <c:pt idx="59">
                  <c:v>8904.1666666666661</c:v>
                </c:pt>
                <c:pt idx="60">
                  <c:v>8904.1666666666661</c:v>
                </c:pt>
                <c:pt idx="61">
                  <c:v>8904.1666666666661</c:v>
                </c:pt>
                <c:pt idx="62">
                  <c:v>8904.1666666666661</c:v>
                </c:pt>
                <c:pt idx="63">
                  <c:v>8904.1666666666661</c:v>
                </c:pt>
                <c:pt idx="64">
                  <c:v>8904.1666666666661</c:v>
                </c:pt>
                <c:pt idx="65">
                  <c:v>8904.1666666666661</c:v>
                </c:pt>
                <c:pt idx="66">
                  <c:v>8904.1666666666661</c:v>
                </c:pt>
                <c:pt idx="67">
                  <c:v>8904.1666666666661</c:v>
                </c:pt>
                <c:pt idx="68">
                  <c:v>8904.1666666666661</c:v>
                </c:pt>
                <c:pt idx="69">
                  <c:v>8904.1666666666661</c:v>
                </c:pt>
                <c:pt idx="70">
                  <c:v>8904.1666666666661</c:v>
                </c:pt>
                <c:pt idx="71">
                  <c:v>8904.1666666666661</c:v>
                </c:pt>
                <c:pt idx="72">
                  <c:v>8904.1666666666661</c:v>
                </c:pt>
                <c:pt idx="73">
                  <c:v>8904.1666666666661</c:v>
                </c:pt>
                <c:pt idx="74">
                  <c:v>8904.1666666666661</c:v>
                </c:pt>
                <c:pt idx="75">
                  <c:v>8904.1666666666661</c:v>
                </c:pt>
                <c:pt idx="76">
                  <c:v>8904.1666666666661</c:v>
                </c:pt>
                <c:pt idx="77">
                  <c:v>8904.1666666666661</c:v>
                </c:pt>
                <c:pt idx="78">
                  <c:v>8904.1666666666661</c:v>
                </c:pt>
                <c:pt idx="79">
                  <c:v>8904.1666666666661</c:v>
                </c:pt>
                <c:pt idx="80">
                  <c:v>8904.1666666666661</c:v>
                </c:pt>
                <c:pt idx="81">
                  <c:v>8904.1666666666661</c:v>
                </c:pt>
                <c:pt idx="82">
                  <c:v>8904.1666666666661</c:v>
                </c:pt>
                <c:pt idx="83">
                  <c:v>8904.1666666666661</c:v>
                </c:pt>
                <c:pt idx="84">
                  <c:v>8904.1666666666661</c:v>
                </c:pt>
                <c:pt idx="85">
                  <c:v>8904.1666666666661</c:v>
                </c:pt>
                <c:pt idx="86">
                  <c:v>8904.1666666666661</c:v>
                </c:pt>
                <c:pt idx="87">
                  <c:v>8904.1666666666661</c:v>
                </c:pt>
                <c:pt idx="88">
                  <c:v>8904.1666666666661</c:v>
                </c:pt>
                <c:pt idx="89">
                  <c:v>8904.1666666666661</c:v>
                </c:pt>
                <c:pt idx="90">
                  <c:v>8904.1666666666661</c:v>
                </c:pt>
                <c:pt idx="91">
                  <c:v>8904.1666666666661</c:v>
                </c:pt>
                <c:pt idx="92">
                  <c:v>8904.1666666666661</c:v>
                </c:pt>
                <c:pt idx="93">
                  <c:v>8904.1666666666661</c:v>
                </c:pt>
                <c:pt idx="94">
                  <c:v>8904.1666666666661</c:v>
                </c:pt>
                <c:pt idx="95">
                  <c:v>8904.1666666666661</c:v>
                </c:pt>
                <c:pt idx="96">
                  <c:v>8904.1666666666661</c:v>
                </c:pt>
                <c:pt idx="97">
                  <c:v>8904.1666666666661</c:v>
                </c:pt>
                <c:pt idx="98">
                  <c:v>8904.1666666666661</c:v>
                </c:pt>
                <c:pt idx="99">
                  <c:v>8904.1666666666661</c:v>
                </c:pt>
                <c:pt idx="100">
                  <c:v>8904.1666666666661</c:v>
                </c:pt>
                <c:pt idx="101">
                  <c:v>8904.1666666666661</c:v>
                </c:pt>
                <c:pt idx="102">
                  <c:v>8904.1666666666661</c:v>
                </c:pt>
                <c:pt idx="103">
                  <c:v>8904.1666666666661</c:v>
                </c:pt>
                <c:pt idx="104">
                  <c:v>8904.1666666666661</c:v>
                </c:pt>
                <c:pt idx="105">
                  <c:v>8904.1666666666661</c:v>
                </c:pt>
                <c:pt idx="106">
                  <c:v>8904.1666666666661</c:v>
                </c:pt>
                <c:pt idx="107">
                  <c:v>8904.1666666666661</c:v>
                </c:pt>
                <c:pt idx="108">
                  <c:v>8904.1666666666661</c:v>
                </c:pt>
                <c:pt idx="109">
                  <c:v>8904.1666666666661</c:v>
                </c:pt>
                <c:pt idx="110">
                  <c:v>8904.1666666666661</c:v>
                </c:pt>
                <c:pt idx="111">
                  <c:v>8904.1666666666661</c:v>
                </c:pt>
                <c:pt idx="112">
                  <c:v>8904.1666666666661</c:v>
                </c:pt>
                <c:pt idx="113">
                  <c:v>8904.1666666666661</c:v>
                </c:pt>
                <c:pt idx="114">
                  <c:v>8904.1666666666661</c:v>
                </c:pt>
                <c:pt idx="115">
                  <c:v>8904.1666666666661</c:v>
                </c:pt>
                <c:pt idx="116">
                  <c:v>8904.1666666666661</c:v>
                </c:pt>
                <c:pt idx="117">
                  <c:v>8904.1666666666661</c:v>
                </c:pt>
                <c:pt idx="118">
                  <c:v>8904.1666666666661</c:v>
                </c:pt>
                <c:pt idx="119">
                  <c:v>8904.1666666666661</c:v>
                </c:pt>
                <c:pt idx="120">
                  <c:v>8904.1666666666661</c:v>
                </c:pt>
                <c:pt idx="121">
                  <c:v>8904.1666666666661</c:v>
                </c:pt>
                <c:pt idx="122">
                  <c:v>8904.1666666666661</c:v>
                </c:pt>
                <c:pt idx="123">
                  <c:v>8904.1666666666661</c:v>
                </c:pt>
                <c:pt idx="124">
                  <c:v>8904.1666666666661</c:v>
                </c:pt>
                <c:pt idx="125">
                  <c:v>8904.1666666666661</c:v>
                </c:pt>
                <c:pt idx="126">
                  <c:v>8904.1666666666661</c:v>
                </c:pt>
                <c:pt idx="127">
                  <c:v>8904.1666666666661</c:v>
                </c:pt>
                <c:pt idx="128">
                  <c:v>8904.1666666666661</c:v>
                </c:pt>
                <c:pt idx="129">
                  <c:v>8904.1666666666661</c:v>
                </c:pt>
                <c:pt idx="130">
                  <c:v>8904.1666666666661</c:v>
                </c:pt>
                <c:pt idx="131">
                  <c:v>8904.1666666666661</c:v>
                </c:pt>
                <c:pt idx="132">
                  <c:v>8904.1666666666661</c:v>
                </c:pt>
                <c:pt idx="133">
                  <c:v>8904.1666666666661</c:v>
                </c:pt>
                <c:pt idx="134">
                  <c:v>8904.1666666666661</c:v>
                </c:pt>
                <c:pt idx="135">
                  <c:v>8904.1666666666661</c:v>
                </c:pt>
                <c:pt idx="136">
                  <c:v>8904.1666666666661</c:v>
                </c:pt>
                <c:pt idx="137">
                  <c:v>8904.1666666666661</c:v>
                </c:pt>
                <c:pt idx="138">
                  <c:v>8904.1666666666661</c:v>
                </c:pt>
                <c:pt idx="139">
                  <c:v>8904.1666666666661</c:v>
                </c:pt>
                <c:pt idx="140">
                  <c:v>8904.1666666666661</c:v>
                </c:pt>
                <c:pt idx="141">
                  <c:v>8904.1666666666661</c:v>
                </c:pt>
                <c:pt idx="142">
                  <c:v>8904.1666666666661</c:v>
                </c:pt>
                <c:pt idx="143">
                  <c:v>8904.1666666666661</c:v>
                </c:pt>
                <c:pt idx="144">
                  <c:v>8904.1666666666661</c:v>
                </c:pt>
                <c:pt idx="145">
                  <c:v>8904.1666666666661</c:v>
                </c:pt>
                <c:pt idx="146">
                  <c:v>8904.1666666666661</c:v>
                </c:pt>
                <c:pt idx="147">
                  <c:v>8904.1666666666661</c:v>
                </c:pt>
                <c:pt idx="148">
                  <c:v>8904.1666666666661</c:v>
                </c:pt>
                <c:pt idx="149">
                  <c:v>8904.1666666666661</c:v>
                </c:pt>
                <c:pt idx="150">
                  <c:v>8904.1666666666661</c:v>
                </c:pt>
                <c:pt idx="151">
                  <c:v>8904.1666666666661</c:v>
                </c:pt>
                <c:pt idx="152">
                  <c:v>8904.1666666666661</c:v>
                </c:pt>
                <c:pt idx="153">
                  <c:v>8904.1666666666661</c:v>
                </c:pt>
                <c:pt idx="154">
                  <c:v>8904.1666666666661</c:v>
                </c:pt>
                <c:pt idx="155">
                  <c:v>8904.1666666666661</c:v>
                </c:pt>
                <c:pt idx="156">
                  <c:v>8904.1666666666661</c:v>
                </c:pt>
                <c:pt idx="157">
                  <c:v>8904.1666666666661</c:v>
                </c:pt>
                <c:pt idx="158">
                  <c:v>8904.1666666666661</c:v>
                </c:pt>
                <c:pt idx="159">
                  <c:v>8904.1666666666661</c:v>
                </c:pt>
                <c:pt idx="160">
                  <c:v>8904.1666666666661</c:v>
                </c:pt>
                <c:pt idx="161">
                  <c:v>8904.1666666666661</c:v>
                </c:pt>
                <c:pt idx="162">
                  <c:v>8904.1666666666661</c:v>
                </c:pt>
                <c:pt idx="163">
                  <c:v>8904.1666666666661</c:v>
                </c:pt>
                <c:pt idx="164">
                  <c:v>8904.1666666666661</c:v>
                </c:pt>
                <c:pt idx="165">
                  <c:v>8904.1666666666661</c:v>
                </c:pt>
                <c:pt idx="166">
                  <c:v>8904.1666666666661</c:v>
                </c:pt>
                <c:pt idx="167">
                  <c:v>8904.1666666666661</c:v>
                </c:pt>
                <c:pt idx="168">
                  <c:v>8904.1666666666661</c:v>
                </c:pt>
                <c:pt idx="169">
                  <c:v>8904.1666666666661</c:v>
                </c:pt>
                <c:pt idx="170">
                  <c:v>8904.1666666666661</c:v>
                </c:pt>
                <c:pt idx="171">
                  <c:v>8904.1666666666661</c:v>
                </c:pt>
                <c:pt idx="172">
                  <c:v>8904.1666666666661</c:v>
                </c:pt>
                <c:pt idx="173">
                  <c:v>8904.1666666666661</c:v>
                </c:pt>
                <c:pt idx="174">
                  <c:v>8904.1666666666661</c:v>
                </c:pt>
                <c:pt idx="175">
                  <c:v>8904.1666666666661</c:v>
                </c:pt>
                <c:pt idx="176">
                  <c:v>8904.1666666666661</c:v>
                </c:pt>
                <c:pt idx="177">
                  <c:v>8904.1666666666661</c:v>
                </c:pt>
                <c:pt idx="178">
                  <c:v>8904.1666666666661</c:v>
                </c:pt>
                <c:pt idx="179">
                  <c:v>8904.1666666666661</c:v>
                </c:pt>
                <c:pt idx="180">
                  <c:v>8904.1666666666661</c:v>
                </c:pt>
                <c:pt idx="181">
                  <c:v>8904.1666666666661</c:v>
                </c:pt>
                <c:pt idx="182">
                  <c:v>8904.1666666666661</c:v>
                </c:pt>
                <c:pt idx="183">
                  <c:v>8904.1666666666661</c:v>
                </c:pt>
                <c:pt idx="184">
                  <c:v>8904.1666666666661</c:v>
                </c:pt>
                <c:pt idx="185">
                  <c:v>8904.1666666666661</c:v>
                </c:pt>
                <c:pt idx="186">
                  <c:v>8904.1666666666661</c:v>
                </c:pt>
                <c:pt idx="187">
                  <c:v>8904.1666666666661</c:v>
                </c:pt>
                <c:pt idx="188">
                  <c:v>8904.1666666666661</c:v>
                </c:pt>
                <c:pt idx="189">
                  <c:v>8904.1666666666661</c:v>
                </c:pt>
                <c:pt idx="190">
                  <c:v>8904.1666666666661</c:v>
                </c:pt>
                <c:pt idx="191">
                  <c:v>8904.1666666666661</c:v>
                </c:pt>
                <c:pt idx="192">
                  <c:v>8904.1666666666661</c:v>
                </c:pt>
                <c:pt idx="193">
                  <c:v>8904.1666666666661</c:v>
                </c:pt>
                <c:pt idx="194">
                  <c:v>8904.1666666666661</c:v>
                </c:pt>
                <c:pt idx="195">
                  <c:v>8904.1666666666661</c:v>
                </c:pt>
                <c:pt idx="196">
                  <c:v>8904.1666666666661</c:v>
                </c:pt>
                <c:pt idx="197">
                  <c:v>8904.1666666666661</c:v>
                </c:pt>
                <c:pt idx="198">
                  <c:v>8904.1666666666661</c:v>
                </c:pt>
                <c:pt idx="199">
                  <c:v>8904.1666666666661</c:v>
                </c:pt>
                <c:pt idx="200">
                  <c:v>8904.1666666666661</c:v>
                </c:pt>
                <c:pt idx="201">
                  <c:v>8904.1666666666661</c:v>
                </c:pt>
                <c:pt idx="202">
                  <c:v>8904.1666666666661</c:v>
                </c:pt>
                <c:pt idx="203">
                  <c:v>8904.1666666666661</c:v>
                </c:pt>
                <c:pt idx="204">
                  <c:v>8904.1666666666661</c:v>
                </c:pt>
                <c:pt idx="205">
                  <c:v>8904.1666666666661</c:v>
                </c:pt>
                <c:pt idx="206">
                  <c:v>8904.1666666666661</c:v>
                </c:pt>
                <c:pt idx="207">
                  <c:v>8904.1666666666661</c:v>
                </c:pt>
                <c:pt idx="208">
                  <c:v>8904.1666666666661</c:v>
                </c:pt>
                <c:pt idx="209">
                  <c:v>8904.1666666666661</c:v>
                </c:pt>
                <c:pt idx="210">
                  <c:v>8904.1666666666661</c:v>
                </c:pt>
                <c:pt idx="211">
                  <c:v>8904.1666666666661</c:v>
                </c:pt>
                <c:pt idx="212">
                  <c:v>8904.1666666666661</c:v>
                </c:pt>
                <c:pt idx="213">
                  <c:v>8904.1666666666661</c:v>
                </c:pt>
                <c:pt idx="214">
                  <c:v>8904.1666666666661</c:v>
                </c:pt>
                <c:pt idx="215">
                  <c:v>8904.1666666666661</c:v>
                </c:pt>
                <c:pt idx="216">
                  <c:v>8904.1666666666661</c:v>
                </c:pt>
                <c:pt idx="217">
                  <c:v>8904.1666666666661</c:v>
                </c:pt>
                <c:pt idx="218">
                  <c:v>8904.1666666666661</c:v>
                </c:pt>
                <c:pt idx="219">
                  <c:v>8904.1666666666661</c:v>
                </c:pt>
                <c:pt idx="220">
                  <c:v>8904.1666666666661</c:v>
                </c:pt>
                <c:pt idx="221">
                  <c:v>8904.1666666666661</c:v>
                </c:pt>
                <c:pt idx="222">
                  <c:v>8904.1666666666661</c:v>
                </c:pt>
                <c:pt idx="223">
                  <c:v>8904.1666666666661</c:v>
                </c:pt>
                <c:pt idx="224">
                  <c:v>8904.1666666666661</c:v>
                </c:pt>
                <c:pt idx="225">
                  <c:v>8904.1666666666661</c:v>
                </c:pt>
                <c:pt idx="226">
                  <c:v>8904.1666666666661</c:v>
                </c:pt>
                <c:pt idx="227">
                  <c:v>8904.1666666666661</c:v>
                </c:pt>
                <c:pt idx="228">
                  <c:v>8904.1666666666661</c:v>
                </c:pt>
                <c:pt idx="229">
                  <c:v>8904.1666666666661</c:v>
                </c:pt>
                <c:pt idx="230">
                  <c:v>8904.1666666666661</c:v>
                </c:pt>
                <c:pt idx="231">
                  <c:v>8904.1666666666661</c:v>
                </c:pt>
                <c:pt idx="232">
                  <c:v>8904.1666666666661</c:v>
                </c:pt>
                <c:pt idx="233">
                  <c:v>8904.1666666666661</c:v>
                </c:pt>
                <c:pt idx="234">
                  <c:v>8904.1666666666661</c:v>
                </c:pt>
                <c:pt idx="235">
                  <c:v>8904.1666666666661</c:v>
                </c:pt>
                <c:pt idx="236">
                  <c:v>8904.1666666666661</c:v>
                </c:pt>
                <c:pt idx="237">
                  <c:v>8904.1666666666661</c:v>
                </c:pt>
                <c:pt idx="238">
                  <c:v>8904.1666666666661</c:v>
                </c:pt>
                <c:pt idx="239">
                  <c:v>8904.1666666666661</c:v>
                </c:pt>
              </c:numCache>
            </c:numRef>
          </c:val>
          <c:extLst>
            <c:ext xmlns:c16="http://schemas.microsoft.com/office/drawing/2014/chart" uri="{C3380CC4-5D6E-409C-BE32-E72D297353CC}">
              <c16:uniqueId val="{00000000-9C4D-46A2-B3C8-37AE5CC788A9}"/>
            </c:ext>
          </c:extLst>
        </c:ser>
        <c:ser>
          <c:idx val="1"/>
          <c:order val="1"/>
          <c:tx>
            <c:strRef>
              <c:f>'Nominal Increments'!$L$22</c:f>
              <c:strCache>
                <c:ptCount val="1"/>
                <c:pt idx="0">
                  <c:v>Stage (2)</c:v>
                </c:pt>
              </c:strCache>
            </c:strRef>
          </c:tx>
          <c:spPr>
            <a:solidFill>
              <a:srgbClr val="00FF00"/>
            </a:solidFill>
            <a:ln w="25400">
              <a:noFill/>
            </a:ln>
          </c:spPr>
          <c:invertIfNegative val="0"/>
          <c:val>
            <c:numRef>
              <c:f>'Nominal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1-9C4D-46A2-B3C8-37AE5CC788A9}"/>
            </c:ext>
          </c:extLst>
        </c:ser>
        <c:ser>
          <c:idx val="2"/>
          <c:order val="2"/>
          <c:tx>
            <c:strRef>
              <c:f>'Nominal Increments'!$M$22</c:f>
              <c:strCache>
                <c:ptCount val="1"/>
                <c:pt idx="0">
                  <c:v>Stage (3)</c:v>
                </c:pt>
              </c:strCache>
            </c:strRef>
          </c:tx>
          <c:spPr>
            <a:solidFill>
              <a:srgbClr val="00CCFF"/>
            </a:solidFill>
            <a:ln w="25400">
              <a:noFill/>
            </a:ln>
          </c:spPr>
          <c:invertIfNegative val="0"/>
          <c:val>
            <c:numRef>
              <c:f>'Nominal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2-9C4D-46A2-B3C8-37AE5CC788A9}"/>
            </c:ext>
          </c:extLst>
        </c:ser>
        <c:ser>
          <c:idx val="3"/>
          <c:order val="3"/>
          <c:tx>
            <c:strRef>
              <c:f>'Nominal Increments'!$N$22</c:f>
              <c:strCache>
                <c:ptCount val="1"/>
                <c:pt idx="0">
                  <c:v>Stage (4)</c:v>
                </c:pt>
              </c:strCache>
            </c:strRef>
          </c:tx>
          <c:spPr>
            <a:solidFill>
              <a:srgbClr val="FFCC00"/>
            </a:solidFill>
            <a:ln w="25400">
              <a:noFill/>
            </a:ln>
          </c:spPr>
          <c:invertIfNegative val="0"/>
          <c:val>
            <c:numRef>
              <c:f>'Nominal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3-9C4D-46A2-B3C8-37AE5CC788A9}"/>
            </c:ext>
          </c:extLst>
        </c:ser>
        <c:ser>
          <c:idx val="4"/>
          <c:order val="4"/>
          <c:tx>
            <c:strRef>
              <c:f>'Nominal Increments'!$O$22</c:f>
              <c:strCache>
                <c:ptCount val="1"/>
                <c:pt idx="0">
                  <c:v>Stage (5)</c:v>
                </c:pt>
              </c:strCache>
            </c:strRef>
          </c:tx>
          <c:spPr>
            <a:solidFill>
              <a:srgbClr val="00FFFF"/>
            </a:solidFill>
            <a:ln w="25400">
              <a:noFill/>
            </a:ln>
          </c:spPr>
          <c:invertIfNegative val="0"/>
          <c:val>
            <c:numRef>
              <c:f>'Nominal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4-9C4D-46A2-B3C8-37AE5CC788A9}"/>
            </c:ext>
          </c:extLst>
        </c:ser>
        <c:ser>
          <c:idx val="5"/>
          <c:order val="5"/>
          <c:tx>
            <c:strRef>
              <c:f>'Nominal Increments'!$P$22</c:f>
              <c:strCache>
                <c:ptCount val="1"/>
                <c:pt idx="0">
                  <c:v>Stage (6)</c:v>
                </c:pt>
              </c:strCache>
            </c:strRef>
          </c:tx>
          <c:spPr>
            <a:solidFill>
              <a:srgbClr val="FF99CC"/>
            </a:solidFill>
            <a:ln w="25400">
              <a:noFill/>
            </a:ln>
          </c:spPr>
          <c:invertIfNegative val="0"/>
          <c:val>
            <c:numRef>
              <c:f>'Nominal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5-9C4D-46A2-B3C8-37AE5CC788A9}"/>
            </c:ext>
          </c:extLst>
        </c:ser>
        <c:ser>
          <c:idx val="6"/>
          <c:order val="6"/>
          <c:tx>
            <c:strRef>
              <c:f>'Nominal Increments'!$Q$22</c:f>
              <c:strCache>
                <c:ptCount val="1"/>
                <c:pt idx="0">
                  <c:v>Stage (7)</c:v>
                </c:pt>
              </c:strCache>
            </c:strRef>
          </c:tx>
          <c:spPr>
            <a:solidFill>
              <a:srgbClr val="CCFFCC"/>
            </a:solidFill>
            <a:ln w="25400">
              <a:noFill/>
            </a:ln>
          </c:spPr>
          <c:invertIfNegative val="0"/>
          <c:val>
            <c:numRef>
              <c:f>'Nominal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6-9C4D-46A2-B3C8-37AE5CC788A9}"/>
            </c:ext>
          </c:extLst>
        </c:ser>
        <c:ser>
          <c:idx val="7"/>
          <c:order val="7"/>
          <c:tx>
            <c:strRef>
              <c:f>'Nominal Increments'!$R$22</c:f>
              <c:strCache>
                <c:ptCount val="1"/>
                <c:pt idx="0">
                  <c:v>Stage (8)</c:v>
                </c:pt>
              </c:strCache>
            </c:strRef>
          </c:tx>
          <c:spPr>
            <a:solidFill>
              <a:srgbClr val="99CCFF"/>
            </a:solidFill>
            <a:ln w="25400">
              <a:noFill/>
            </a:ln>
          </c:spPr>
          <c:invertIfNegative val="0"/>
          <c:val>
            <c:numRef>
              <c:f>'Nominal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7-9C4D-46A2-B3C8-37AE5CC788A9}"/>
            </c:ext>
          </c:extLst>
        </c:ser>
        <c:ser>
          <c:idx val="8"/>
          <c:order val="8"/>
          <c:tx>
            <c:strRef>
              <c:f>'Nominal Increments'!$S$22</c:f>
              <c:strCache>
                <c:ptCount val="1"/>
                <c:pt idx="0">
                  <c:v>Stage (9)</c:v>
                </c:pt>
              </c:strCache>
            </c:strRef>
          </c:tx>
          <c:spPr>
            <a:solidFill>
              <a:srgbClr val="FFCC99"/>
            </a:solidFill>
            <a:ln w="25400">
              <a:noFill/>
            </a:ln>
          </c:spPr>
          <c:invertIfNegative val="0"/>
          <c:val>
            <c:numRef>
              <c:f>'Nominal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8-9C4D-46A2-B3C8-37AE5CC788A9}"/>
            </c:ext>
          </c:extLst>
        </c:ser>
        <c:ser>
          <c:idx val="9"/>
          <c:order val="9"/>
          <c:tx>
            <c:strRef>
              <c:f>'Nominal Increments'!$T$22</c:f>
              <c:strCache>
                <c:ptCount val="1"/>
                <c:pt idx="0">
                  <c:v>Stage (10)</c:v>
                </c:pt>
              </c:strCache>
            </c:strRef>
          </c:tx>
          <c:spPr>
            <a:solidFill>
              <a:srgbClr val="CCFFFF"/>
            </a:solidFill>
            <a:ln w="25400">
              <a:noFill/>
            </a:ln>
          </c:spPr>
          <c:invertIfNegative val="0"/>
          <c:val>
            <c:numRef>
              <c:f>'Nominal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9-9C4D-46A2-B3C8-37AE5CC788A9}"/>
            </c:ext>
          </c:extLst>
        </c:ser>
        <c:dLbls>
          <c:showLegendKey val="0"/>
          <c:showVal val="0"/>
          <c:showCatName val="0"/>
          <c:showSerName val="0"/>
          <c:showPercent val="0"/>
          <c:showBubbleSize val="0"/>
        </c:dLbls>
        <c:gapWidth val="0"/>
        <c:overlap val="100"/>
        <c:axId val="192737280"/>
        <c:axId val="192739200"/>
      </c:barChart>
      <c:catAx>
        <c:axId val="192737280"/>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50000083322917976"/>
              <c:y val="0.92000129214617399"/>
            </c:manualLayout>
          </c:layout>
          <c:overlay val="0"/>
          <c:spPr>
            <a:noFill/>
            <a:ln w="25400">
              <a:noFill/>
            </a:ln>
          </c:spPr>
        </c:title>
        <c:majorTickMark val="none"/>
        <c:minorTickMark val="none"/>
        <c:tickLblPos val="none"/>
        <c:spPr>
          <a:ln w="3175">
            <a:solidFill>
              <a:srgbClr val="000000"/>
            </a:solidFill>
            <a:prstDash val="solid"/>
          </a:ln>
        </c:spPr>
        <c:crossAx val="192739200"/>
        <c:crosses val="autoZero"/>
        <c:auto val="1"/>
        <c:lblAlgn val="ctr"/>
        <c:lblOffset val="100"/>
        <c:tickLblSkip val="12"/>
        <c:tickMarkSkip val="12"/>
        <c:noMultiLvlLbl val="0"/>
      </c:catAx>
      <c:valAx>
        <c:axId val="192739200"/>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Total of Nominal ($/month)    </a:t>
                </a:r>
              </a:p>
            </c:rich>
          </c:tx>
          <c:layout>
            <c:manualLayout>
              <c:xMode val="edge"/>
              <c:yMode val="edge"/>
              <c:x val="5.82010582010582E-3"/>
              <c:y val="0.2523080153442358"/>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273728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1</xdr:row>
      <xdr:rowOff>45720</xdr:rowOff>
    </xdr:from>
    <xdr:to>
      <xdr:col>6</xdr:col>
      <xdr:colOff>546276</xdr:colOff>
      <xdr:row>7</xdr:row>
      <xdr:rowOff>2320</xdr:rowOff>
    </xdr:to>
    <xdr:pic>
      <xdr:nvPicPr>
        <xdr:cNvPr id="7" name="Picture 6">
          <a:extLst>
            <a:ext uri="{FF2B5EF4-FFF2-40B4-BE49-F238E27FC236}">
              <a16:creationId xmlns:a16="http://schemas.microsoft.com/office/drawing/2014/main" id="{A6FD71CB-A27A-4C85-8504-45C73D23D1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67640" y="213360"/>
          <a:ext cx="6413676" cy="962440"/>
        </a:xfrm>
        <a:prstGeom prst="rect">
          <a:avLst/>
        </a:prstGeom>
        <a:noFill/>
      </xdr:spPr>
    </xdr:pic>
    <xdr:clientData/>
  </xdr:twoCellAnchor>
  <xdr:twoCellAnchor editAs="absolute">
    <xdr:from>
      <xdr:col>0</xdr:col>
      <xdr:colOff>152400</xdr:colOff>
      <xdr:row>1</xdr:row>
      <xdr:rowOff>1270</xdr:rowOff>
    </xdr:from>
    <xdr:to>
      <xdr:col>3</xdr:col>
      <xdr:colOff>876300</xdr:colOff>
      <xdr:row>5</xdr:row>
      <xdr:rowOff>140970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52400" y="16002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#2021-016T</a:t>
          </a:r>
        </a:p>
      </xdr:txBody>
    </xdr:sp>
    <xdr:clientData/>
  </xdr:twoCellAnchor>
  <xdr:twoCellAnchor>
    <xdr:from>
      <xdr:col>1</xdr:col>
      <xdr:colOff>0</xdr:colOff>
      <xdr:row>46</xdr:row>
      <xdr:rowOff>160020</xdr:rowOff>
    </xdr:from>
    <xdr:to>
      <xdr:col>2</xdr:col>
      <xdr:colOff>1003911</xdr:colOff>
      <xdr:row>46</xdr:row>
      <xdr:rowOff>160020</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514350" y="8105775"/>
          <a:ext cx="1828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0</xdr:colOff>
      <xdr:row>19</xdr:row>
      <xdr:rowOff>0</xdr:rowOff>
    </xdr:to>
    <xdr:graphicFrame macro="">
      <xdr:nvGraphicFramePr>
        <xdr:cNvPr id="6237" name="Chart 1">
          <a:extLst>
            <a:ext uri="{FF2B5EF4-FFF2-40B4-BE49-F238E27FC236}">
              <a16:creationId xmlns:a16="http://schemas.microsoft.com/office/drawing/2014/main" id="{00000000-0008-0000-0B00-00005D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0</xdr:row>
      <xdr:rowOff>45720</xdr:rowOff>
    </xdr:from>
    <xdr:to>
      <xdr:col>6</xdr:col>
      <xdr:colOff>591996</xdr:colOff>
      <xdr:row>5</xdr:row>
      <xdr:rowOff>200440</xdr:rowOff>
    </xdr:to>
    <xdr:pic>
      <xdr:nvPicPr>
        <xdr:cNvPr id="7" name="Picture 6">
          <a:extLst>
            <a:ext uri="{FF2B5EF4-FFF2-40B4-BE49-F238E27FC236}">
              <a16:creationId xmlns:a16="http://schemas.microsoft.com/office/drawing/2014/main" id="{B524589A-1480-4002-BA01-E36B6DA1A84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1960" y="45720"/>
          <a:ext cx="6413676" cy="962440"/>
        </a:xfrm>
        <a:prstGeom prst="rect">
          <a:avLst/>
        </a:prstGeom>
        <a:noFill/>
      </xdr:spPr>
    </xdr:pic>
    <xdr:clientData/>
  </xdr:twoCellAnchor>
  <xdr:twoCellAnchor editAs="absolute">
    <xdr:from>
      <xdr:col>0</xdr:col>
      <xdr:colOff>236220</xdr:colOff>
      <xdr:row>0</xdr:row>
      <xdr:rowOff>0</xdr:rowOff>
    </xdr:from>
    <xdr:to>
      <xdr:col>3</xdr:col>
      <xdr:colOff>1051560</xdr:colOff>
      <xdr:row>5</xdr:row>
      <xdr:rowOff>11430</xdr:rowOff>
    </xdr:to>
    <xdr:sp macro="" textlink="">
      <xdr:nvSpPr>
        <xdr:cNvPr id="8" name="Text Box 2">
          <a:extLst>
            <a:ext uri="{FF2B5EF4-FFF2-40B4-BE49-F238E27FC236}">
              <a16:creationId xmlns:a16="http://schemas.microsoft.com/office/drawing/2014/main" id="{8DE46853-C252-44BD-9C76-09C11687AD76}"/>
            </a:ext>
          </a:extLst>
        </xdr:cNvPr>
        <xdr:cNvSpPr txBox="1">
          <a:spLocks noChangeArrowheads="1"/>
        </xdr:cNvSpPr>
      </xdr:nvSpPr>
      <xdr:spPr bwMode="auto">
        <a:xfrm>
          <a:off x="236220" y="0"/>
          <a:ext cx="328422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#2021-016T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487680</xdr:colOff>
      <xdr:row>0</xdr:row>
      <xdr:rowOff>45720</xdr:rowOff>
    </xdr:from>
    <xdr:to>
      <xdr:col>7</xdr:col>
      <xdr:colOff>35736</xdr:colOff>
      <xdr:row>6</xdr:row>
      <xdr:rowOff>2320</xdr:rowOff>
    </xdr:to>
    <xdr:pic>
      <xdr:nvPicPr>
        <xdr:cNvPr id="4" name="Picture 3">
          <a:extLst>
            <a:ext uri="{FF2B5EF4-FFF2-40B4-BE49-F238E27FC236}">
              <a16:creationId xmlns:a16="http://schemas.microsoft.com/office/drawing/2014/main" id="{6FCD7AF4-330D-478A-B5F6-2002B887A88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87680" y="45720"/>
          <a:ext cx="6413676" cy="962440"/>
        </a:xfrm>
        <a:prstGeom prst="rect">
          <a:avLst/>
        </a:prstGeom>
        <a:noFill/>
      </xdr:spPr>
    </xdr:pic>
    <xdr:clientData/>
  </xdr:twoCellAnchor>
  <xdr:twoCellAnchor editAs="absolute">
    <xdr:from>
      <xdr:col>0</xdr:col>
      <xdr:colOff>198120</xdr:colOff>
      <xdr:row>0</xdr:row>
      <xdr:rowOff>0</xdr:rowOff>
    </xdr:from>
    <xdr:to>
      <xdr:col>3</xdr:col>
      <xdr:colOff>1036320</xdr:colOff>
      <xdr:row>4</xdr:row>
      <xdr:rowOff>148590</xdr:rowOff>
    </xdr:to>
    <xdr:sp macro="" textlink="">
      <xdr:nvSpPr>
        <xdr:cNvPr id="5" name="Text Box 2">
          <a:extLst>
            <a:ext uri="{FF2B5EF4-FFF2-40B4-BE49-F238E27FC236}">
              <a16:creationId xmlns:a16="http://schemas.microsoft.com/office/drawing/2014/main" id="{90886993-E7F7-473D-9836-50F60B12DF21}"/>
            </a:ext>
          </a:extLst>
        </xdr:cNvPr>
        <xdr:cNvSpPr txBox="1">
          <a:spLocks noChangeArrowheads="1"/>
        </xdr:cNvSpPr>
      </xdr:nvSpPr>
      <xdr:spPr bwMode="auto">
        <a:xfrm>
          <a:off x="198120" y="0"/>
          <a:ext cx="329184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No. 2021-016T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464820</xdr:colOff>
      <xdr:row>1</xdr:row>
      <xdr:rowOff>0</xdr:rowOff>
    </xdr:from>
    <xdr:to>
      <xdr:col>7</xdr:col>
      <xdr:colOff>35736</xdr:colOff>
      <xdr:row>6</xdr:row>
      <xdr:rowOff>124240</xdr:rowOff>
    </xdr:to>
    <xdr:pic>
      <xdr:nvPicPr>
        <xdr:cNvPr id="4" name="Picture 3">
          <a:extLst>
            <a:ext uri="{FF2B5EF4-FFF2-40B4-BE49-F238E27FC236}">
              <a16:creationId xmlns:a16="http://schemas.microsoft.com/office/drawing/2014/main" id="{F813B2D9-516B-4145-9495-C9A4C52FEEA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64820" y="167640"/>
          <a:ext cx="6413676" cy="962440"/>
        </a:xfrm>
        <a:prstGeom prst="rect">
          <a:avLst/>
        </a:prstGeom>
        <a:noFill/>
      </xdr:spPr>
    </xdr:pic>
    <xdr:clientData/>
  </xdr:twoCellAnchor>
  <xdr:twoCellAnchor editAs="absolute">
    <xdr:from>
      <xdr:col>0</xdr:col>
      <xdr:colOff>236220</xdr:colOff>
      <xdr:row>0</xdr:row>
      <xdr:rowOff>129540</xdr:rowOff>
    </xdr:from>
    <xdr:to>
      <xdr:col>3</xdr:col>
      <xdr:colOff>876300</xdr:colOff>
      <xdr:row>5</xdr:row>
      <xdr:rowOff>110490</xdr:rowOff>
    </xdr:to>
    <xdr:sp macro="" textlink="">
      <xdr:nvSpPr>
        <xdr:cNvPr id="5" name="Text Box 2">
          <a:extLst>
            <a:ext uri="{FF2B5EF4-FFF2-40B4-BE49-F238E27FC236}">
              <a16:creationId xmlns:a16="http://schemas.microsoft.com/office/drawing/2014/main" id="{78DA3DBC-BB46-4125-9E59-F8815E956B8C}"/>
            </a:ext>
          </a:extLst>
        </xdr:cNvPr>
        <xdr:cNvSpPr txBox="1">
          <a:spLocks noChangeArrowheads="1"/>
        </xdr:cNvSpPr>
      </xdr:nvSpPr>
      <xdr:spPr bwMode="auto">
        <a:xfrm>
          <a:off x="236220" y="12954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No. 2021-016T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xdr:colOff>
      <xdr:row>0</xdr:row>
      <xdr:rowOff>53340</xdr:rowOff>
    </xdr:from>
    <xdr:to>
      <xdr:col>8</xdr:col>
      <xdr:colOff>717726</xdr:colOff>
      <xdr:row>6</xdr:row>
      <xdr:rowOff>9940</xdr:rowOff>
    </xdr:to>
    <xdr:pic>
      <xdr:nvPicPr>
        <xdr:cNvPr id="2" name="Picture 1">
          <a:extLst>
            <a:ext uri="{FF2B5EF4-FFF2-40B4-BE49-F238E27FC236}">
              <a16:creationId xmlns:a16="http://schemas.microsoft.com/office/drawing/2014/main" id="{6E531B81-5972-4280-86B2-2CFD8D9BD5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0960" y="53340"/>
          <a:ext cx="6413676" cy="962440"/>
        </a:xfrm>
        <a:prstGeom prst="rect">
          <a:avLst/>
        </a:prstGeom>
        <a:noFill/>
      </xdr:spPr>
    </xdr:pic>
    <xdr:clientData/>
  </xdr:twoCellAnchor>
  <xdr:twoCellAnchor editAs="absolute">
    <xdr:from>
      <xdr:col>0</xdr:col>
      <xdr:colOff>45720</xdr:colOff>
      <xdr:row>0</xdr:row>
      <xdr:rowOff>0</xdr:rowOff>
    </xdr:from>
    <xdr:to>
      <xdr:col>4</xdr:col>
      <xdr:colOff>601980</xdr:colOff>
      <xdr:row>4</xdr:row>
      <xdr:rowOff>148590</xdr:rowOff>
    </xdr:to>
    <xdr:sp macro="" textlink="">
      <xdr:nvSpPr>
        <xdr:cNvPr id="3" name="Text Box 2">
          <a:extLst>
            <a:ext uri="{FF2B5EF4-FFF2-40B4-BE49-F238E27FC236}">
              <a16:creationId xmlns:a16="http://schemas.microsoft.com/office/drawing/2014/main" id="{B5939C0D-83A8-4AB5-A417-65965010F667}"/>
            </a:ext>
          </a:extLst>
        </xdr:cNvPr>
        <xdr:cNvSpPr txBox="1">
          <a:spLocks noChangeArrowheads="1"/>
        </xdr:cNvSpPr>
      </xdr:nvSpPr>
      <xdr:spPr bwMode="auto">
        <a:xfrm>
          <a:off x="4572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#2021-016T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91440</xdr:colOff>
      <xdr:row>0</xdr:row>
      <xdr:rowOff>68580</xdr:rowOff>
    </xdr:from>
    <xdr:to>
      <xdr:col>8</xdr:col>
      <xdr:colOff>637716</xdr:colOff>
      <xdr:row>6</xdr:row>
      <xdr:rowOff>25180</xdr:rowOff>
    </xdr:to>
    <xdr:pic>
      <xdr:nvPicPr>
        <xdr:cNvPr id="4" name="Picture 3">
          <a:extLst>
            <a:ext uri="{FF2B5EF4-FFF2-40B4-BE49-F238E27FC236}">
              <a16:creationId xmlns:a16="http://schemas.microsoft.com/office/drawing/2014/main" id="{5B167ECD-489C-47AA-B6FB-37463839F13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440" y="68580"/>
          <a:ext cx="6413676" cy="962440"/>
        </a:xfrm>
        <a:prstGeom prst="rect">
          <a:avLst/>
        </a:prstGeom>
        <a:noFill/>
      </xdr:spPr>
    </xdr:pic>
    <xdr:clientData/>
  </xdr:twoCellAnchor>
  <xdr:twoCellAnchor editAs="absolute">
    <xdr:from>
      <xdr:col>0</xdr:col>
      <xdr:colOff>68580</xdr:colOff>
      <xdr:row>0</xdr:row>
      <xdr:rowOff>15240</xdr:rowOff>
    </xdr:from>
    <xdr:to>
      <xdr:col>4</xdr:col>
      <xdr:colOff>419100</xdr:colOff>
      <xdr:row>4</xdr:row>
      <xdr:rowOff>163830</xdr:rowOff>
    </xdr:to>
    <xdr:sp macro="" textlink="">
      <xdr:nvSpPr>
        <xdr:cNvPr id="5" name="Text Box 2">
          <a:extLst>
            <a:ext uri="{FF2B5EF4-FFF2-40B4-BE49-F238E27FC236}">
              <a16:creationId xmlns:a16="http://schemas.microsoft.com/office/drawing/2014/main" id="{82154A71-8F7A-4A9E-8CD6-7C8083FDCE52}"/>
            </a:ext>
          </a:extLst>
        </xdr:cNvPr>
        <xdr:cNvSpPr txBox="1">
          <a:spLocks noChangeArrowheads="1"/>
        </xdr:cNvSpPr>
      </xdr:nvSpPr>
      <xdr:spPr bwMode="auto">
        <a:xfrm>
          <a:off x="68580" y="1524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#2021-016T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9</xdr:col>
      <xdr:colOff>119556</xdr:colOff>
      <xdr:row>5</xdr:row>
      <xdr:rowOff>154720</xdr:rowOff>
    </xdr:to>
    <xdr:pic>
      <xdr:nvPicPr>
        <xdr:cNvPr id="2" name="Picture 1">
          <a:extLst>
            <a:ext uri="{FF2B5EF4-FFF2-40B4-BE49-F238E27FC236}">
              <a16:creationId xmlns:a16="http://schemas.microsoft.com/office/drawing/2014/main" id="{B29A1DD0-026B-4F43-9809-97C43BBAD52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3340" y="30480"/>
          <a:ext cx="6413676" cy="962440"/>
        </a:xfrm>
        <a:prstGeom prst="rect">
          <a:avLst/>
        </a:prstGeom>
        <a:noFill/>
      </xdr:spPr>
    </xdr:pic>
    <xdr:clientData/>
  </xdr:twoCellAnchor>
  <xdr:twoCellAnchor editAs="absolute">
    <xdr:from>
      <xdr:col>0</xdr:col>
      <xdr:colOff>0</xdr:colOff>
      <xdr:row>0</xdr:row>
      <xdr:rowOff>0</xdr:rowOff>
    </xdr:from>
    <xdr:to>
      <xdr:col>4</xdr:col>
      <xdr:colOff>662940</xdr:colOff>
      <xdr:row>4</xdr:row>
      <xdr:rowOff>148590</xdr:rowOff>
    </xdr:to>
    <xdr:sp macro="" textlink="">
      <xdr:nvSpPr>
        <xdr:cNvPr id="3" name="Text Box 2">
          <a:extLst>
            <a:ext uri="{FF2B5EF4-FFF2-40B4-BE49-F238E27FC236}">
              <a16:creationId xmlns:a16="http://schemas.microsoft.com/office/drawing/2014/main" id="{5209C216-CA4C-4BCD-98B6-1A682BB7D487}"/>
            </a:ext>
          </a:extLst>
        </xdr:cNvPr>
        <xdr:cNvSpPr txBox="1">
          <a:spLocks noChangeArrowheads="1"/>
        </xdr:cNvSpPr>
      </xdr:nvSpPr>
      <xdr:spPr bwMode="auto">
        <a:xfrm>
          <a:off x="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No. 2021-016T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8</xdr:col>
      <xdr:colOff>851076</xdr:colOff>
      <xdr:row>5</xdr:row>
      <xdr:rowOff>154720</xdr:rowOff>
    </xdr:to>
    <xdr:pic>
      <xdr:nvPicPr>
        <xdr:cNvPr id="2" name="Picture 1">
          <a:extLst>
            <a:ext uri="{FF2B5EF4-FFF2-40B4-BE49-F238E27FC236}">
              <a16:creationId xmlns:a16="http://schemas.microsoft.com/office/drawing/2014/main" id="{88951D21-7725-4CBE-9F5B-B3DE4317E6B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3340" y="30480"/>
          <a:ext cx="6413676" cy="962440"/>
        </a:xfrm>
        <a:prstGeom prst="rect">
          <a:avLst/>
        </a:prstGeom>
        <a:noFill/>
      </xdr:spPr>
    </xdr:pic>
    <xdr:clientData/>
  </xdr:twoCellAnchor>
  <xdr:twoCellAnchor editAs="absolute">
    <xdr:from>
      <xdr:col>0</xdr:col>
      <xdr:colOff>0</xdr:colOff>
      <xdr:row>0</xdr:row>
      <xdr:rowOff>0</xdr:rowOff>
    </xdr:from>
    <xdr:to>
      <xdr:col>4</xdr:col>
      <xdr:colOff>510540</xdr:colOff>
      <xdr:row>4</xdr:row>
      <xdr:rowOff>148590</xdr:rowOff>
    </xdr:to>
    <xdr:sp macro="" textlink="">
      <xdr:nvSpPr>
        <xdr:cNvPr id="3" name="Text Box 2">
          <a:extLst>
            <a:ext uri="{FF2B5EF4-FFF2-40B4-BE49-F238E27FC236}">
              <a16:creationId xmlns:a16="http://schemas.microsoft.com/office/drawing/2014/main" id="{3F7161FE-E97F-4FEF-9FD5-E58B2C6776F6}"/>
            </a:ext>
          </a:extLst>
        </xdr:cNvPr>
        <xdr:cNvSpPr txBox="1">
          <a:spLocks noChangeArrowheads="1"/>
        </xdr:cNvSpPr>
      </xdr:nvSpPr>
      <xdr:spPr bwMode="auto">
        <a:xfrm>
          <a:off x="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Contribution Calculator for ISO Tariff</a:t>
          </a:r>
        </a:p>
        <a:p>
          <a:pPr algn="l" rtl="0">
            <a:defRPr sz="1000"/>
          </a:pPr>
          <a:r>
            <a:rPr lang="en-CA" sz="1400" b="0" i="0" u="none" strike="noStrike" baseline="0">
              <a:solidFill>
                <a:schemeClr val="tx2"/>
              </a:solidFill>
              <a:latin typeface="Arial"/>
              <a:cs typeface="Arial"/>
            </a:rPr>
            <a:t>ID No. 2021-016T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7620</xdr:colOff>
      <xdr:row>19</xdr:row>
      <xdr:rowOff>7620</xdr:rowOff>
    </xdr:to>
    <xdr:graphicFrame macro="">
      <xdr:nvGraphicFramePr>
        <xdr:cNvPr id="7261" name="Chart 1">
          <a:extLst>
            <a:ext uri="{FF2B5EF4-FFF2-40B4-BE49-F238E27FC236}">
              <a16:creationId xmlns:a16="http://schemas.microsoft.com/office/drawing/2014/main" id="{00000000-0008-0000-0A00-00005D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I63"/>
  <sheetViews>
    <sheetView showGridLines="0" tabSelected="1" zoomScaleNormal="100" workbookViewId="0">
      <selection activeCell="H61" sqref="H61"/>
    </sheetView>
  </sheetViews>
  <sheetFormatPr defaultRowHeight="12.75" x14ac:dyDescent="0.2"/>
  <cols>
    <col min="1" max="1" width="2.7109375" customWidth="1"/>
    <col min="2" max="2" width="12.7109375" customWidth="1"/>
    <col min="3" max="3" width="19.28515625" customWidth="1"/>
    <col min="4" max="4" width="21.28515625" customWidth="1"/>
    <col min="5" max="5" width="19.28515625" customWidth="1"/>
    <col min="6" max="6" width="12.7109375" customWidth="1"/>
    <col min="7" max="7" width="8.28515625" customWidth="1"/>
  </cols>
  <sheetData>
    <row r="7" spans="2:9" x14ac:dyDescent="0.2">
      <c r="I7" s="278"/>
    </row>
    <row r="8" spans="2:9" s="251" customFormat="1" ht="12.75" customHeight="1" x14ac:dyDescent="0.2">
      <c r="B8" s="404" t="s">
        <v>269</v>
      </c>
      <c r="C8" s="404"/>
      <c r="D8" s="404"/>
      <c r="E8" s="404"/>
      <c r="F8" s="404"/>
    </row>
    <row r="9" spans="2:9" s="251" customFormat="1" ht="12.75" customHeight="1" x14ac:dyDescent="0.2">
      <c r="B9" s="404"/>
      <c r="C9" s="404"/>
      <c r="D9" s="404"/>
      <c r="E9" s="404"/>
      <c r="F9" s="404"/>
      <c r="I9" s="176"/>
    </row>
    <row r="10" spans="2:9" s="251" customFormat="1" ht="12.75" customHeight="1" x14ac:dyDescent="0.2">
      <c r="B10" s="404"/>
      <c r="C10" s="404"/>
      <c r="D10" s="404"/>
      <c r="E10" s="404"/>
      <c r="F10" s="404"/>
    </row>
    <row r="11" spans="2:9" s="251" customFormat="1" ht="12.75" customHeight="1" x14ac:dyDescent="0.2">
      <c r="B11" s="404"/>
      <c r="C11" s="404"/>
      <c r="D11" s="404"/>
      <c r="E11" s="404"/>
      <c r="F11" s="404"/>
    </row>
    <row r="12" spans="2:9" s="174" customFormat="1" ht="15.75" x14ac:dyDescent="0.25">
      <c r="B12" s="341" t="s">
        <v>153</v>
      </c>
    </row>
    <row r="13" spans="2:9" s="259" customFormat="1" ht="6.75" x14ac:dyDescent="0.15"/>
    <row r="14" spans="2:9" ht="12.75" customHeight="1" x14ac:dyDescent="0.2">
      <c r="B14" s="307" t="s">
        <v>274</v>
      </c>
      <c r="F14" s="177"/>
      <c r="I14" s="278"/>
    </row>
    <row r="15" spans="2:9" ht="14.85" customHeight="1" x14ac:dyDescent="0.2">
      <c r="B15" s="176" t="s">
        <v>222</v>
      </c>
      <c r="C15" s="176"/>
      <c r="H15" s="307"/>
      <c r="I15" s="278"/>
    </row>
    <row r="16" spans="2:9" ht="14.85" customHeight="1" x14ac:dyDescent="0.2">
      <c r="B16" s="176" t="s">
        <v>275</v>
      </c>
      <c r="C16" s="176"/>
      <c r="D16" s="177"/>
      <c r="E16" s="177"/>
      <c r="H16" s="307"/>
      <c r="I16" s="278"/>
    </row>
    <row r="17" spans="2:9" s="306" customFormat="1" ht="14.85" customHeight="1" x14ac:dyDescent="0.2">
      <c r="B17" s="315" t="s">
        <v>335</v>
      </c>
      <c r="C17" s="315"/>
      <c r="D17" s="177"/>
      <c r="E17" s="177"/>
      <c r="H17" s="307"/>
      <c r="I17" s="307"/>
    </row>
    <row r="18" spans="2:9" ht="14.85" customHeight="1" x14ac:dyDescent="0.2">
      <c r="B18" s="176" t="s">
        <v>276</v>
      </c>
      <c r="C18" s="176"/>
      <c r="H18" s="307"/>
      <c r="I18" s="278"/>
    </row>
    <row r="19" spans="2:9" ht="14.85" customHeight="1" x14ac:dyDescent="0.2">
      <c r="B19" s="176" t="s">
        <v>334</v>
      </c>
      <c r="C19" s="176"/>
      <c r="H19" s="307"/>
      <c r="I19" s="1"/>
    </row>
    <row r="20" spans="2:9" s="175" customFormat="1" ht="12" x14ac:dyDescent="0.2"/>
    <row r="21" spans="2:9" x14ac:dyDescent="0.2">
      <c r="B21" s="307" t="s">
        <v>277</v>
      </c>
    </row>
    <row r="22" spans="2:9" x14ac:dyDescent="0.2">
      <c r="B22" s="89" t="s">
        <v>199</v>
      </c>
    </row>
    <row r="23" spans="2:9" x14ac:dyDescent="0.2">
      <c r="B23" s="307" t="s">
        <v>336</v>
      </c>
    </row>
    <row r="24" spans="2:9" x14ac:dyDescent="0.2">
      <c r="B24" s="278" t="s">
        <v>337</v>
      </c>
      <c r="I24" s="278"/>
    </row>
    <row r="25" spans="2:9" s="175" customFormat="1" ht="12" x14ac:dyDescent="0.2"/>
    <row r="26" spans="2:9" x14ac:dyDescent="0.2">
      <c r="B26" s="307" t="s">
        <v>278</v>
      </c>
    </row>
    <row r="27" spans="2:9" x14ac:dyDescent="0.2">
      <c r="B27" s="89" t="s">
        <v>177</v>
      </c>
    </row>
    <row r="28" spans="2:9" s="175" customFormat="1" ht="12" x14ac:dyDescent="0.2"/>
    <row r="29" spans="2:9" s="174" customFormat="1" ht="15.75" x14ac:dyDescent="0.25">
      <c r="B29" s="341" t="s">
        <v>178</v>
      </c>
    </row>
    <row r="30" spans="2:9" s="259" customFormat="1" ht="6.75" x14ac:dyDescent="0.15"/>
    <row r="31" spans="2:9" s="177" customFormat="1" x14ac:dyDescent="0.2">
      <c r="B31" s="251" t="s">
        <v>179</v>
      </c>
    </row>
    <row r="32" spans="2:9" s="177" customFormat="1" x14ac:dyDescent="0.2">
      <c r="B32" s="251" t="s">
        <v>200</v>
      </c>
    </row>
    <row r="33" spans="1:3" s="260" customFormat="1" ht="9" x14ac:dyDescent="0.15"/>
    <row r="34" spans="1:3" s="253" customFormat="1" ht="16.5" x14ac:dyDescent="0.2">
      <c r="A34" s="261"/>
      <c r="B34" s="253" t="s">
        <v>180</v>
      </c>
    </row>
    <row r="35" spans="1:3" s="177" customFormat="1" x14ac:dyDescent="0.2">
      <c r="B35" s="176" t="s">
        <v>338</v>
      </c>
    </row>
    <row r="36" spans="1:3" s="177" customFormat="1" x14ac:dyDescent="0.2">
      <c r="B36" s="176" t="s">
        <v>339</v>
      </c>
    </row>
    <row r="37" spans="1:3" s="177" customFormat="1" x14ac:dyDescent="0.2">
      <c r="B37" s="176" t="s">
        <v>279</v>
      </c>
    </row>
    <row r="38" spans="1:3" s="177" customFormat="1" x14ac:dyDescent="0.2">
      <c r="B38" s="315" t="s">
        <v>257</v>
      </c>
    </row>
    <row r="39" spans="1:3" s="177" customFormat="1" x14ac:dyDescent="0.2">
      <c r="B39" s="315" t="s">
        <v>280</v>
      </c>
    </row>
    <row r="40" spans="1:3" s="177" customFormat="1" x14ac:dyDescent="0.2">
      <c r="B40" s="315" t="s">
        <v>258</v>
      </c>
    </row>
    <row r="41" spans="1:3" s="177" customFormat="1" x14ac:dyDescent="0.2">
      <c r="B41" s="315" t="s">
        <v>281</v>
      </c>
    </row>
    <row r="42" spans="1:3" s="177" customFormat="1" x14ac:dyDescent="0.2">
      <c r="B42" s="315"/>
    </row>
    <row r="43" spans="1:3" s="177" customFormat="1" x14ac:dyDescent="0.2">
      <c r="B43" s="177" t="s">
        <v>282</v>
      </c>
    </row>
    <row r="44" spans="1:3" s="177" customFormat="1" x14ac:dyDescent="0.2">
      <c r="B44" s="177" t="s">
        <v>181</v>
      </c>
    </row>
    <row r="45" spans="1:3" s="177" customFormat="1" x14ac:dyDescent="0.2">
      <c r="B45" s="177" t="s">
        <v>283</v>
      </c>
    </row>
    <row r="46" spans="1:3" s="177" customFormat="1" x14ac:dyDescent="0.2">
      <c r="B46" s="177" t="s">
        <v>182</v>
      </c>
    </row>
    <row r="47" spans="1:3" x14ac:dyDescent="0.2">
      <c r="B47" s="118"/>
      <c r="C47" s="118"/>
    </row>
    <row r="48" spans="1:3" x14ac:dyDescent="0.2">
      <c r="B48" s="118"/>
      <c r="C48" s="118"/>
    </row>
    <row r="49" spans="1:9" s="258" customFormat="1" ht="12" customHeight="1" x14ac:dyDescent="0.2">
      <c r="B49" s="342" t="s">
        <v>270</v>
      </c>
    </row>
    <row r="50" spans="1:9" s="258" customFormat="1" ht="12" customHeight="1" x14ac:dyDescent="0.2">
      <c r="B50" s="342" t="s">
        <v>271</v>
      </c>
    </row>
    <row r="51" spans="1:9" s="258" customFormat="1" ht="12" customHeight="1" x14ac:dyDescent="0.2">
      <c r="B51" s="342" t="s">
        <v>272</v>
      </c>
    </row>
    <row r="52" spans="1:9" s="257" customFormat="1" ht="12" customHeight="1" x14ac:dyDescent="0.2">
      <c r="B52" s="343" t="s">
        <v>273</v>
      </c>
    </row>
    <row r="53" spans="1:9" s="177" customFormat="1" x14ac:dyDescent="0.2">
      <c r="A53" s="177" t="s">
        <v>185</v>
      </c>
    </row>
    <row r="54" spans="1:9" s="254" customFormat="1" ht="11.25" x14ac:dyDescent="0.2">
      <c r="B54" s="279"/>
      <c r="D54" s="255"/>
      <c r="F54" s="282"/>
    </row>
    <row r="55" spans="1:9" s="249" customFormat="1" x14ac:dyDescent="0.2">
      <c r="I55" s="298"/>
    </row>
    <row r="56" spans="1:9" s="89" customFormat="1" ht="18" customHeight="1" x14ac:dyDescent="0.2"/>
    <row r="57" spans="1:9" s="89" customFormat="1" x14ac:dyDescent="0.2"/>
    <row r="58" spans="1:9" s="89" customFormat="1" x14ac:dyDescent="0.2"/>
    <row r="59" spans="1:9" s="89" customFormat="1" x14ac:dyDescent="0.2"/>
    <row r="60" spans="1:9" s="89" customFormat="1" x14ac:dyDescent="0.2"/>
    <row r="61" spans="1:9" s="89" customFormat="1" x14ac:dyDescent="0.2"/>
    <row r="62" spans="1:9" s="89" customFormat="1" x14ac:dyDescent="0.2"/>
    <row r="63" spans="1:9" s="89" customFormat="1" x14ac:dyDescent="0.2"/>
  </sheetData>
  <mergeCells count="1">
    <mergeCell ref="B8:F11"/>
  </mergeCells>
  <pageMargins left="0.5" right="0.5" top="0.75" bottom="0.5" header="0.5" footer="0.25"/>
  <pageSetup orientation="portrait" r:id="rId1"/>
  <headerFooter alignWithMargins="0">
    <oddFooter>&amp;L&amp;8Posted: 2021-01-08&amp;C&amp;8Page 1&amp;R&amp;8Public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262"/>
  <sheetViews>
    <sheetView showGridLines="0" topLeftCell="A118" workbookViewId="0">
      <selection activeCell="I10" sqref="I10"/>
    </sheetView>
  </sheetViews>
  <sheetFormatPr defaultColWidth="10.7109375" defaultRowHeight="12.75" x14ac:dyDescent="0.2"/>
  <cols>
    <col min="1" max="1" width="10.7109375" customWidth="1"/>
    <col min="2" max="3" width="5.7109375" customWidth="1"/>
    <col min="4" max="8" width="9.42578125" customWidth="1"/>
    <col min="9" max="9" width="9.7109375" customWidth="1"/>
    <col min="10" max="10" width="11.7109375" bestFit="1" customWidth="1"/>
    <col min="11" max="20" width="9" customWidth="1"/>
  </cols>
  <sheetData>
    <row r="1" spans="1:11" s="137" customFormat="1" ht="18.75" x14ac:dyDescent="0.4">
      <c r="A1" s="505" t="s">
        <v>164</v>
      </c>
      <c r="B1" s="505"/>
      <c r="C1" s="505"/>
      <c r="D1" s="505"/>
      <c r="E1" s="505"/>
      <c r="F1" s="505"/>
      <c r="G1" s="505"/>
      <c r="H1" s="505"/>
      <c r="I1" s="505"/>
      <c r="J1" s="505"/>
    </row>
    <row r="2" spans="1:11" s="138" customFormat="1" ht="8.25" x14ac:dyDescent="0.15"/>
    <row r="3" spans="1:11" x14ac:dyDescent="0.2">
      <c r="A3" t="s">
        <v>3</v>
      </c>
      <c r="C3" s="443" t="str">
        <f>ParticipantName</f>
        <v>Name of Market Participant</v>
      </c>
      <c r="D3" s="443"/>
      <c r="E3" s="443"/>
      <c r="F3" s="443"/>
      <c r="G3" s="443"/>
      <c r="I3" s="108" t="s">
        <v>0</v>
      </c>
      <c r="J3" t="str">
        <f>'A1 Costs and Contract'!I10</f>
        <v>AESO 2021</v>
      </c>
    </row>
    <row r="4" spans="1:11" x14ac:dyDescent="0.2">
      <c r="A4" s="307" t="s">
        <v>321</v>
      </c>
      <c r="C4" s="443" t="str">
        <f>ProjectName</f>
        <v>Project Name</v>
      </c>
      <c r="D4" s="443"/>
      <c r="E4" s="443"/>
      <c r="F4" s="443"/>
      <c r="G4" s="443"/>
      <c r="I4" s="108" t="s">
        <v>1</v>
      </c>
      <c r="J4" s="402">
        <f>'A1 Costs and Contract'!I11</f>
        <v>44197</v>
      </c>
    </row>
    <row r="5" spans="1:11" x14ac:dyDescent="0.2">
      <c r="A5" s="307" t="s">
        <v>322</v>
      </c>
      <c r="C5" s="444" t="str">
        <f>ProjectNumber</f>
        <v>Project Number</v>
      </c>
      <c r="D5" s="444"/>
      <c r="E5" s="3" t="s">
        <v>2</v>
      </c>
      <c r="F5" s="506" t="str">
        <f>ProjectType</f>
        <v>DTS Only</v>
      </c>
      <c r="G5" s="506"/>
      <c r="H5" s="506"/>
      <c r="I5" s="108" t="s">
        <v>13</v>
      </c>
      <c r="J5" s="402" t="str">
        <f>'A1 Costs and Contract'!I12</f>
        <v>Current</v>
      </c>
    </row>
    <row r="7" spans="1:11" x14ac:dyDescent="0.2">
      <c r="A7" s="484" t="s">
        <v>77</v>
      </c>
      <c r="B7" s="485"/>
      <c r="C7" s="485"/>
      <c r="D7" s="486"/>
    </row>
    <row r="8" spans="1:11" x14ac:dyDescent="0.2">
      <c r="A8" s="169" t="s">
        <v>9</v>
      </c>
      <c r="B8" s="507">
        <v>0</v>
      </c>
      <c r="C8" s="507"/>
      <c r="D8" s="170">
        <f>SUM(B$8:B8)</f>
        <v>0</v>
      </c>
    </row>
    <row r="9" spans="1:11" x14ac:dyDescent="0.2">
      <c r="A9" s="12">
        <f>'A1 Costs and Contract'!A47</f>
        <v>1</v>
      </c>
      <c r="B9" s="508">
        <f>SUM('A1 Costs and Contract'!C47)</f>
        <v>240</v>
      </c>
      <c r="C9" s="508"/>
      <c r="D9" s="88">
        <f>SUM(B$8:B9)</f>
        <v>240</v>
      </c>
      <c r="F9" s="186"/>
      <c r="K9" s="183"/>
    </row>
    <row r="10" spans="1:11" x14ac:dyDescent="0.2">
      <c r="A10" s="20">
        <f>'A1 Costs and Contract'!A48</f>
        <v>0</v>
      </c>
      <c r="B10" s="509">
        <f>IF(A10=0,0,SUM('A1 Costs and Contract'!C48))</f>
        <v>0</v>
      </c>
      <c r="C10" s="509"/>
      <c r="D10" s="172" t="str">
        <f>IF(A10=0,"",SUM(B$8:B10))</f>
        <v/>
      </c>
    </row>
    <row r="11" spans="1:11" x14ac:dyDescent="0.2">
      <c r="A11" s="13">
        <f>'A1 Costs and Contract'!A49</f>
        <v>0</v>
      </c>
      <c r="B11" s="509">
        <f>IF(A11=0,0,SUM('A1 Costs and Contract'!C49))</f>
        <v>0</v>
      </c>
      <c r="C11" s="509"/>
      <c r="D11" s="172" t="str">
        <f>IF(A11=0,"",SUM(B$8:B11))</f>
        <v/>
      </c>
    </row>
    <row r="12" spans="1:11" x14ac:dyDescent="0.2">
      <c r="A12" s="13">
        <f>'A1 Costs and Contract'!A50</f>
        <v>0</v>
      </c>
      <c r="B12" s="509">
        <f>IF(A12=0,0,SUM('A1 Costs and Contract'!C50))</f>
        <v>0</v>
      </c>
      <c r="C12" s="509"/>
      <c r="D12" s="172" t="str">
        <f>IF(A12=0,"",SUM(B$8:B12))</f>
        <v/>
      </c>
    </row>
    <row r="13" spans="1:11" x14ac:dyDescent="0.2">
      <c r="A13" s="13">
        <f>'A1 Costs and Contract'!A51</f>
        <v>0</v>
      </c>
      <c r="B13" s="509">
        <f>IF(A13=0,0,SUM('A1 Costs and Contract'!C51))</f>
        <v>0</v>
      </c>
      <c r="C13" s="509"/>
      <c r="D13" s="172" t="str">
        <f>IF(A13=0,"",SUM(B$8:B13))</f>
        <v/>
      </c>
    </row>
    <row r="14" spans="1:11" x14ac:dyDescent="0.2">
      <c r="A14" s="13">
        <f>'A1 Costs and Contract'!A52</f>
        <v>0</v>
      </c>
      <c r="B14" s="509">
        <f>IF(A14=0,0,SUM('A1 Costs and Contract'!C52))</f>
        <v>0</v>
      </c>
      <c r="C14" s="509"/>
      <c r="D14" s="172" t="str">
        <f>IF(A14=0,"",SUM(B$8:B14))</f>
        <v/>
      </c>
    </row>
    <row r="15" spans="1:11" x14ac:dyDescent="0.2">
      <c r="A15" s="13">
        <f>'A1 Costs and Contract'!A53</f>
        <v>0</v>
      </c>
      <c r="B15" s="509">
        <f>IF(A15=0,0,SUM('A1 Costs and Contract'!C53))</f>
        <v>0</v>
      </c>
      <c r="C15" s="509"/>
      <c r="D15" s="172" t="str">
        <f>IF(A15=0,"",SUM(B$8:B15))</f>
        <v/>
      </c>
    </row>
    <row r="16" spans="1:11" x14ac:dyDescent="0.2">
      <c r="A16" s="13">
        <f>'A1 Costs and Contract'!A54</f>
        <v>0</v>
      </c>
      <c r="B16" s="509">
        <f>IF(A16=0,0,SUM('A1 Costs and Contract'!C54))</f>
        <v>0</v>
      </c>
      <c r="C16" s="509"/>
      <c r="D16" s="172" t="str">
        <f>IF(A16=0,"",SUM(B$8:B16))</f>
        <v/>
      </c>
    </row>
    <row r="17" spans="1:20" x14ac:dyDescent="0.2">
      <c r="A17" s="13">
        <f>'A1 Costs and Contract'!A55</f>
        <v>0</v>
      </c>
      <c r="B17" s="509">
        <f>IF(A17=0,0,SUM('A1 Costs and Contract'!C55))</f>
        <v>0</v>
      </c>
      <c r="C17" s="509"/>
      <c r="D17" s="172" t="str">
        <f>IF(A17=0,"",SUM(B$8:B17))</f>
        <v/>
      </c>
    </row>
    <row r="18" spans="1:20" x14ac:dyDescent="0.2">
      <c r="A18" s="14">
        <f>'A1 Costs and Contract'!A56</f>
        <v>0</v>
      </c>
      <c r="B18" s="510">
        <f>IF(A18=0,0,SUM('A1 Costs and Contract'!C56))</f>
        <v>0</v>
      </c>
      <c r="C18" s="510"/>
      <c r="D18" s="173" t="str">
        <f>IF(A18=0,"",SUM(B$8:B18))</f>
        <v/>
      </c>
    </row>
    <row r="19" spans="1:20" x14ac:dyDescent="0.2">
      <c r="A19" s="125"/>
      <c r="B19" s="126"/>
      <c r="C19" s="126"/>
      <c r="D19" s="126"/>
    </row>
    <row r="20" spans="1:20" x14ac:dyDescent="0.2">
      <c r="A20" s="484" t="s">
        <v>149</v>
      </c>
      <c r="B20" s="485"/>
      <c r="C20" s="485"/>
      <c r="D20" s="485"/>
      <c r="E20" s="485"/>
      <c r="F20" s="485"/>
      <c r="G20" s="485"/>
      <c r="H20" s="485"/>
      <c r="I20" s="486"/>
      <c r="J20" s="484" t="s">
        <v>146</v>
      </c>
      <c r="K20" s="485"/>
      <c r="L20" s="485"/>
      <c r="M20" s="485"/>
      <c r="N20" s="485"/>
      <c r="O20" s="485"/>
      <c r="P20" s="485"/>
      <c r="Q20" s="485"/>
      <c r="R20" s="485"/>
      <c r="S20" s="485"/>
      <c r="T20" s="486"/>
    </row>
    <row r="21" spans="1:20" x14ac:dyDescent="0.2">
      <c r="A21" s="6"/>
      <c r="B21" s="33"/>
      <c r="C21" s="34"/>
      <c r="D21" s="482" t="s">
        <v>141</v>
      </c>
      <c r="E21" s="511"/>
      <c r="F21" s="511"/>
      <c r="G21" s="511"/>
      <c r="H21" s="511"/>
      <c r="I21" s="8" t="s">
        <v>49</v>
      </c>
      <c r="J21" s="65" t="s">
        <v>148</v>
      </c>
      <c r="K21" s="511" t="s">
        <v>147</v>
      </c>
      <c r="L21" s="511"/>
      <c r="M21" s="511"/>
      <c r="N21" s="511"/>
      <c r="O21" s="511"/>
      <c r="P21" s="511"/>
      <c r="Q21" s="511"/>
      <c r="R21" s="511"/>
      <c r="S21" s="511"/>
      <c r="T21" s="512"/>
    </row>
    <row r="22" spans="1:20" x14ac:dyDescent="0.2">
      <c r="A22" s="9" t="s">
        <v>39</v>
      </c>
      <c r="B22" s="10" t="s">
        <v>44</v>
      </c>
      <c r="C22" s="32" t="s">
        <v>9</v>
      </c>
      <c r="D22" s="2" t="s">
        <v>26</v>
      </c>
      <c r="E22" s="52" t="s">
        <v>31</v>
      </c>
      <c r="F22" s="52" t="s">
        <v>32</v>
      </c>
      <c r="G22" s="52" t="s">
        <v>33</v>
      </c>
      <c r="H22" s="31" t="s">
        <v>34</v>
      </c>
      <c r="I22" s="32" t="s">
        <v>40</v>
      </c>
      <c r="J22" s="9" t="s">
        <v>40</v>
      </c>
      <c r="K22" s="197" t="s">
        <v>119</v>
      </c>
      <c r="L22" s="199" t="s">
        <v>132</v>
      </c>
      <c r="M22" s="201" t="s">
        <v>133</v>
      </c>
      <c r="N22" s="198" t="s">
        <v>134</v>
      </c>
      <c r="O22" s="200" t="s">
        <v>135</v>
      </c>
      <c r="P22" s="202" t="s">
        <v>136</v>
      </c>
      <c r="Q22" s="204" t="s">
        <v>137</v>
      </c>
      <c r="R22" s="205" t="s">
        <v>138</v>
      </c>
      <c r="S22" s="203" t="s">
        <v>139</v>
      </c>
      <c r="T22" s="206" t="s">
        <v>140</v>
      </c>
    </row>
    <row r="23" spans="1:20" x14ac:dyDescent="0.2">
      <c r="A23" s="85">
        <f>DATE(YEAR(CommOperDate),MONTH(CommOperDate),1)</f>
        <v>1</v>
      </c>
      <c r="B23" s="140">
        <v>1</v>
      </c>
      <c r="C23" s="141">
        <f>MATCH(B23-1,$D$8:$D$18,1)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47">
        <f>IF(ISNUMBER(VLOOKUP($C23,'A4 Investment'!$A$24:$G$33,7,FALSE)),VLOOKUP($C23,'A4 Investment'!$A$24:$G$33,7,FALSE)*'A4 Investment'!G$18/12,0)</f>
        <v>0</v>
      </c>
      <c r="I23" s="148">
        <f>SUM(D23:H23)</f>
        <v>8904.1666666666661</v>
      </c>
      <c r="J23" s="157">
        <f>IF($B23="NA","NA",SUM(K23:T23))</f>
        <v>8904.1666666666661</v>
      </c>
      <c r="K23" s="147">
        <f>IF($B23="NA","NA",-PV(DiscountRate/12,0,0,'Nominal Increments'!K23,0))</f>
        <v>8904.1666666666661</v>
      </c>
      <c r="L23" s="147">
        <f>IF($B23="NA","NA",IF($A$10=0,0,-PV(DiscountRate/12,$D$9,0,'Nominal Increments'!L23,0)))</f>
        <v>0</v>
      </c>
      <c r="M23" s="147">
        <f>IF($B23="NA","NA",IF($A$11=0,0,-PV(DiscountRate/12,$D$10,0,'Nominal Increments'!M23,0)))</f>
        <v>0</v>
      </c>
      <c r="N23" s="147">
        <f>IF($B23="NA","NA",IF($A$12=0,0,-PV(DiscountRate/12,$D$11,0,'Nominal Increments'!N23,0)))</f>
        <v>0</v>
      </c>
      <c r="O23" s="147">
        <f>IF($B23="NA","NA",IF($A$13=0,0,-PV(DiscountRate/12,$D$12,0,'Nominal Increments'!O23,0)))</f>
        <v>0</v>
      </c>
      <c r="P23" s="147">
        <f>IF($B23="NA","NA",IF($A$14=0,0,-PV(DiscountRate/12,$D$13,0,'Nominal Increments'!P23,0)))</f>
        <v>0</v>
      </c>
      <c r="Q23" s="147">
        <f>IF($B23="NA","NA",IF($A$15=0,0,-PV(DiscountRate/12,$D$14,0,'Nominal Increments'!Q23,0)))</f>
        <v>0</v>
      </c>
      <c r="R23" s="147">
        <f>IF($B23="NA","NA",IF($A$16=0,0,-PV(DiscountRate/12,$D$15,0,'Nominal Increments'!R23,0)))</f>
        <v>0</v>
      </c>
      <c r="S23" s="147">
        <f>IF($B23="NA","NA",IF($A$17=0,0,-PV(DiscountRate/12,$D$16,0,'Nominal Increments'!S23,0)))</f>
        <v>0</v>
      </c>
      <c r="T23" s="148">
        <f>IF($B23="NA","NA",IF($A$18=0,0,-PV(DiscountRate/12,$D$17,0,'Nominal Increments'!T23,0)))</f>
        <v>0</v>
      </c>
    </row>
    <row r="24" spans="1:20" x14ac:dyDescent="0.2">
      <c r="A24" s="86">
        <f>DATE(YEAR(A23),MONTH(A23)+1,1)</f>
        <v>32</v>
      </c>
      <c r="B24" s="142">
        <f>B23+1</f>
        <v>2</v>
      </c>
      <c r="C24" s="143">
        <f t="shared" ref="C24:C82" si="0">MATCH(B24-1,$D$8:$D$18,1)</f>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50">
        <f>IF(ISNUMBER(VLOOKUP($C24,'A4 Investment'!$A$24:$G$33,7,FALSE)),VLOOKUP($C24,'A4 Investment'!$A$24:$G$33,7,FALSE)*'A4 Investment'!G$18/12,0)</f>
        <v>0</v>
      </c>
      <c r="I24" s="151">
        <f t="shared" ref="I24:I82" si="1">SUM(D24:H24)</f>
        <v>8904.1666666666661</v>
      </c>
      <c r="J24" s="159">
        <f t="shared" ref="J24:J87" si="2">IF($B24="NA","NA",SUM(K24:T24))</f>
        <v>8904.1666666666661</v>
      </c>
      <c r="K24" s="150">
        <f>IF($B24="NA","NA",-PV(DiscountRate/12,0,0,'Nominal Increments'!K24,0))</f>
        <v>8904.1666666666661</v>
      </c>
      <c r="L24" s="150">
        <f>IF($B24="NA","NA",IF($A$10=0,0,-PV(DiscountRate/12,$D$9,0,'Nominal Increments'!L24,0)))</f>
        <v>0</v>
      </c>
      <c r="M24" s="150">
        <f>IF($B24="NA","NA",IF($A$11=0,0,-PV(DiscountRate/12,$D$10,0,'Nominal Increments'!M24,0)))</f>
        <v>0</v>
      </c>
      <c r="N24" s="150">
        <f>IF($B24="NA","NA",IF($A$12=0,0,-PV(DiscountRate/12,$D$11,0,'Nominal Increments'!N24,0)))</f>
        <v>0</v>
      </c>
      <c r="O24" s="150">
        <f>IF($B24="NA","NA",IF($A$13=0,0,-PV(DiscountRate/12,$D$12,0,'Nominal Increments'!O24,0)))</f>
        <v>0</v>
      </c>
      <c r="P24" s="150">
        <f>IF($B24="NA","NA",IF($A$14=0,0,-PV(DiscountRate/12,$D$13,0,'Nominal Increments'!P24,0)))</f>
        <v>0</v>
      </c>
      <c r="Q24" s="150">
        <f>IF($B24="NA","NA",IF($A$15=0,0,-PV(DiscountRate/12,$D$14,0,'Nominal Increments'!Q24,0)))</f>
        <v>0</v>
      </c>
      <c r="R24" s="150">
        <f>IF($B24="NA","NA",IF($A$16=0,0,-PV(DiscountRate/12,$D$15,0,'Nominal Increments'!R24,0)))</f>
        <v>0</v>
      </c>
      <c r="S24" s="150">
        <f>IF($B24="NA","NA",IF($A$17=0,0,-PV(DiscountRate/12,$D$16,0,'Nominal Increments'!S24,0)))</f>
        <v>0</v>
      </c>
      <c r="T24" s="151">
        <f>IF($B24="NA","NA",IF($A$18=0,0,-PV(DiscountRate/12,$D$17,0,'Nominal Increments'!T24,0)))</f>
        <v>0</v>
      </c>
    </row>
    <row r="25" spans="1:20" x14ac:dyDescent="0.2">
      <c r="A25" s="86">
        <f t="shared" ref="A25:A82" si="3">DATE(YEAR(A24),MONTH(A24)+1,1)</f>
        <v>61</v>
      </c>
      <c r="B25" s="142">
        <f t="shared" ref="B25:B82" si="4">B24+1</f>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50">
        <f>IF(ISNUMBER(VLOOKUP($C25,'A4 Investment'!$A$24:$G$33,7,FALSE)),VLOOKUP($C25,'A4 Investment'!$A$24:$G$33,7,FALSE)*'A4 Investment'!G$18/12,0)</f>
        <v>0</v>
      </c>
      <c r="I25" s="151">
        <f t="shared" si="1"/>
        <v>8904.1666666666661</v>
      </c>
      <c r="J25" s="159">
        <f t="shared" si="2"/>
        <v>8904.1666666666661</v>
      </c>
      <c r="K25" s="150">
        <f>IF($B25="NA","NA",-PV(DiscountRate/12,0,0,'Nominal Increments'!K25,0))</f>
        <v>8904.1666666666661</v>
      </c>
      <c r="L25" s="150">
        <f>IF($B25="NA","NA",IF($A$10=0,0,-PV(DiscountRate/12,$D$9,0,'Nominal Increments'!L25,0)))</f>
        <v>0</v>
      </c>
      <c r="M25" s="150">
        <f>IF($B25="NA","NA",IF($A$11=0,0,-PV(DiscountRate/12,$D$10,0,'Nominal Increments'!M25,0)))</f>
        <v>0</v>
      </c>
      <c r="N25" s="150">
        <f>IF($B25="NA","NA",IF($A$12=0,0,-PV(DiscountRate/12,$D$11,0,'Nominal Increments'!N25,0)))</f>
        <v>0</v>
      </c>
      <c r="O25" s="150">
        <f>IF($B25="NA","NA",IF($A$13=0,0,-PV(DiscountRate/12,$D$12,0,'Nominal Increments'!O25,0)))</f>
        <v>0</v>
      </c>
      <c r="P25" s="150">
        <f>IF($B25="NA","NA",IF($A$14=0,0,-PV(DiscountRate/12,$D$13,0,'Nominal Increments'!P25,0)))</f>
        <v>0</v>
      </c>
      <c r="Q25" s="150">
        <f>IF($B25="NA","NA",IF($A$15=0,0,-PV(DiscountRate/12,$D$14,0,'Nominal Increments'!Q25,0)))</f>
        <v>0</v>
      </c>
      <c r="R25" s="150">
        <f>IF($B25="NA","NA",IF($A$16=0,0,-PV(DiscountRate/12,$D$15,0,'Nominal Increments'!R25,0)))</f>
        <v>0</v>
      </c>
      <c r="S25" s="150">
        <f>IF($B25="NA","NA",IF($A$17=0,0,-PV(DiscountRate/12,$D$16,0,'Nominal Increments'!S25,0)))</f>
        <v>0</v>
      </c>
      <c r="T25" s="151">
        <f>IF($B25="NA","NA",IF($A$18=0,0,-PV(DiscountRate/12,$D$17,0,'Nominal Increments'!T25,0)))</f>
        <v>0</v>
      </c>
    </row>
    <row r="26" spans="1:20" x14ac:dyDescent="0.2">
      <c r="A26" s="86">
        <f t="shared" si="3"/>
        <v>92</v>
      </c>
      <c r="B26" s="142">
        <f t="shared" si="4"/>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50">
        <f>IF(ISNUMBER(VLOOKUP($C26,'A4 Investment'!$A$24:$G$33,7,FALSE)),VLOOKUP($C26,'A4 Investment'!$A$24:$G$33,7,FALSE)*'A4 Investment'!G$18/12,0)</f>
        <v>0</v>
      </c>
      <c r="I26" s="151">
        <f t="shared" si="1"/>
        <v>8904.1666666666661</v>
      </c>
      <c r="J26" s="159">
        <f t="shared" si="2"/>
        <v>8904.1666666666661</v>
      </c>
      <c r="K26" s="150">
        <f>IF($B26="NA","NA",-PV(DiscountRate/12,0,0,'Nominal Increments'!K26,0))</f>
        <v>8904.1666666666661</v>
      </c>
      <c r="L26" s="150">
        <f>IF($B26="NA","NA",IF($A$10=0,0,-PV(DiscountRate/12,$D$9,0,'Nominal Increments'!L26,0)))</f>
        <v>0</v>
      </c>
      <c r="M26" s="150">
        <f>IF($B26="NA","NA",IF($A$11=0,0,-PV(DiscountRate/12,$D$10,0,'Nominal Increments'!M26,0)))</f>
        <v>0</v>
      </c>
      <c r="N26" s="150">
        <f>IF($B26="NA","NA",IF($A$12=0,0,-PV(DiscountRate/12,$D$11,0,'Nominal Increments'!N26,0)))</f>
        <v>0</v>
      </c>
      <c r="O26" s="150">
        <f>IF($B26="NA","NA",IF($A$13=0,0,-PV(DiscountRate/12,$D$12,0,'Nominal Increments'!O26,0)))</f>
        <v>0</v>
      </c>
      <c r="P26" s="150">
        <f>IF($B26="NA","NA",IF($A$14=0,0,-PV(DiscountRate/12,$D$13,0,'Nominal Increments'!P26,0)))</f>
        <v>0</v>
      </c>
      <c r="Q26" s="150">
        <f>IF($B26="NA","NA",IF($A$15=0,0,-PV(DiscountRate/12,$D$14,0,'Nominal Increments'!Q26,0)))</f>
        <v>0</v>
      </c>
      <c r="R26" s="150">
        <f>IF($B26="NA","NA",IF($A$16=0,0,-PV(DiscountRate/12,$D$15,0,'Nominal Increments'!R26,0)))</f>
        <v>0</v>
      </c>
      <c r="S26" s="150">
        <f>IF($B26="NA","NA",IF($A$17=0,0,-PV(DiscountRate/12,$D$16,0,'Nominal Increments'!S26,0)))</f>
        <v>0</v>
      </c>
      <c r="T26" s="151">
        <f>IF($B26="NA","NA",IF($A$18=0,0,-PV(DiscountRate/12,$D$17,0,'Nominal Increments'!T26,0)))</f>
        <v>0</v>
      </c>
    </row>
    <row r="27" spans="1:20" x14ac:dyDescent="0.2">
      <c r="A27" s="86">
        <f t="shared" si="3"/>
        <v>122</v>
      </c>
      <c r="B27" s="142">
        <f t="shared" si="4"/>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50">
        <f>IF(ISNUMBER(VLOOKUP($C27,'A4 Investment'!$A$24:$G$33,7,FALSE)),VLOOKUP($C27,'A4 Investment'!$A$24:$G$33,7,FALSE)*'A4 Investment'!G$18/12,0)</f>
        <v>0</v>
      </c>
      <c r="I27" s="151">
        <f t="shared" si="1"/>
        <v>8904.1666666666661</v>
      </c>
      <c r="J27" s="159">
        <f t="shared" si="2"/>
        <v>8904.1666666666661</v>
      </c>
      <c r="K27" s="150">
        <f>IF($B27="NA","NA",-PV(DiscountRate/12,0,0,'Nominal Increments'!K27,0))</f>
        <v>8904.1666666666661</v>
      </c>
      <c r="L27" s="150">
        <f>IF($B27="NA","NA",IF($A$10=0,0,-PV(DiscountRate/12,$D$9,0,'Nominal Increments'!L27,0)))</f>
        <v>0</v>
      </c>
      <c r="M27" s="150">
        <f>IF($B27="NA","NA",IF($A$11=0,0,-PV(DiscountRate/12,$D$10,0,'Nominal Increments'!M27,0)))</f>
        <v>0</v>
      </c>
      <c r="N27" s="150">
        <f>IF($B27="NA","NA",IF($A$12=0,0,-PV(DiscountRate/12,$D$11,0,'Nominal Increments'!N27,0)))</f>
        <v>0</v>
      </c>
      <c r="O27" s="150">
        <f>IF($B27="NA","NA",IF($A$13=0,0,-PV(DiscountRate/12,$D$12,0,'Nominal Increments'!O27,0)))</f>
        <v>0</v>
      </c>
      <c r="P27" s="150">
        <f>IF($B27="NA","NA",IF($A$14=0,0,-PV(DiscountRate/12,$D$13,0,'Nominal Increments'!P27,0)))</f>
        <v>0</v>
      </c>
      <c r="Q27" s="150">
        <f>IF($B27="NA","NA",IF($A$15=0,0,-PV(DiscountRate/12,$D$14,0,'Nominal Increments'!Q27,0)))</f>
        <v>0</v>
      </c>
      <c r="R27" s="150">
        <f>IF($B27="NA","NA",IF($A$16=0,0,-PV(DiscountRate/12,$D$15,0,'Nominal Increments'!R27,0)))</f>
        <v>0</v>
      </c>
      <c r="S27" s="150">
        <f>IF($B27="NA","NA",IF($A$17=0,0,-PV(DiscountRate/12,$D$16,0,'Nominal Increments'!S27,0)))</f>
        <v>0</v>
      </c>
      <c r="T27" s="151">
        <f>IF($B27="NA","NA",IF($A$18=0,0,-PV(DiscountRate/12,$D$17,0,'Nominal Increments'!T27,0)))</f>
        <v>0</v>
      </c>
    </row>
    <row r="28" spans="1:20" x14ac:dyDescent="0.2">
      <c r="A28" s="86">
        <f t="shared" si="3"/>
        <v>153</v>
      </c>
      <c r="B28" s="142">
        <f t="shared" si="4"/>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50">
        <f>IF(ISNUMBER(VLOOKUP($C28,'A4 Investment'!$A$24:$G$33,7,FALSE)),VLOOKUP($C28,'A4 Investment'!$A$24:$G$33,7,FALSE)*'A4 Investment'!G$18/12,0)</f>
        <v>0</v>
      </c>
      <c r="I28" s="151">
        <f t="shared" si="1"/>
        <v>8904.1666666666661</v>
      </c>
      <c r="J28" s="159">
        <f t="shared" si="2"/>
        <v>8904.1666666666661</v>
      </c>
      <c r="K28" s="150">
        <f>IF($B28="NA","NA",-PV(DiscountRate/12,0,0,'Nominal Increments'!K28,0))</f>
        <v>8904.1666666666661</v>
      </c>
      <c r="L28" s="150">
        <f>IF($B28="NA","NA",IF($A$10=0,0,-PV(DiscountRate/12,$D$9,0,'Nominal Increments'!L28,0)))</f>
        <v>0</v>
      </c>
      <c r="M28" s="150">
        <f>IF($B28="NA","NA",IF($A$11=0,0,-PV(DiscountRate/12,$D$10,0,'Nominal Increments'!M28,0)))</f>
        <v>0</v>
      </c>
      <c r="N28" s="150">
        <f>IF($B28="NA","NA",IF($A$12=0,0,-PV(DiscountRate/12,$D$11,0,'Nominal Increments'!N28,0)))</f>
        <v>0</v>
      </c>
      <c r="O28" s="150">
        <f>IF($B28="NA","NA",IF($A$13=0,0,-PV(DiscountRate/12,$D$12,0,'Nominal Increments'!O28,0)))</f>
        <v>0</v>
      </c>
      <c r="P28" s="150">
        <f>IF($B28="NA","NA",IF($A$14=0,0,-PV(DiscountRate/12,$D$13,0,'Nominal Increments'!P28,0)))</f>
        <v>0</v>
      </c>
      <c r="Q28" s="150">
        <f>IF($B28="NA","NA",IF($A$15=0,0,-PV(DiscountRate/12,$D$14,0,'Nominal Increments'!Q28,0)))</f>
        <v>0</v>
      </c>
      <c r="R28" s="150">
        <f>IF($B28="NA","NA",IF($A$16=0,0,-PV(DiscountRate/12,$D$15,0,'Nominal Increments'!R28,0)))</f>
        <v>0</v>
      </c>
      <c r="S28" s="150">
        <f>IF($B28="NA","NA",IF($A$17=0,0,-PV(DiscountRate/12,$D$16,0,'Nominal Increments'!S28,0)))</f>
        <v>0</v>
      </c>
      <c r="T28" s="151">
        <f>IF($B28="NA","NA",IF($A$18=0,0,-PV(DiscountRate/12,$D$17,0,'Nominal Increments'!T28,0)))</f>
        <v>0</v>
      </c>
    </row>
    <row r="29" spans="1:20" x14ac:dyDescent="0.2">
      <c r="A29" s="86">
        <f t="shared" si="3"/>
        <v>183</v>
      </c>
      <c r="B29" s="142">
        <f t="shared" si="4"/>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50">
        <f>IF(ISNUMBER(VLOOKUP($C29,'A4 Investment'!$A$24:$G$33,7,FALSE)),VLOOKUP($C29,'A4 Investment'!$A$24:$G$33,7,FALSE)*'A4 Investment'!G$18/12,0)</f>
        <v>0</v>
      </c>
      <c r="I29" s="151">
        <f t="shared" si="1"/>
        <v>8904.1666666666661</v>
      </c>
      <c r="J29" s="159">
        <f t="shared" si="2"/>
        <v>8904.1666666666661</v>
      </c>
      <c r="K29" s="150">
        <f>IF($B29="NA","NA",-PV(DiscountRate/12,0,0,'Nominal Increments'!K29,0))</f>
        <v>8904.1666666666661</v>
      </c>
      <c r="L29" s="150">
        <f>IF($B29="NA","NA",IF($A$10=0,0,-PV(DiscountRate/12,$D$9,0,'Nominal Increments'!L29,0)))</f>
        <v>0</v>
      </c>
      <c r="M29" s="150">
        <f>IF($B29="NA","NA",IF($A$11=0,0,-PV(DiscountRate/12,$D$10,0,'Nominal Increments'!M29,0)))</f>
        <v>0</v>
      </c>
      <c r="N29" s="150">
        <f>IF($B29="NA","NA",IF($A$12=0,0,-PV(DiscountRate/12,$D$11,0,'Nominal Increments'!N29,0)))</f>
        <v>0</v>
      </c>
      <c r="O29" s="150">
        <f>IF($B29="NA","NA",IF($A$13=0,0,-PV(DiscountRate/12,$D$12,0,'Nominal Increments'!O29,0)))</f>
        <v>0</v>
      </c>
      <c r="P29" s="150">
        <f>IF($B29="NA","NA",IF($A$14=0,0,-PV(DiscountRate/12,$D$13,0,'Nominal Increments'!P29,0)))</f>
        <v>0</v>
      </c>
      <c r="Q29" s="150">
        <f>IF($B29="NA","NA",IF($A$15=0,0,-PV(DiscountRate/12,$D$14,0,'Nominal Increments'!Q29,0)))</f>
        <v>0</v>
      </c>
      <c r="R29" s="150">
        <f>IF($B29="NA","NA",IF($A$16=0,0,-PV(DiscountRate/12,$D$15,0,'Nominal Increments'!R29,0)))</f>
        <v>0</v>
      </c>
      <c r="S29" s="150">
        <f>IF($B29="NA","NA",IF($A$17=0,0,-PV(DiscountRate/12,$D$16,0,'Nominal Increments'!S29,0)))</f>
        <v>0</v>
      </c>
      <c r="T29" s="151">
        <f>IF($B29="NA","NA",IF($A$18=0,0,-PV(DiscountRate/12,$D$17,0,'Nominal Increments'!T29,0)))</f>
        <v>0</v>
      </c>
    </row>
    <row r="30" spans="1:20" x14ac:dyDescent="0.2">
      <c r="A30" s="86">
        <f t="shared" si="3"/>
        <v>214</v>
      </c>
      <c r="B30" s="142">
        <f t="shared" si="4"/>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50">
        <f>IF(ISNUMBER(VLOOKUP($C30,'A4 Investment'!$A$24:$G$33,7,FALSE)),VLOOKUP($C30,'A4 Investment'!$A$24:$G$33,7,FALSE)*'A4 Investment'!G$18/12,0)</f>
        <v>0</v>
      </c>
      <c r="I30" s="151">
        <f t="shared" si="1"/>
        <v>8904.1666666666661</v>
      </c>
      <c r="J30" s="159">
        <f t="shared" si="2"/>
        <v>8904.1666666666661</v>
      </c>
      <c r="K30" s="150">
        <f>IF($B30="NA","NA",-PV(DiscountRate/12,0,0,'Nominal Increments'!K30,0))</f>
        <v>8904.1666666666661</v>
      </c>
      <c r="L30" s="150">
        <f>IF($B30="NA","NA",IF($A$10=0,0,-PV(DiscountRate/12,$D$9,0,'Nominal Increments'!L30,0)))</f>
        <v>0</v>
      </c>
      <c r="M30" s="150">
        <f>IF($B30="NA","NA",IF($A$11=0,0,-PV(DiscountRate/12,$D$10,0,'Nominal Increments'!M30,0)))</f>
        <v>0</v>
      </c>
      <c r="N30" s="150">
        <f>IF($B30="NA","NA",IF($A$12=0,0,-PV(DiscountRate/12,$D$11,0,'Nominal Increments'!N30,0)))</f>
        <v>0</v>
      </c>
      <c r="O30" s="150">
        <f>IF($B30="NA","NA",IF($A$13=0,0,-PV(DiscountRate/12,$D$12,0,'Nominal Increments'!O30,0)))</f>
        <v>0</v>
      </c>
      <c r="P30" s="150">
        <f>IF($B30="NA","NA",IF($A$14=0,0,-PV(DiscountRate/12,$D$13,0,'Nominal Increments'!P30,0)))</f>
        <v>0</v>
      </c>
      <c r="Q30" s="150">
        <f>IF($B30="NA","NA",IF($A$15=0,0,-PV(DiscountRate/12,$D$14,0,'Nominal Increments'!Q30,0)))</f>
        <v>0</v>
      </c>
      <c r="R30" s="150">
        <f>IF($B30="NA","NA",IF($A$16=0,0,-PV(DiscountRate/12,$D$15,0,'Nominal Increments'!R30,0)))</f>
        <v>0</v>
      </c>
      <c r="S30" s="150">
        <f>IF($B30="NA","NA",IF($A$17=0,0,-PV(DiscountRate/12,$D$16,0,'Nominal Increments'!S30,0)))</f>
        <v>0</v>
      </c>
      <c r="T30" s="151">
        <f>IF($B30="NA","NA",IF($A$18=0,0,-PV(DiscountRate/12,$D$17,0,'Nominal Increments'!T30,0)))</f>
        <v>0</v>
      </c>
    </row>
    <row r="31" spans="1:20" x14ac:dyDescent="0.2">
      <c r="A31" s="86">
        <f t="shared" si="3"/>
        <v>245</v>
      </c>
      <c r="B31" s="142">
        <f t="shared" si="4"/>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50">
        <f>IF(ISNUMBER(VLOOKUP($C31,'A4 Investment'!$A$24:$G$33,7,FALSE)),VLOOKUP($C31,'A4 Investment'!$A$24:$G$33,7,FALSE)*'A4 Investment'!G$18/12,0)</f>
        <v>0</v>
      </c>
      <c r="I31" s="151">
        <f t="shared" si="1"/>
        <v>8904.1666666666661</v>
      </c>
      <c r="J31" s="159">
        <f t="shared" si="2"/>
        <v>8904.1666666666661</v>
      </c>
      <c r="K31" s="150">
        <f>IF($B31="NA","NA",-PV(DiscountRate/12,0,0,'Nominal Increments'!K31,0))</f>
        <v>8904.1666666666661</v>
      </c>
      <c r="L31" s="150">
        <f>IF($B31="NA","NA",IF($A$10=0,0,-PV(DiscountRate/12,$D$9,0,'Nominal Increments'!L31,0)))</f>
        <v>0</v>
      </c>
      <c r="M31" s="150">
        <f>IF($B31="NA","NA",IF($A$11=0,0,-PV(DiscountRate/12,$D$10,0,'Nominal Increments'!M31,0)))</f>
        <v>0</v>
      </c>
      <c r="N31" s="150">
        <f>IF($B31="NA","NA",IF($A$12=0,0,-PV(DiscountRate/12,$D$11,0,'Nominal Increments'!N31,0)))</f>
        <v>0</v>
      </c>
      <c r="O31" s="150">
        <f>IF($B31="NA","NA",IF($A$13=0,0,-PV(DiscountRate/12,$D$12,0,'Nominal Increments'!O31,0)))</f>
        <v>0</v>
      </c>
      <c r="P31" s="150">
        <f>IF($B31="NA","NA",IF($A$14=0,0,-PV(DiscountRate/12,$D$13,0,'Nominal Increments'!P31,0)))</f>
        <v>0</v>
      </c>
      <c r="Q31" s="150">
        <f>IF($B31="NA","NA",IF($A$15=0,0,-PV(DiscountRate/12,$D$14,0,'Nominal Increments'!Q31,0)))</f>
        <v>0</v>
      </c>
      <c r="R31" s="150">
        <f>IF($B31="NA","NA",IF($A$16=0,0,-PV(DiscountRate/12,$D$15,0,'Nominal Increments'!R31,0)))</f>
        <v>0</v>
      </c>
      <c r="S31" s="150">
        <f>IF($B31="NA","NA",IF($A$17=0,0,-PV(DiscountRate/12,$D$16,0,'Nominal Increments'!S31,0)))</f>
        <v>0</v>
      </c>
      <c r="T31" s="151">
        <f>IF($B31="NA","NA",IF($A$18=0,0,-PV(DiscountRate/12,$D$17,0,'Nominal Increments'!T31,0)))</f>
        <v>0</v>
      </c>
    </row>
    <row r="32" spans="1:20" x14ac:dyDescent="0.2">
      <c r="A32" s="86">
        <f t="shared" si="3"/>
        <v>275</v>
      </c>
      <c r="B32" s="142">
        <f t="shared" si="4"/>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50">
        <f>IF(ISNUMBER(VLOOKUP($C32,'A4 Investment'!$A$24:$G$33,7,FALSE)),VLOOKUP($C32,'A4 Investment'!$A$24:$G$33,7,FALSE)*'A4 Investment'!G$18/12,0)</f>
        <v>0</v>
      </c>
      <c r="I32" s="151">
        <f t="shared" si="1"/>
        <v>8904.1666666666661</v>
      </c>
      <c r="J32" s="159">
        <f t="shared" si="2"/>
        <v>8904.1666666666661</v>
      </c>
      <c r="K32" s="150">
        <f>IF($B32="NA","NA",-PV(DiscountRate/12,0,0,'Nominal Increments'!K32,0))</f>
        <v>8904.1666666666661</v>
      </c>
      <c r="L32" s="150">
        <f>IF($B32="NA","NA",IF($A$10=0,0,-PV(DiscountRate/12,$D$9,0,'Nominal Increments'!L32,0)))</f>
        <v>0</v>
      </c>
      <c r="M32" s="150">
        <f>IF($B32="NA","NA",IF($A$11=0,0,-PV(DiscountRate/12,$D$10,0,'Nominal Increments'!M32,0)))</f>
        <v>0</v>
      </c>
      <c r="N32" s="150">
        <f>IF($B32="NA","NA",IF($A$12=0,0,-PV(DiscountRate/12,$D$11,0,'Nominal Increments'!N32,0)))</f>
        <v>0</v>
      </c>
      <c r="O32" s="150">
        <f>IF($B32="NA","NA",IF($A$13=0,0,-PV(DiscountRate/12,$D$12,0,'Nominal Increments'!O32,0)))</f>
        <v>0</v>
      </c>
      <c r="P32" s="150">
        <f>IF($B32="NA","NA",IF($A$14=0,0,-PV(DiscountRate/12,$D$13,0,'Nominal Increments'!P32,0)))</f>
        <v>0</v>
      </c>
      <c r="Q32" s="150">
        <f>IF($B32="NA","NA",IF($A$15=0,0,-PV(DiscountRate/12,$D$14,0,'Nominal Increments'!Q32,0)))</f>
        <v>0</v>
      </c>
      <c r="R32" s="150">
        <f>IF($B32="NA","NA",IF($A$16=0,0,-PV(DiscountRate/12,$D$15,0,'Nominal Increments'!R32,0)))</f>
        <v>0</v>
      </c>
      <c r="S32" s="150">
        <f>IF($B32="NA","NA",IF($A$17=0,0,-PV(DiscountRate/12,$D$16,0,'Nominal Increments'!S32,0)))</f>
        <v>0</v>
      </c>
      <c r="T32" s="151">
        <f>IF($B32="NA","NA",IF($A$18=0,0,-PV(DiscountRate/12,$D$17,0,'Nominal Increments'!T32,0)))</f>
        <v>0</v>
      </c>
    </row>
    <row r="33" spans="1:20" x14ac:dyDescent="0.2">
      <c r="A33" s="86">
        <f t="shared" si="3"/>
        <v>306</v>
      </c>
      <c r="B33" s="142">
        <f t="shared" si="4"/>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50">
        <f>IF(ISNUMBER(VLOOKUP($C33,'A4 Investment'!$A$24:$G$33,7,FALSE)),VLOOKUP($C33,'A4 Investment'!$A$24:$G$33,7,FALSE)*'A4 Investment'!G$18/12,0)</f>
        <v>0</v>
      </c>
      <c r="I33" s="151">
        <f t="shared" si="1"/>
        <v>8904.1666666666661</v>
      </c>
      <c r="J33" s="159">
        <f t="shared" si="2"/>
        <v>8904.1666666666661</v>
      </c>
      <c r="K33" s="150">
        <f>IF($B33="NA","NA",-PV(DiscountRate/12,0,0,'Nominal Increments'!K33,0))</f>
        <v>8904.1666666666661</v>
      </c>
      <c r="L33" s="150">
        <f>IF($B33="NA","NA",IF($A$10=0,0,-PV(DiscountRate/12,$D$9,0,'Nominal Increments'!L33,0)))</f>
        <v>0</v>
      </c>
      <c r="M33" s="150">
        <f>IF($B33="NA","NA",IF($A$11=0,0,-PV(DiscountRate/12,$D$10,0,'Nominal Increments'!M33,0)))</f>
        <v>0</v>
      </c>
      <c r="N33" s="150">
        <f>IF($B33="NA","NA",IF($A$12=0,0,-PV(DiscountRate/12,$D$11,0,'Nominal Increments'!N33,0)))</f>
        <v>0</v>
      </c>
      <c r="O33" s="150">
        <f>IF($B33="NA","NA",IF($A$13=0,0,-PV(DiscountRate/12,$D$12,0,'Nominal Increments'!O33,0)))</f>
        <v>0</v>
      </c>
      <c r="P33" s="150">
        <f>IF($B33="NA","NA",IF($A$14=0,0,-PV(DiscountRate/12,$D$13,0,'Nominal Increments'!P33,0)))</f>
        <v>0</v>
      </c>
      <c r="Q33" s="150">
        <f>IF($B33="NA","NA",IF($A$15=0,0,-PV(DiscountRate/12,$D$14,0,'Nominal Increments'!Q33,0)))</f>
        <v>0</v>
      </c>
      <c r="R33" s="150">
        <f>IF($B33="NA","NA",IF($A$16=0,0,-PV(DiscountRate/12,$D$15,0,'Nominal Increments'!R33,0)))</f>
        <v>0</v>
      </c>
      <c r="S33" s="150">
        <f>IF($B33="NA","NA",IF($A$17=0,0,-PV(DiscountRate/12,$D$16,0,'Nominal Increments'!S33,0)))</f>
        <v>0</v>
      </c>
      <c r="T33" s="151">
        <f>IF($B33="NA","NA",IF($A$18=0,0,-PV(DiscountRate/12,$D$17,0,'Nominal Increments'!T33,0)))</f>
        <v>0</v>
      </c>
    </row>
    <row r="34" spans="1:20" x14ac:dyDescent="0.2">
      <c r="A34" s="86">
        <f t="shared" si="3"/>
        <v>336</v>
      </c>
      <c r="B34" s="142">
        <f t="shared" si="4"/>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50">
        <f>IF(ISNUMBER(VLOOKUP($C34,'A4 Investment'!$A$24:$G$33,7,FALSE)),VLOOKUP($C34,'A4 Investment'!$A$24:$G$33,7,FALSE)*'A4 Investment'!G$18/12,0)</f>
        <v>0</v>
      </c>
      <c r="I34" s="151">
        <f t="shared" si="1"/>
        <v>8904.1666666666661</v>
      </c>
      <c r="J34" s="159">
        <f t="shared" si="2"/>
        <v>8904.1666666666661</v>
      </c>
      <c r="K34" s="150">
        <f>IF($B34="NA","NA",-PV(DiscountRate/12,0,0,'Nominal Increments'!K34,0))</f>
        <v>8904.1666666666661</v>
      </c>
      <c r="L34" s="150">
        <f>IF($B34="NA","NA",IF($A$10=0,0,-PV(DiscountRate/12,$D$9,0,'Nominal Increments'!L34,0)))</f>
        <v>0</v>
      </c>
      <c r="M34" s="150">
        <f>IF($B34="NA","NA",IF($A$11=0,0,-PV(DiscountRate/12,$D$10,0,'Nominal Increments'!M34,0)))</f>
        <v>0</v>
      </c>
      <c r="N34" s="150">
        <f>IF($B34="NA","NA",IF($A$12=0,0,-PV(DiscountRate/12,$D$11,0,'Nominal Increments'!N34,0)))</f>
        <v>0</v>
      </c>
      <c r="O34" s="150">
        <f>IF($B34="NA","NA",IF($A$13=0,0,-PV(DiscountRate/12,$D$12,0,'Nominal Increments'!O34,0)))</f>
        <v>0</v>
      </c>
      <c r="P34" s="150">
        <f>IF($B34="NA","NA",IF($A$14=0,0,-PV(DiscountRate/12,$D$13,0,'Nominal Increments'!P34,0)))</f>
        <v>0</v>
      </c>
      <c r="Q34" s="150">
        <f>IF($B34="NA","NA",IF($A$15=0,0,-PV(DiscountRate/12,$D$14,0,'Nominal Increments'!Q34,0)))</f>
        <v>0</v>
      </c>
      <c r="R34" s="150">
        <f>IF($B34="NA","NA",IF($A$16=0,0,-PV(DiscountRate/12,$D$15,0,'Nominal Increments'!R34,0)))</f>
        <v>0</v>
      </c>
      <c r="S34" s="150">
        <f>IF($B34="NA","NA",IF($A$17=0,0,-PV(DiscountRate/12,$D$16,0,'Nominal Increments'!S34,0)))</f>
        <v>0</v>
      </c>
      <c r="T34" s="151">
        <f>IF($B34="NA","NA",IF($A$18=0,0,-PV(DiscountRate/12,$D$17,0,'Nominal Increments'!T34,0)))</f>
        <v>0</v>
      </c>
    </row>
    <row r="35" spans="1:20" x14ac:dyDescent="0.2">
      <c r="A35" s="86">
        <f t="shared" si="3"/>
        <v>367</v>
      </c>
      <c r="B35" s="142">
        <f t="shared" si="4"/>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50">
        <f>IF(ISNUMBER(VLOOKUP($C35,'A4 Investment'!$A$24:$G$33,7,FALSE)),VLOOKUP($C35,'A4 Investment'!$A$24:$G$33,7,FALSE)*'A4 Investment'!G$18/12,0)</f>
        <v>0</v>
      </c>
      <c r="I35" s="151">
        <f t="shared" si="1"/>
        <v>8904.1666666666661</v>
      </c>
      <c r="J35" s="159">
        <f t="shared" si="2"/>
        <v>8904.1666666666661</v>
      </c>
      <c r="K35" s="150">
        <f>IF($B35="NA","NA",-PV(DiscountRate/12,0,0,'Nominal Increments'!K35,0))</f>
        <v>8904.1666666666661</v>
      </c>
      <c r="L35" s="150">
        <f>IF($B35="NA","NA",IF($A$10=0,0,-PV(DiscountRate/12,$D$9,0,'Nominal Increments'!L35,0)))</f>
        <v>0</v>
      </c>
      <c r="M35" s="150">
        <f>IF($B35="NA","NA",IF($A$11=0,0,-PV(DiscountRate/12,$D$10,0,'Nominal Increments'!M35,0)))</f>
        <v>0</v>
      </c>
      <c r="N35" s="150">
        <f>IF($B35="NA","NA",IF($A$12=0,0,-PV(DiscountRate/12,$D$11,0,'Nominal Increments'!N35,0)))</f>
        <v>0</v>
      </c>
      <c r="O35" s="150">
        <f>IF($B35="NA","NA",IF($A$13=0,0,-PV(DiscountRate/12,$D$12,0,'Nominal Increments'!O35,0)))</f>
        <v>0</v>
      </c>
      <c r="P35" s="150">
        <f>IF($B35="NA","NA",IF($A$14=0,0,-PV(DiscountRate/12,$D$13,0,'Nominal Increments'!P35,0)))</f>
        <v>0</v>
      </c>
      <c r="Q35" s="150">
        <f>IF($B35="NA","NA",IF($A$15=0,0,-PV(DiscountRate/12,$D$14,0,'Nominal Increments'!Q35,0)))</f>
        <v>0</v>
      </c>
      <c r="R35" s="150">
        <f>IF($B35="NA","NA",IF($A$16=0,0,-PV(DiscountRate/12,$D$15,0,'Nominal Increments'!R35,0)))</f>
        <v>0</v>
      </c>
      <c r="S35" s="150">
        <f>IF($B35="NA","NA",IF($A$17=0,0,-PV(DiscountRate/12,$D$16,0,'Nominal Increments'!S35,0)))</f>
        <v>0</v>
      </c>
      <c r="T35" s="151">
        <f>IF($B35="NA","NA",IF($A$18=0,0,-PV(DiscountRate/12,$D$17,0,'Nominal Increments'!T35,0)))</f>
        <v>0</v>
      </c>
    </row>
    <row r="36" spans="1:20" x14ac:dyDescent="0.2">
      <c r="A36" s="86">
        <f t="shared" si="3"/>
        <v>398</v>
      </c>
      <c r="B36" s="142">
        <f t="shared" si="4"/>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50">
        <f>IF(ISNUMBER(VLOOKUP($C36,'A4 Investment'!$A$24:$G$33,7,FALSE)),VLOOKUP($C36,'A4 Investment'!$A$24:$G$33,7,FALSE)*'A4 Investment'!G$18/12,0)</f>
        <v>0</v>
      </c>
      <c r="I36" s="151">
        <f t="shared" si="1"/>
        <v>8904.1666666666661</v>
      </c>
      <c r="J36" s="159">
        <f t="shared" si="2"/>
        <v>8904.1666666666661</v>
      </c>
      <c r="K36" s="150">
        <f>IF($B36="NA","NA",-PV(DiscountRate/12,0,0,'Nominal Increments'!K36,0))</f>
        <v>8904.1666666666661</v>
      </c>
      <c r="L36" s="150">
        <f>IF($B36="NA","NA",IF($A$10=0,0,-PV(DiscountRate/12,$D$9,0,'Nominal Increments'!L36,0)))</f>
        <v>0</v>
      </c>
      <c r="M36" s="150">
        <f>IF($B36="NA","NA",IF($A$11=0,0,-PV(DiscountRate/12,$D$10,0,'Nominal Increments'!M36,0)))</f>
        <v>0</v>
      </c>
      <c r="N36" s="150">
        <f>IF($B36="NA","NA",IF($A$12=0,0,-PV(DiscountRate/12,$D$11,0,'Nominal Increments'!N36,0)))</f>
        <v>0</v>
      </c>
      <c r="O36" s="150">
        <f>IF($B36="NA","NA",IF($A$13=0,0,-PV(DiscountRate/12,$D$12,0,'Nominal Increments'!O36,0)))</f>
        <v>0</v>
      </c>
      <c r="P36" s="150">
        <f>IF($B36="NA","NA",IF($A$14=0,0,-PV(DiscountRate/12,$D$13,0,'Nominal Increments'!P36,0)))</f>
        <v>0</v>
      </c>
      <c r="Q36" s="150">
        <f>IF($B36="NA","NA",IF($A$15=0,0,-PV(DiscountRate/12,$D$14,0,'Nominal Increments'!Q36,0)))</f>
        <v>0</v>
      </c>
      <c r="R36" s="150">
        <f>IF($B36="NA","NA",IF($A$16=0,0,-PV(DiscountRate/12,$D$15,0,'Nominal Increments'!R36,0)))</f>
        <v>0</v>
      </c>
      <c r="S36" s="150">
        <f>IF($B36="NA","NA",IF($A$17=0,0,-PV(DiscountRate/12,$D$16,0,'Nominal Increments'!S36,0)))</f>
        <v>0</v>
      </c>
      <c r="T36" s="151">
        <f>IF($B36="NA","NA",IF($A$18=0,0,-PV(DiscountRate/12,$D$17,0,'Nominal Increments'!T36,0)))</f>
        <v>0</v>
      </c>
    </row>
    <row r="37" spans="1:20" x14ac:dyDescent="0.2">
      <c r="A37" s="86">
        <f t="shared" si="3"/>
        <v>426</v>
      </c>
      <c r="B37" s="142">
        <f t="shared" si="4"/>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50">
        <f>IF(ISNUMBER(VLOOKUP($C37,'A4 Investment'!$A$24:$G$33,7,FALSE)),VLOOKUP($C37,'A4 Investment'!$A$24:$G$33,7,FALSE)*'A4 Investment'!G$18/12,0)</f>
        <v>0</v>
      </c>
      <c r="I37" s="151">
        <f t="shared" si="1"/>
        <v>8904.1666666666661</v>
      </c>
      <c r="J37" s="159">
        <f t="shared" si="2"/>
        <v>8904.1666666666661</v>
      </c>
      <c r="K37" s="150">
        <f>IF($B37="NA","NA",-PV(DiscountRate/12,0,0,'Nominal Increments'!K37,0))</f>
        <v>8904.1666666666661</v>
      </c>
      <c r="L37" s="150">
        <f>IF($B37="NA","NA",IF($A$10=0,0,-PV(DiscountRate/12,$D$9,0,'Nominal Increments'!L37,0)))</f>
        <v>0</v>
      </c>
      <c r="M37" s="150">
        <f>IF($B37="NA","NA",IF($A$11=0,0,-PV(DiscountRate/12,$D$10,0,'Nominal Increments'!M37,0)))</f>
        <v>0</v>
      </c>
      <c r="N37" s="150">
        <f>IF($B37="NA","NA",IF($A$12=0,0,-PV(DiscountRate/12,$D$11,0,'Nominal Increments'!N37,0)))</f>
        <v>0</v>
      </c>
      <c r="O37" s="150">
        <f>IF($B37="NA","NA",IF($A$13=0,0,-PV(DiscountRate/12,$D$12,0,'Nominal Increments'!O37,0)))</f>
        <v>0</v>
      </c>
      <c r="P37" s="150">
        <f>IF($B37="NA","NA",IF($A$14=0,0,-PV(DiscountRate/12,$D$13,0,'Nominal Increments'!P37,0)))</f>
        <v>0</v>
      </c>
      <c r="Q37" s="150">
        <f>IF($B37="NA","NA",IF($A$15=0,0,-PV(DiscountRate/12,$D$14,0,'Nominal Increments'!Q37,0)))</f>
        <v>0</v>
      </c>
      <c r="R37" s="150">
        <f>IF($B37="NA","NA",IF($A$16=0,0,-PV(DiscountRate/12,$D$15,0,'Nominal Increments'!R37,0)))</f>
        <v>0</v>
      </c>
      <c r="S37" s="150">
        <f>IF($B37="NA","NA",IF($A$17=0,0,-PV(DiscountRate/12,$D$16,0,'Nominal Increments'!S37,0)))</f>
        <v>0</v>
      </c>
      <c r="T37" s="151">
        <f>IF($B37="NA","NA",IF($A$18=0,0,-PV(DiscountRate/12,$D$17,0,'Nominal Increments'!T37,0)))</f>
        <v>0</v>
      </c>
    </row>
    <row r="38" spans="1:20" x14ac:dyDescent="0.2">
      <c r="A38" s="86">
        <f t="shared" si="3"/>
        <v>457</v>
      </c>
      <c r="B38" s="142">
        <f t="shared" si="4"/>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50">
        <f>IF(ISNUMBER(VLOOKUP($C38,'A4 Investment'!$A$24:$G$33,7,FALSE)),VLOOKUP($C38,'A4 Investment'!$A$24:$G$33,7,FALSE)*'A4 Investment'!G$18/12,0)</f>
        <v>0</v>
      </c>
      <c r="I38" s="151">
        <f t="shared" si="1"/>
        <v>8904.1666666666661</v>
      </c>
      <c r="J38" s="159">
        <f t="shared" si="2"/>
        <v>8904.1666666666661</v>
      </c>
      <c r="K38" s="150">
        <f>IF($B38="NA","NA",-PV(DiscountRate/12,0,0,'Nominal Increments'!K38,0))</f>
        <v>8904.1666666666661</v>
      </c>
      <c r="L38" s="150">
        <f>IF($B38="NA","NA",IF($A$10=0,0,-PV(DiscountRate/12,$D$9,0,'Nominal Increments'!L38,0)))</f>
        <v>0</v>
      </c>
      <c r="M38" s="150">
        <f>IF($B38="NA","NA",IF($A$11=0,0,-PV(DiscountRate/12,$D$10,0,'Nominal Increments'!M38,0)))</f>
        <v>0</v>
      </c>
      <c r="N38" s="150">
        <f>IF($B38="NA","NA",IF($A$12=0,0,-PV(DiscountRate/12,$D$11,0,'Nominal Increments'!N38,0)))</f>
        <v>0</v>
      </c>
      <c r="O38" s="150">
        <f>IF($B38="NA","NA",IF($A$13=0,0,-PV(DiscountRate/12,$D$12,0,'Nominal Increments'!O38,0)))</f>
        <v>0</v>
      </c>
      <c r="P38" s="150">
        <f>IF($B38="NA","NA",IF($A$14=0,0,-PV(DiscountRate/12,$D$13,0,'Nominal Increments'!P38,0)))</f>
        <v>0</v>
      </c>
      <c r="Q38" s="150">
        <f>IF($B38="NA","NA",IF($A$15=0,0,-PV(DiscountRate/12,$D$14,0,'Nominal Increments'!Q38,0)))</f>
        <v>0</v>
      </c>
      <c r="R38" s="150">
        <f>IF($B38="NA","NA",IF($A$16=0,0,-PV(DiscountRate/12,$D$15,0,'Nominal Increments'!R38,0)))</f>
        <v>0</v>
      </c>
      <c r="S38" s="150">
        <f>IF($B38="NA","NA",IF($A$17=0,0,-PV(DiscountRate/12,$D$16,0,'Nominal Increments'!S38,0)))</f>
        <v>0</v>
      </c>
      <c r="T38" s="151">
        <f>IF($B38="NA","NA",IF($A$18=0,0,-PV(DiscountRate/12,$D$17,0,'Nominal Increments'!T38,0)))</f>
        <v>0</v>
      </c>
    </row>
    <row r="39" spans="1:20" x14ac:dyDescent="0.2">
      <c r="A39" s="86">
        <f t="shared" si="3"/>
        <v>487</v>
      </c>
      <c r="B39" s="142">
        <f t="shared" si="4"/>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50">
        <f>IF(ISNUMBER(VLOOKUP($C39,'A4 Investment'!$A$24:$G$33,7,FALSE)),VLOOKUP($C39,'A4 Investment'!$A$24:$G$33,7,FALSE)*'A4 Investment'!G$18/12,0)</f>
        <v>0</v>
      </c>
      <c r="I39" s="151">
        <f t="shared" si="1"/>
        <v>8904.1666666666661</v>
      </c>
      <c r="J39" s="159">
        <f t="shared" si="2"/>
        <v>8904.1666666666661</v>
      </c>
      <c r="K39" s="150">
        <f>IF($B39="NA","NA",-PV(DiscountRate/12,0,0,'Nominal Increments'!K39,0))</f>
        <v>8904.1666666666661</v>
      </c>
      <c r="L39" s="150">
        <f>IF($B39="NA","NA",IF($A$10=0,0,-PV(DiscountRate/12,$D$9,0,'Nominal Increments'!L39,0)))</f>
        <v>0</v>
      </c>
      <c r="M39" s="150">
        <f>IF($B39="NA","NA",IF($A$11=0,0,-PV(DiscountRate/12,$D$10,0,'Nominal Increments'!M39,0)))</f>
        <v>0</v>
      </c>
      <c r="N39" s="150">
        <f>IF($B39="NA","NA",IF($A$12=0,0,-PV(DiscountRate/12,$D$11,0,'Nominal Increments'!N39,0)))</f>
        <v>0</v>
      </c>
      <c r="O39" s="150">
        <f>IF($B39="NA","NA",IF($A$13=0,0,-PV(DiscountRate/12,$D$12,0,'Nominal Increments'!O39,0)))</f>
        <v>0</v>
      </c>
      <c r="P39" s="150">
        <f>IF($B39="NA","NA",IF($A$14=0,0,-PV(DiscountRate/12,$D$13,0,'Nominal Increments'!P39,0)))</f>
        <v>0</v>
      </c>
      <c r="Q39" s="150">
        <f>IF($B39="NA","NA",IF($A$15=0,0,-PV(DiscountRate/12,$D$14,0,'Nominal Increments'!Q39,0)))</f>
        <v>0</v>
      </c>
      <c r="R39" s="150">
        <f>IF($B39="NA","NA",IF($A$16=0,0,-PV(DiscountRate/12,$D$15,0,'Nominal Increments'!R39,0)))</f>
        <v>0</v>
      </c>
      <c r="S39" s="150">
        <f>IF($B39="NA","NA",IF($A$17=0,0,-PV(DiscountRate/12,$D$16,0,'Nominal Increments'!S39,0)))</f>
        <v>0</v>
      </c>
      <c r="T39" s="151">
        <f>IF($B39="NA","NA",IF($A$18=0,0,-PV(DiscountRate/12,$D$17,0,'Nominal Increments'!T39,0)))</f>
        <v>0</v>
      </c>
    </row>
    <row r="40" spans="1:20" x14ac:dyDescent="0.2">
      <c r="A40" s="86">
        <f t="shared" si="3"/>
        <v>518</v>
      </c>
      <c r="B40" s="142">
        <f t="shared" si="4"/>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50">
        <f>IF(ISNUMBER(VLOOKUP($C40,'A4 Investment'!$A$24:$G$33,7,FALSE)),VLOOKUP($C40,'A4 Investment'!$A$24:$G$33,7,FALSE)*'A4 Investment'!G$18/12,0)</f>
        <v>0</v>
      </c>
      <c r="I40" s="151">
        <f t="shared" si="1"/>
        <v>8904.1666666666661</v>
      </c>
      <c r="J40" s="159">
        <f t="shared" si="2"/>
        <v>8904.1666666666661</v>
      </c>
      <c r="K40" s="150">
        <f>IF($B40="NA","NA",-PV(DiscountRate/12,0,0,'Nominal Increments'!K40,0))</f>
        <v>8904.1666666666661</v>
      </c>
      <c r="L40" s="150">
        <f>IF($B40="NA","NA",IF($A$10=0,0,-PV(DiscountRate/12,$D$9,0,'Nominal Increments'!L40,0)))</f>
        <v>0</v>
      </c>
      <c r="M40" s="150">
        <f>IF($B40="NA","NA",IF($A$11=0,0,-PV(DiscountRate/12,$D$10,0,'Nominal Increments'!M40,0)))</f>
        <v>0</v>
      </c>
      <c r="N40" s="150">
        <f>IF($B40="NA","NA",IF($A$12=0,0,-PV(DiscountRate/12,$D$11,0,'Nominal Increments'!N40,0)))</f>
        <v>0</v>
      </c>
      <c r="O40" s="150">
        <f>IF($B40="NA","NA",IF($A$13=0,0,-PV(DiscountRate/12,$D$12,0,'Nominal Increments'!O40,0)))</f>
        <v>0</v>
      </c>
      <c r="P40" s="150">
        <f>IF($B40="NA","NA",IF($A$14=0,0,-PV(DiscountRate/12,$D$13,0,'Nominal Increments'!P40,0)))</f>
        <v>0</v>
      </c>
      <c r="Q40" s="150">
        <f>IF($B40="NA","NA",IF($A$15=0,0,-PV(DiscountRate/12,$D$14,0,'Nominal Increments'!Q40,0)))</f>
        <v>0</v>
      </c>
      <c r="R40" s="150">
        <f>IF($B40="NA","NA",IF($A$16=0,0,-PV(DiscountRate/12,$D$15,0,'Nominal Increments'!R40,0)))</f>
        <v>0</v>
      </c>
      <c r="S40" s="150">
        <f>IF($B40="NA","NA",IF($A$17=0,0,-PV(DiscountRate/12,$D$16,0,'Nominal Increments'!S40,0)))</f>
        <v>0</v>
      </c>
      <c r="T40" s="151">
        <f>IF($B40="NA","NA",IF($A$18=0,0,-PV(DiscountRate/12,$D$17,0,'Nominal Increments'!T40,0)))</f>
        <v>0</v>
      </c>
    </row>
    <row r="41" spans="1:20" x14ac:dyDescent="0.2">
      <c r="A41" s="86">
        <f t="shared" si="3"/>
        <v>548</v>
      </c>
      <c r="B41" s="142">
        <f t="shared" si="4"/>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50">
        <f>IF(ISNUMBER(VLOOKUP($C41,'A4 Investment'!$A$24:$G$33,7,FALSE)),VLOOKUP($C41,'A4 Investment'!$A$24:$G$33,7,FALSE)*'A4 Investment'!G$18/12,0)</f>
        <v>0</v>
      </c>
      <c r="I41" s="151">
        <f t="shared" si="1"/>
        <v>8904.1666666666661</v>
      </c>
      <c r="J41" s="159">
        <f t="shared" si="2"/>
        <v>8904.1666666666661</v>
      </c>
      <c r="K41" s="150">
        <f>IF($B41="NA","NA",-PV(DiscountRate/12,0,0,'Nominal Increments'!K41,0))</f>
        <v>8904.1666666666661</v>
      </c>
      <c r="L41" s="150">
        <f>IF($B41="NA","NA",IF($A$10=0,0,-PV(DiscountRate/12,$D$9,0,'Nominal Increments'!L41,0)))</f>
        <v>0</v>
      </c>
      <c r="M41" s="150">
        <f>IF($B41="NA","NA",IF($A$11=0,0,-PV(DiscountRate/12,$D$10,0,'Nominal Increments'!M41,0)))</f>
        <v>0</v>
      </c>
      <c r="N41" s="150">
        <f>IF($B41="NA","NA",IF($A$12=0,0,-PV(DiscountRate/12,$D$11,0,'Nominal Increments'!N41,0)))</f>
        <v>0</v>
      </c>
      <c r="O41" s="150">
        <f>IF($B41="NA","NA",IF($A$13=0,0,-PV(DiscountRate/12,$D$12,0,'Nominal Increments'!O41,0)))</f>
        <v>0</v>
      </c>
      <c r="P41" s="150">
        <f>IF($B41="NA","NA",IF($A$14=0,0,-PV(DiscountRate/12,$D$13,0,'Nominal Increments'!P41,0)))</f>
        <v>0</v>
      </c>
      <c r="Q41" s="150">
        <f>IF($B41="NA","NA",IF($A$15=0,0,-PV(DiscountRate/12,$D$14,0,'Nominal Increments'!Q41,0)))</f>
        <v>0</v>
      </c>
      <c r="R41" s="150">
        <f>IF($B41="NA","NA",IF($A$16=0,0,-PV(DiscountRate/12,$D$15,0,'Nominal Increments'!R41,0)))</f>
        <v>0</v>
      </c>
      <c r="S41" s="150">
        <f>IF($B41="NA","NA",IF($A$17=0,0,-PV(DiscountRate/12,$D$16,0,'Nominal Increments'!S41,0)))</f>
        <v>0</v>
      </c>
      <c r="T41" s="151">
        <f>IF($B41="NA","NA",IF($A$18=0,0,-PV(DiscountRate/12,$D$17,0,'Nominal Increments'!T41,0)))</f>
        <v>0</v>
      </c>
    </row>
    <row r="42" spans="1:20" x14ac:dyDescent="0.2">
      <c r="A42" s="86">
        <f t="shared" si="3"/>
        <v>579</v>
      </c>
      <c r="B42" s="142">
        <f t="shared" si="4"/>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50">
        <f>IF(ISNUMBER(VLOOKUP($C42,'A4 Investment'!$A$24:$G$33,7,FALSE)),VLOOKUP($C42,'A4 Investment'!$A$24:$G$33,7,FALSE)*'A4 Investment'!G$18/12,0)</f>
        <v>0</v>
      </c>
      <c r="I42" s="151">
        <f t="shared" si="1"/>
        <v>8904.1666666666661</v>
      </c>
      <c r="J42" s="159">
        <f t="shared" si="2"/>
        <v>8904.1666666666661</v>
      </c>
      <c r="K42" s="150">
        <f>IF($B42="NA","NA",-PV(DiscountRate/12,0,0,'Nominal Increments'!K42,0))</f>
        <v>8904.1666666666661</v>
      </c>
      <c r="L42" s="150">
        <f>IF($B42="NA","NA",IF($A$10=0,0,-PV(DiscountRate/12,$D$9,0,'Nominal Increments'!L42,0)))</f>
        <v>0</v>
      </c>
      <c r="M42" s="150">
        <f>IF($B42="NA","NA",IF($A$11=0,0,-PV(DiscountRate/12,$D$10,0,'Nominal Increments'!M42,0)))</f>
        <v>0</v>
      </c>
      <c r="N42" s="150">
        <f>IF($B42="NA","NA",IF($A$12=0,0,-PV(DiscountRate/12,$D$11,0,'Nominal Increments'!N42,0)))</f>
        <v>0</v>
      </c>
      <c r="O42" s="150">
        <f>IF($B42="NA","NA",IF($A$13=0,0,-PV(DiscountRate/12,$D$12,0,'Nominal Increments'!O42,0)))</f>
        <v>0</v>
      </c>
      <c r="P42" s="150">
        <f>IF($B42="NA","NA",IF($A$14=0,0,-PV(DiscountRate/12,$D$13,0,'Nominal Increments'!P42,0)))</f>
        <v>0</v>
      </c>
      <c r="Q42" s="150">
        <f>IF($B42="NA","NA",IF($A$15=0,0,-PV(DiscountRate/12,$D$14,0,'Nominal Increments'!Q42,0)))</f>
        <v>0</v>
      </c>
      <c r="R42" s="150">
        <f>IF($B42="NA","NA",IF($A$16=0,0,-PV(DiscountRate/12,$D$15,0,'Nominal Increments'!R42,0)))</f>
        <v>0</v>
      </c>
      <c r="S42" s="150">
        <f>IF($B42="NA","NA",IF($A$17=0,0,-PV(DiscountRate/12,$D$16,0,'Nominal Increments'!S42,0)))</f>
        <v>0</v>
      </c>
      <c r="T42" s="151">
        <f>IF($B42="NA","NA",IF($A$18=0,0,-PV(DiscountRate/12,$D$17,0,'Nominal Increments'!T42,0)))</f>
        <v>0</v>
      </c>
    </row>
    <row r="43" spans="1:20" x14ac:dyDescent="0.2">
      <c r="A43" s="86">
        <f t="shared" si="3"/>
        <v>610</v>
      </c>
      <c r="B43" s="142">
        <f t="shared" si="4"/>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50">
        <f>IF(ISNUMBER(VLOOKUP($C43,'A4 Investment'!$A$24:$G$33,7,FALSE)),VLOOKUP($C43,'A4 Investment'!$A$24:$G$33,7,FALSE)*'A4 Investment'!G$18/12,0)</f>
        <v>0</v>
      </c>
      <c r="I43" s="151">
        <f t="shared" si="1"/>
        <v>8904.1666666666661</v>
      </c>
      <c r="J43" s="159">
        <f t="shared" si="2"/>
        <v>8904.1666666666661</v>
      </c>
      <c r="K43" s="150">
        <f>IF($B43="NA","NA",-PV(DiscountRate/12,0,0,'Nominal Increments'!K43,0))</f>
        <v>8904.1666666666661</v>
      </c>
      <c r="L43" s="150">
        <f>IF($B43="NA","NA",IF($A$10=0,0,-PV(DiscountRate/12,$D$9,0,'Nominal Increments'!L43,0)))</f>
        <v>0</v>
      </c>
      <c r="M43" s="150">
        <f>IF($B43="NA","NA",IF($A$11=0,0,-PV(DiscountRate/12,$D$10,0,'Nominal Increments'!M43,0)))</f>
        <v>0</v>
      </c>
      <c r="N43" s="150">
        <f>IF($B43="NA","NA",IF($A$12=0,0,-PV(DiscountRate/12,$D$11,0,'Nominal Increments'!N43,0)))</f>
        <v>0</v>
      </c>
      <c r="O43" s="150">
        <f>IF($B43="NA","NA",IF($A$13=0,0,-PV(DiscountRate/12,$D$12,0,'Nominal Increments'!O43,0)))</f>
        <v>0</v>
      </c>
      <c r="P43" s="150">
        <f>IF($B43="NA","NA",IF($A$14=0,0,-PV(DiscountRate/12,$D$13,0,'Nominal Increments'!P43,0)))</f>
        <v>0</v>
      </c>
      <c r="Q43" s="150">
        <f>IF($B43="NA","NA",IF($A$15=0,0,-PV(DiscountRate/12,$D$14,0,'Nominal Increments'!Q43,0)))</f>
        <v>0</v>
      </c>
      <c r="R43" s="150">
        <f>IF($B43="NA","NA",IF($A$16=0,0,-PV(DiscountRate/12,$D$15,0,'Nominal Increments'!R43,0)))</f>
        <v>0</v>
      </c>
      <c r="S43" s="150">
        <f>IF($B43="NA","NA",IF($A$17=0,0,-PV(DiscountRate/12,$D$16,0,'Nominal Increments'!S43,0)))</f>
        <v>0</v>
      </c>
      <c r="T43" s="151">
        <f>IF($B43="NA","NA",IF($A$18=0,0,-PV(DiscountRate/12,$D$17,0,'Nominal Increments'!T43,0)))</f>
        <v>0</v>
      </c>
    </row>
    <row r="44" spans="1:20" x14ac:dyDescent="0.2">
      <c r="A44" s="86">
        <f t="shared" si="3"/>
        <v>640</v>
      </c>
      <c r="B44" s="142">
        <f t="shared" si="4"/>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50">
        <f>IF(ISNUMBER(VLOOKUP($C44,'A4 Investment'!$A$24:$G$33,7,FALSE)),VLOOKUP($C44,'A4 Investment'!$A$24:$G$33,7,FALSE)*'A4 Investment'!G$18/12,0)</f>
        <v>0</v>
      </c>
      <c r="I44" s="151">
        <f t="shared" si="1"/>
        <v>8904.1666666666661</v>
      </c>
      <c r="J44" s="159">
        <f t="shared" si="2"/>
        <v>8904.1666666666661</v>
      </c>
      <c r="K44" s="150">
        <f>IF($B44="NA","NA",-PV(DiscountRate/12,0,0,'Nominal Increments'!K44,0))</f>
        <v>8904.1666666666661</v>
      </c>
      <c r="L44" s="150">
        <f>IF($B44="NA","NA",IF($A$10=0,0,-PV(DiscountRate/12,$D$9,0,'Nominal Increments'!L44,0)))</f>
        <v>0</v>
      </c>
      <c r="M44" s="150">
        <f>IF($B44="NA","NA",IF($A$11=0,0,-PV(DiscountRate/12,$D$10,0,'Nominal Increments'!M44,0)))</f>
        <v>0</v>
      </c>
      <c r="N44" s="150">
        <f>IF($B44="NA","NA",IF($A$12=0,0,-PV(DiscountRate/12,$D$11,0,'Nominal Increments'!N44,0)))</f>
        <v>0</v>
      </c>
      <c r="O44" s="150">
        <f>IF($B44="NA","NA",IF($A$13=0,0,-PV(DiscountRate/12,$D$12,0,'Nominal Increments'!O44,0)))</f>
        <v>0</v>
      </c>
      <c r="P44" s="150">
        <f>IF($B44="NA","NA",IF($A$14=0,0,-PV(DiscountRate/12,$D$13,0,'Nominal Increments'!P44,0)))</f>
        <v>0</v>
      </c>
      <c r="Q44" s="150">
        <f>IF($B44="NA","NA",IF($A$15=0,0,-PV(DiscountRate/12,$D$14,0,'Nominal Increments'!Q44,0)))</f>
        <v>0</v>
      </c>
      <c r="R44" s="150">
        <f>IF($B44="NA","NA",IF($A$16=0,0,-PV(DiscountRate/12,$D$15,0,'Nominal Increments'!R44,0)))</f>
        <v>0</v>
      </c>
      <c r="S44" s="150">
        <f>IF($B44="NA","NA",IF($A$17=0,0,-PV(DiscountRate/12,$D$16,0,'Nominal Increments'!S44,0)))</f>
        <v>0</v>
      </c>
      <c r="T44" s="151">
        <f>IF($B44="NA","NA",IF($A$18=0,0,-PV(DiscountRate/12,$D$17,0,'Nominal Increments'!T44,0)))</f>
        <v>0</v>
      </c>
    </row>
    <row r="45" spans="1:20" x14ac:dyDescent="0.2">
      <c r="A45" s="86">
        <f t="shared" si="3"/>
        <v>671</v>
      </c>
      <c r="B45" s="142">
        <f t="shared" si="4"/>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50">
        <f>IF(ISNUMBER(VLOOKUP($C45,'A4 Investment'!$A$24:$G$33,7,FALSE)),VLOOKUP($C45,'A4 Investment'!$A$24:$G$33,7,FALSE)*'A4 Investment'!G$18/12,0)</f>
        <v>0</v>
      </c>
      <c r="I45" s="151">
        <f t="shared" si="1"/>
        <v>8904.1666666666661</v>
      </c>
      <c r="J45" s="159">
        <f t="shared" si="2"/>
        <v>8904.1666666666661</v>
      </c>
      <c r="K45" s="150">
        <f>IF($B45="NA","NA",-PV(DiscountRate/12,0,0,'Nominal Increments'!K45,0))</f>
        <v>8904.1666666666661</v>
      </c>
      <c r="L45" s="150">
        <f>IF($B45="NA","NA",IF($A$10=0,0,-PV(DiscountRate/12,$D$9,0,'Nominal Increments'!L45,0)))</f>
        <v>0</v>
      </c>
      <c r="M45" s="150">
        <f>IF($B45="NA","NA",IF($A$11=0,0,-PV(DiscountRate/12,$D$10,0,'Nominal Increments'!M45,0)))</f>
        <v>0</v>
      </c>
      <c r="N45" s="150">
        <f>IF($B45="NA","NA",IF($A$12=0,0,-PV(DiscountRate/12,$D$11,0,'Nominal Increments'!N45,0)))</f>
        <v>0</v>
      </c>
      <c r="O45" s="150">
        <f>IF($B45="NA","NA",IF($A$13=0,0,-PV(DiscountRate/12,$D$12,0,'Nominal Increments'!O45,0)))</f>
        <v>0</v>
      </c>
      <c r="P45" s="150">
        <f>IF($B45="NA","NA",IF($A$14=0,0,-PV(DiscountRate/12,$D$13,0,'Nominal Increments'!P45,0)))</f>
        <v>0</v>
      </c>
      <c r="Q45" s="150">
        <f>IF($B45="NA","NA",IF($A$15=0,0,-PV(DiscountRate/12,$D$14,0,'Nominal Increments'!Q45,0)))</f>
        <v>0</v>
      </c>
      <c r="R45" s="150">
        <f>IF($B45="NA","NA",IF($A$16=0,0,-PV(DiscountRate/12,$D$15,0,'Nominal Increments'!R45,0)))</f>
        <v>0</v>
      </c>
      <c r="S45" s="150">
        <f>IF($B45="NA","NA",IF($A$17=0,0,-PV(DiscountRate/12,$D$16,0,'Nominal Increments'!S45,0)))</f>
        <v>0</v>
      </c>
      <c r="T45" s="151">
        <f>IF($B45="NA","NA",IF($A$18=0,0,-PV(DiscountRate/12,$D$17,0,'Nominal Increments'!T45,0)))</f>
        <v>0</v>
      </c>
    </row>
    <row r="46" spans="1:20" x14ac:dyDescent="0.2">
      <c r="A46" s="86">
        <f t="shared" si="3"/>
        <v>701</v>
      </c>
      <c r="B46" s="142">
        <f t="shared" si="4"/>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50">
        <f>IF(ISNUMBER(VLOOKUP($C46,'A4 Investment'!$A$24:$G$33,7,FALSE)),VLOOKUP($C46,'A4 Investment'!$A$24:$G$33,7,FALSE)*'A4 Investment'!G$18/12,0)</f>
        <v>0</v>
      </c>
      <c r="I46" s="151">
        <f t="shared" si="1"/>
        <v>8904.1666666666661</v>
      </c>
      <c r="J46" s="159">
        <f t="shared" si="2"/>
        <v>8904.1666666666661</v>
      </c>
      <c r="K46" s="150">
        <f>IF($B46="NA","NA",-PV(DiscountRate/12,0,0,'Nominal Increments'!K46,0))</f>
        <v>8904.1666666666661</v>
      </c>
      <c r="L46" s="150">
        <f>IF($B46="NA","NA",IF($A$10=0,0,-PV(DiscountRate/12,$D$9,0,'Nominal Increments'!L46,0)))</f>
        <v>0</v>
      </c>
      <c r="M46" s="150">
        <f>IF($B46="NA","NA",IF($A$11=0,0,-PV(DiscountRate/12,$D$10,0,'Nominal Increments'!M46,0)))</f>
        <v>0</v>
      </c>
      <c r="N46" s="150">
        <f>IF($B46="NA","NA",IF($A$12=0,0,-PV(DiscountRate/12,$D$11,0,'Nominal Increments'!N46,0)))</f>
        <v>0</v>
      </c>
      <c r="O46" s="150">
        <f>IF($B46="NA","NA",IF($A$13=0,0,-PV(DiscountRate/12,$D$12,0,'Nominal Increments'!O46,0)))</f>
        <v>0</v>
      </c>
      <c r="P46" s="150">
        <f>IF($B46="NA","NA",IF($A$14=0,0,-PV(DiscountRate/12,$D$13,0,'Nominal Increments'!P46,0)))</f>
        <v>0</v>
      </c>
      <c r="Q46" s="150">
        <f>IF($B46="NA","NA",IF($A$15=0,0,-PV(DiscountRate/12,$D$14,0,'Nominal Increments'!Q46,0)))</f>
        <v>0</v>
      </c>
      <c r="R46" s="150">
        <f>IF($B46="NA","NA",IF($A$16=0,0,-PV(DiscountRate/12,$D$15,0,'Nominal Increments'!R46,0)))</f>
        <v>0</v>
      </c>
      <c r="S46" s="150">
        <f>IF($B46="NA","NA",IF($A$17=0,0,-PV(DiscountRate/12,$D$16,0,'Nominal Increments'!S46,0)))</f>
        <v>0</v>
      </c>
      <c r="T46" s="151">
        <f>IF($B46="NA","NA",IF($A$18=0,0,-PV(DiscountRate/12,$D$17,0,'Nominal Increments'!T46,0)))</f>
        <v>0</v>
      </c>
    </row>
    <row r="47" spans="1:20" x14ac:dyDescent="0.2">
      <c r="A47" s="86">
        <f t="shared" si="3"/>
        <v>732</v>
      </c>
      <c r="B47" s="142">
        <f t="shared" si="4"/>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50">
        <f>IF(ISNUMBER(VLOOKUP($C47,'A4 Investment'!$A$24:$G$33,7,FALSE)),VLOOKUP($C47,'A4 Investment'!$A$24:$G$33,7,FALSE)*'A4 Investment'!G$18/12,0)</f>
        <v>0</v>
      </c>
      <c r="I47" s="151">
        <f t="shared" si="1"/>
        <v>8904.1666666666661</v>
      </c>
      <c r="J47" s="159">
        <f t="shared" si="2"/>
        <v>8904.1666666666661</v>
      </c>
      <c r="K47" s="150">
        <f>IF($B47="NA","NA",-PV(DiscountRate/12,0,0,'Nominal Increments'!K47,0))</f>
        <v>8904.1666666666661</v>
      </c>
      <c r="L47" s="150">
        <f>IF($B47="NA","NA",IF($A$10=0,0,-PV(DiscountRate/12,$D$9,0,'Nominal Increments'!L47,0)))</f>
        <v>0</v>
      </c>
      <c r="M47" s="150">
        <f>IF($B47="NA","NA",IF($A$11=0,0,-PV(DiscountRate/12,$D$10,0,'Nominal Increments'!M47,0)))</f>
        <v>0</v>
      </c>
      <c r="N47" s="150">
        <f>IF($B47="NA","NA",IF($A$12=0,0,-PV(DiscountRate/12,$D$11,0,'Nominal Increments'!N47,0)))</f>
        <v>0</v>
      </c>
      <c r="O47" s="150">
        <f>IF($B47="NA","NA",IF($A$13=0,0,-PV(DiscountRate/12,$D$12,0,'Nominal Increments'!O47,0)))</f>
        <v>0</v>
      </c>
      <c r="P47" s="150">
        <f>IF($B47="NA","NA",IF($A$14=0,0,-PV(DiscountRate/12,$D$13,0,'Nominal Increments'!P47,0)))</f>
        <v>0</v>
      </c>
      <c r="Q47" s="150">
        <f>IF($B47="NA","NA",IF($A$15=0,0,-PV(DiscountRate/12,$D$14,0,'Nominal Increments'!Q47,0)))</f>
        <v>0</v>
      </c>
      <c r="R47" s="150">
        <f>IF($B47="NA","NA",IF($A$16=0,0,-PV(DiscountRate/12,$D$15,0,'Nominal Increments'!R47,0)))</f>
        <v>0</v>
      </c>
      <c r="S47" s="150">
        <f>IF($B47="NA","NA",IF($A$17=0,0,-PV(DiscountRate/12,$D$16,0,'Nominal Increments'!S47,0)))</f>
        <v>0</v>
      </c>
      <c r="T47" s="151">
        <f>IF($B47="NA","NA",IF($A$18=0,0,-PV(DiscountRate/12,$D$17,0,'Nominal Increments'!T47,0)))</f>
        <v>0</v>
      </c>
    </row>
    <row r="48" spans="1:20" x14ac:dyDescent="0.2">
      <c r="A48" s="86">
        <f t="shared" si="3"/>
        <v>763</v>
      </c>
      <c r="B48" s="142">
        <f t="shared" si="4"/>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50">
        <f>IF(ISNUMBER(VLOOKUP($C48,'A4 Investment'!$A$24:$G$33,7,FALSE)),VLOOKUP($C48,'A4 Investment'!$A$24:$G$33,7,FALSE)*'A4 Investment'!G$18/12,0)</f>
        <v>0</v>
      </c>
      <c r="I48" s="151">
        <f t="shared" si="1"/>
        <v>8904.1666666666661</v>
      </c>
      <c r="J48" s="159">
        <f t="shared" si="2"/>
        <v>8904.1666666666661</v>
      </c>
      <c r="K48" s="150">
        <f>IF($B48="NA","NA",-PV(DiscountRate/12,0,0,'Nominal Increments'!K48,0))</f>
        <v>8904.1666666666661</v>
      </c>
      <c r="L48" s="150">
        <f>IF($B48="NA","NA",IF($A$10=0,0,-PV(DiscountRate/12,$D$9,0,'Nominal Increments'!L48,0)))</f>
        <v>0</v>
      </c>
      <c r="M48" s="150">
        <f>IF($B48="NA","NA",IF($A$11=0,0,-PV(DiscountRate/12,$D$10,0,'Nominal Increments'!M48,0)))</f>
        <v>0</v>
      </c>
      <c r="N48" s="150">
        <f>IF($B48="NA","NA",IF($A$12=0,0,-PV(DiscountRate/12,$D$11,0,'Nominal Increments'!N48,0)))</f>
        <v>0</v>
      </c>
      <c r="O48" s="150">
        <f>IF($B48="NA","NA",IF($A$13=0,0,-PV(DiscountRate/12,$D$12,0,'Nominal Increments'!O48,0)))</f>
        <v>0</v>
      </c>
      <c r="P48" s="150">
        <f>IF($B48="NA","NA",IF($A$14=0,0,-PV(DiscountRate/12,$D$13,0,'Nominal Increments'!P48,0)))</f>
        <v>0</v>
      </c>
      <c r="Q48" s="150">
        <f>IF($B48="NA","NA",IF($A$15=0,0,-PV(DiscountRate/12,$D$14,0,'Nominal Increments'!Q48,0)))</f>
        <v>0</v>
      </c>
      <c r="R48" s="150">
        <f>IF($B48="NA","NA",IF($A$16=0,0,-PV(DiscountRate/12,$D$15,0,'Nominal Increments'!R48,0)))</f>
        <v>0</v>
      </c>
      <c r="S48" s="150">
        <f>IF($B48="NA","NA",IF($A$17=0,0,-PV(DiscountRate/12,$D$16,0,'Nominal Increments'!S48,0)))</f>
        <v>0</v>
      </c>
      <c r="T48" s="151">
        <f>IF($B48="NA","NA",IF($A$18=0,0,-PV(DiscountRate/12,$D$17,0,'Nominal Increments'!T48,0)))</f>
        <v>0</v>
      </c>
    </row>
    <row r="49" spans="1:20" x14ac:dyDescent="0.2">
      <c r="A49" s="86">
        <f t="shared" si="3"/>
        <v>791</v>
      </c>
      <c r="B49" s="142">
        <f t="shared" si="4"/>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50">
        <f>IF(ISNUMBER(VLOOKUP($C49,'A4 Investment'!$A$24:$G$33,7,FALSE)),VLOOKUP($C49,'A4 Investment'!$A$24:$G$33,7,FALSE)*'A4 Investment'!G$18/12,0)</f>
        <v>0</v>
      </c>
      <c r="I49" s="151">
        <f t="shared" si="1"/>
        <v>8904.1666666666661</v>
      </c>
      <c r="J49" s="159">
        <f t="shared" si="2"/>
        <v>8904.1666666666661</v>
      </c>
      <c r="K49" s="150">
        <f>IF($B49="NA","NA",-PV(DiscountRate/12,0,0,'Nominal Increments'!K49,0))</f>
        <v>8904.1666666666661</v>
      </c>
      <c r="L49" s="150">
        <f>IF($B49="NA","NA",IF($A$10=0,0,-PV(DiscountRate/12,$D$9,0,'Nominal Increments'!L49,0)))</f>
        <v>0</v>
      </c>
      <c r="M49" s="150">
        <f>IF($B49="NA","NA",IF($A$11=0,0,-PV(DiscountRate/12,$D$10,0,'Nominal Increments'!M49,0)))</f>
        <v>0</v>
      </c>
      <c r="N49" s="150">
        <f>IF($B49="NA","NA",IF($A$12=0,0,-PV(DiscountRate/12,$D$11,0,'Nominal Increments'!N49,0)))</f>
        <v>0</v>
      </c>
      <c r="O49" s="150">
        <f>IF($B49="NA","NA",IF($A$13=0,0,-PV(DiscountRate/12,$D$12,0,'Nominal Increments'!O49,0)))</f>
        <v>0</v>
      </c>
      <c r="P49" s="150">
        <f>IF($B49="NA","NA",IF($A$14=0,0,-PV(DiscountRate/12,$D$13,0,'Nominal Increments'!P49,0)))</f>
        <v>0</v>
      </c>
      <c r="Q49" s="150">
        <f>IF($B49="NA","NA",IF($A$15=0,0,-PV(DiscountRate/12,$D$14,0,'Nominal Increments'!Q49,0)))</f>
        <v>0</v>
      </c>
      <c r="R49" s="150">
        <f>IF($B49="NA","NA",IF($A$16=0,0,-PV(DiscountRate/12,$D$15,0,'Nominal Increments'!R49,0)))</f>
        <v>0</v>
      </c>
      <c r="S49" s="150">
        <f>IF($B49="NA","NA",IF($A$17=0,0,-PV(DiscountRate/12,$D$16,0,'Nominal Increments'!S49,0)))</f>
        <v>0</v>
      </c>
      <c r="T49" s="151">
        <f>IF($B49="NA","NA",IF($A$18=0,0,-PV(DiscountRate/12,$D$17,0,'Nominal Increments'!T49,0)))</f>
        <v>0</v>
      </c>
    </row>
    <row r="50" spans="1:20" x14ac:dyDescent="0.2">
      <c r="A50" s="86">
        <f t="shared" si="3"/>
        <v>822</v>
      </c>
      <c r="B50" s="142">
        <f t="shared" si="4"/>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50">
        <f>IF(ISNUMBER(VLOOKUP($C50,'A4 Investment'!$A$24:$G$33,7,FALSE)),VLOOKUP($C50,'A4 Investment'!$A$24:$G$33,7,FALSE)*'A4 Investment'!G$18/12,0)</f>
        <v>0</v>
      </c>
      <c r="I50" s="151">
        <f t="shared" si="1"/>
        <v>8904.1666666666661</v>
      </c>
      <c r="J50" s="159">
        <f t="shared" si="2"/>
        <v>8904.1666666666661</v>
      </c>
      <c r="K50" s="150">
        <f>IF($B50="NA","NA",-PV(DiscountRate/12,0,0,'Nominal Increments'!K50,0))</f>
        <v>8904.1666666666661</v>
      </c>
      <c r="L50" s="150">
        <f>IF($B50="NA","NA",IF($A$10=0,0,-PV(DiscountRate/12,$D$9,0,'Nominal Increments'!L50,0)))</f>
        <v>0</v>
      </c>
      <c r="M50" s="150">
        <f>IF($B50="NA","NA",IF($A$11=0,0,-PV(DiscountRate/12,$D$10,0,'Nominal Increments'!M50,0)))</f>
        <v>0</v>
      </c>
      <c r="N50" s="150">
        <f>IF($B50="NA","NA",IF($A$12=0,0,-PV(DiscountRate/12,$D$11,0,'Nominal Increments'!N50,0)))</f>
        <v>0</v>
      </c>
      <c r="O50" s="150">
        <f>IF($B50="NA","NA",IF($A$13=0,0,-PV(DiscountRate/12,$D$12,0,'Nominal Increments'!O50,0)))</f>
        <v>0</v>
      </c>
      <c r="P50" s="150">
        <f>IF($B50="NA","NA",IF($A$14=0,0,-PV(DiscountRate/12,$D$13,0,'Nominal Increments'!P50,0)))</f>
        <v>0</v>
      </c>
      <c r="Q50" s="150">
        <f>IF($B50="NA","NA",IF($A$15=0,0,-PV(DiscountRate/12,$D$14,0,'Nominal Increments'!Q50,0)))</f>
        <v>0</v>
      </c>
      <c r="R50" s="150">
        <f>IF($B50="NA","NA",IF($A$16=0,0,-PV(DiscountRate/12,$D$15,0,'Nominal Increments'!R50,0)))</f>
        <v>0</v>
      </c>
      <c r="S50" s="150">
        <f>IF($B50="NA","NA",IF($A$17=0,0,-PV(DiscountRate/12,$D$16,0,'Nominal Increments'!S50,0)))</f>
        <v>0</v>
      </c>
      <c r="T50" s="151">
        <f>IF($B50="NA","NA",IF($A$18=0,0,-PV(DiscountRate/12,$D$17,0,'Nominal Increments'!T50,0)))</f>
        <v>0</v>
      </c>
    </row>
    <row r="51" spans="1:20" x14ac:dyDescent="0.2">
      <c r="A51" s="86">
        <f t="shared" si="3"/>
        <v>852</v>
      </c>
      <c r="B51" s="142">
        <f t="shared" si="4"/>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50">
        <f>IF(ISNUMBER(VLOOKUP($C51,'A4 Investment'!$A$24:$G$33,7,FALSE)),VLOOKUP($C51,'A4 Investment'!$A$24:$G$33,7,FALSE)*'A4 Investment'!G$18/12,0)</f>
        <v>0</v>
      </c>
      <c r="I51" s="151">
        <f t="shared" si="1"/>
        <v>8904.1666666666661</v>
      </c>
      <c r="J51" s="159">
        <f t="shared" si="2"/>
        <v>8904.1666666666661</v>
      </c>
      <c r="K51" s="150">
        <f>IF($B51="NA","NA",-PV(DiscountRate/12,0,0,'Nominal Increments'!K51,0))</f>
        <v>8904.1666666666661</v>
      </c>
      <c r="L51" s="150">
        <f>IF($B51="NA","NA",IF($A$10=0,0,-PV(DiscountRate/12,$D$9,0,'Nominal Increments'!L51,0)))</f>
        <v>0</v>
      </c>
      <c r="M51" s="150">
        <f>IF($B51="NA","NA",IF($A$11=0,0,-PV(DiscountRate/12,$D$10,0,'Nominal Increments'!M51,0)))</f>
        <v>0</v>
      </c>
      <c r="N51" s="150">
        <f>IF($B51="NA","NA",IF($A$12=0,0,-PV(DiscountRate/12,$D$11,0,'Nominal Increments'!N51,0)))</f>
        <v>0</v>
      </c>
      <c r="O51" s="150">
        <f>IF($B51="NA","NA",IF($A$13=0,0,-PV(DiscountRate/12,$D$12,0,'Nominal Increments'!O51,0)))</f>
        <v>0</v>
      </c>
      <c r="P51" s="150">
        <f>IF($B51="NA","NA",IF($A$14=0,0,-PV(DiscountRate/12,$D$13,0,'Nominal Increments'!P51,0)))</f>
        <v>0</v>
      </c>
      <c r="Q51" s="150">
        <f>IF($B51="NA","NA",IF($A$15=0,0,-PV(DiscountRate/12,$D$14,0,'Nominal Increments'!Q51,0)))</f>
        <v>0</v>
      </c>
      <c r="R51" s="150">
        <f>IF($B51="NA","NA",IF($A$16=0,0,-PV(DiscountRate/12,$D$15,0,'Nominal Increments'!R51,0)))</f>
        <v>0</v>
      </c>
      <c r="S51" s="150">
        <f>IF($B51="NA","NA",IF($A$17=0,0,-PV(DiscountRate/12,$D$16,0,'Nominal Increments'!S51,0)))</f>
        <v>0</v>
      </c>
      <c r="T51" s="151">
        <f>IF($B51="NA","NA",IF($A$18=0,0,-PV(DiscountRate/12,$D$17,0,'Nominal Increments'!T51,0)))</f>
        <v>0</v>
      </c>
    </row>
    <row r="52" spans="1:20" x14ac:dyDescent="0.2">
      <c r="A52" s="86">
        <f t="shared" si="3"/>
        <v>883</v>
      </c>
      <c r="B52" s="142">
        <f t="shared" si="4"/>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50">
        <f>IF(ISNUMBER(VLOOKUP($C52,'A4 Investment'!$A$24:$G$33,7,FALSE)),VLOOKUP($C52,'A4 Investment'!$A$24:$G$33,7,FALSE)*'A4 Investment'!G$18/12,0)</f>
        <v>0</v>
      </c>
      <c r="I52" s="151">
        <f t="shared" si="1"/>
        <v>8904.1666666666661</v>
      </c>
      <c r="J52" s="159">
        <f t="shared" si="2"/>
        <v>8904.1666666666661</v>
      </c>
      <c r="K52" s="150">
        <f>IF($B52="NA","NA",-PV(DiscountRate/12,0,0,'Nominal Increments'!K52,0))</f>
        <v>8904.1666666666661</v>
      </c>
      <c r="L52" s="150">
        <f>IF($B52="NA","NA",IF($A$10=0,0,-PV(DiscountRate/12,$D$9,0,'Nominal Increments'!L52,0)))</f>
        <v>0</v>
      </c>
      <c r="M52" s="150">
        <f>IF($B52="NA","NA",IF($A$11=0,0,-PV(DiscountRate/12,$D$10,0,'Nominal Increments'!M52,0)))</f>
        <v>0</v>
      </c>
      <c r="N52" s="150">
        <f>IF($B52="NA","NA",IF($A$12=0,0,-PV(DiscountRate/12,$D$11,0,'Nominal Increments'!N52,0)))</f>
        <v>0</v>
      </c>
      <c r="O52" s="150">
        <f>IF($B52="NA","NA",IF($A$13=0,0,-PV(DiscountRate/12,$D$12,0,'Nominal Increments'!O52,0)))</f>
        <v>0</v>
      </c>
      <c r="P52" s="150">
        <f>IF($B52="NA","NA",IF($A$14=0,0,-PV(DiscountRate/12,$D$13,0,'Nominal Increments'!P52,0)))</f>
        <v>0</v>
      </c>
      <c r="Q52" s="150">
        <f>IF($B52="NA","NA",IF($A$15=0,0,-PV(DiscountRate/12,$D$14,0,'Nominal Increments'!Q52,0)))</f>
        <v>0</v>
      </c>
      <c r="R52" s="150">
        <f>IF($B52="NA","NA",IF($A$16=0,0,-PV(DiscountRate/12,$D$15,0,'Nominal Increments'!R52,0)))</f>
        <v>0</v>
      </c>
      <c r="S52" s="150">
        <f>IF($B52="NA","NA",IF($A$17=0,0,-PV(DiscountRate/12,$D$16,0,'Nominal Increments'!S52,0)))</f>
        <v>0</v>
      </c>
      <c r="T52" s="151">
        <f>IF($B52="NA","NA",IF($A$18=0,0,-PV(DiscountRate/12,$D$17,0,'Nominal Increments'!T52,0)))</f>
        <v>0</v>
      </c>
    </row>
    <row r="53" spans="1:20" x14ac:dyDescent="0.2">
      <c r="A53" s="86">
        <f t="shared" si="3"/>
        <v>913</v>
      </c>
      <c r="B53" s="142">
        <f t="shared" si="4"/>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50">
        <f>IF(ISNUMBER(VLOOKUP($C53,'A4 Investment'!$A$24:$G$33,7,FALSE)),VLOOKUP($C53,'A4 Investment'!$A$24:$G$33,7,FALSE)*'A4 Investment'!G$18/12,0)</f>
        <v>0</v>
      </c>
      <c r="I53" s="151">
        <f t="shared" si="1"/>
        <v>8904.1666666666661</v>
      </c>
      <c r="J53" s="159">
        <f t="shared" si="2"/>
        <v>8904.1666666666661</v>
      </c>
      <c r="K53" s="150">
        <f>IF($B53="NA","NA",-PV(DiscountRate/12,0,0,'Nominal Increments'!K53,0))</f>
        <v>8904.1666666666661</v>
      </c>
      <c r="L53" s="150">
        <f>IF($B53="NA","NA",IF($A$10=0,0,-PV(DiscountRate/12,$D$9,0,'Nominal Increments'!L53,0)))</f>
        <v>0</v>
      </c>
      <c r="M53" s="150">
        <f>IF($B53="NA","NA",IF($A$11=0,0,-PV(DiscountRate/12,$D$10,0,'Nominal Increments'!M53,0)))</f>
        <v>0</v>
      </c>
      <c r="N53" s="150">
        <f>IF($B53="NA","NA",IF($A$12=0,0,-PV(DiscountRate/12,$D$11,0,'Nominal Increments'!N53,0)))</f>
        <v>0</v>
      </c>
      <c r="O53" s="150">
        <f>IF($B53="NA","NA",IF($A$13=0,0,-PV(DiscountRate/12,$D$12,0,'Nominal Increments'!O53,0)))</f>
        <v>0</v>
      </c>
      <c r="P53" s="150">
        <f>IF($B53="NA","NA",IF($A$14=0,0,-PV(DiscountRate/12,$D$13,0,'Nominal Increments'!P53,0)))</f>
        <v>0</v>
      </c>
      <c r="Q53" s="150">
        <f>IF($B53="NA","NA",IF($A$15=0,0,-PV(DiscountRate/12,$D$14,0,'Nominal Increments'!Q53,0)))</f>
        <v>0</v>
      </c>
      <c r="R53" s="150">
        <f>IF($B53="NA","NA",IF($A$16=0,0,-PV(DiscountRate/12,$D$15,0,'Nominal Increments'!R53,0)))</f>
        <v>0</v>
      </c>
      <c r="S53" s="150">
        <f>IF($B53="NA","NA",IF($A$17=0,0,-PV(DiscountRate/12,$D$16,0,'Nominal Increments'!S53,0)))</f>
        <v>0</v>
      </c>
      <c r="T53" s="151">
        <f>IF($B53="NA","NA",IF($A$18=0,0,-PV(DiscountRate/12,$D$17,0,'Nominal Increments'!T53,0)))</f>
        <v>0</v>
      </c>
    </row>
    <row r="54" spans="1:20" x14ac:dyDescent="0.2">
      <c r="A54" s="86">
        <f t="shared" si="3"/>
        <v>944</v>
      </c>
      <c r="B54" s="142">
        <f t="shared" si="4"/>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50">
        <f>IF(ISNUMBER(VLOOKUP($C54,'A4 Investment'!$A$24:$G$33,7,FALSE)),VLOOKUP($C54,'A4 Investment'!$A$24:$G$33,7,FALSE)*'A4 Investment'!G$18/12,0)</f>
        <v>0</v>
      </c>
      <c r="I54" s="151">
        <f t="shared" si="1"/>
        <v>8904.1666666666661</v>
      </c>
      <c r="J54" s="159">
        <f t="shared" si="2"/>
        <v>8904.1666666666661</v>
      </c>
      <c r="K54" s="150">
        <f>IF($B54="NA","NA",-PV(DiscountRate/12,0,0,'Nominal Increments'!K54,0))</f>
        <v>8904.1666666666661</v>
      </c>
      <c r="L54" s="150">
        <f>IF($B54="NA","NA",IF($A$10=0,0,-PV(DiscountRate/12,$D$9,0,'Nominal Increments'!L54,0)))</f>
        <v>0</v>
      </c>
      <c r="M54" s="150">
        <f>IF($B54="NA","NA",IF($A$11=0,0,-PV(DiscountRate/12,$D$10,0,'Nominal Increments'!M54,0)))</f>
        <v>0</v>
      </c>
      <c r="N54" s="150">
        <f>IF($B54="NA","NA",IF($A$12=0,0,-PV(DiscountRate/12,$D$11,0,'Nominal Increments'!N54,0)))</f>
        <v>0</v>
      </c>
      <c r="O54" s="150">
        <f>IF($B54="NA","NA",IF($A$13=0,0,-PV(DiscountRate/12,$D$12,0,'Nominal Increments'!O54,0)))</f>
        <v>0</v>
      </c>
      <c r="P54" s="150">
        <f>IF($B54="NA","NA",IF($A$14=0,0,-PV(DiscountRate/12,$D$13,0,'Nominal Increments'!P54,0)))</f>
        <v>0</v>
      </c>
      <c r="Q54" s="150">
        <f>IF($B54="NA","NA",IF($A$15=0,0,-PV(DiscountRate/12,$D$14,0,'Nominal Increments'!Q54,0)))</f>
        <v>0</v>
      </c>
      <c r="R54" s="150">
        <f>IF($B54="NA","NA",IF($A$16=0,0,-PV(DiscountRate/12,$D$15,0,'Nominal Increments'!R54,0)))</f>
        <v>0</v>
      </c>
      <c r="S54" s="150">
        <f>IF($B54="NA","NA",IF($A$17=0,0,-PV(DiscountRate/12,$D$16,0,'Nominal Increments'!S54,0)))</f>
        <v>0</v>
      </c>
      <c r="T54" s="151">
        <f>IF($B54="NA","NA",IF($A$18=0,0,-PV(DiscountRate/12,$D$17,0,'Nominal Increments'!T54,0)))</f>
        <v>0</v>
      </c>
    </row>
    <row r="55" spans="1:20" x14ac:dyDescent="0.2">
      <c r="A55" s="86">
        <f t="shared" si="3"/>
        <v>975</v>
      </c>
      <c r="B55" s="142">
        <f t="shared" si="4"/>
        <v>33</v>
      </c>
      <c r="C55" s="143">
        <f t="shared" si="0"/>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50">
        <f>IF(ISNUMBER(VLOOKUP($C55,'A4 Investment'!$A$24:$G$33,7,FALSE)),VLOOKUP($C55,'A4 Investment'!$A$24:$G$33,7,FALSE)*'A4 Investment'!G$18/12,0)</f>
        <v>0</v>
      </c>
      <c r="I55" s="151">
        <f t="shared" si="1"/>
        <v>8904.1666666666661</v>
      </c>
      <c r="J55" s="159">
        <f t="shared" si="2"/>
        <v>8904.1666666666661</v>
      </c>
      <c r="K55" s="150">
        <f>IF($B55="NA","NA",-PV(DiscountRate/12,0,0,'Nominal Increments'!K55,0))</f>
        <v>8904.1666666666661</v>
      </c>
      <c r="L55" s="150">
        <f>IF($B55="NA","NA",IF($A$10=0,0,-PV(DiscountRate/12,$D$9,0,'Nominal Increments'!L55,0)))</f>
        <v>0</v>
      </c>
      <c r="M55" s="150">
        <f>IF($B55="NA","NA",IF($A$11=0,0,-PV(DiscountRate/12,$D$10,0,'Nominal Increments'!M55,0)))</f>
        <v>0</v>
      </c>
      <c r="N55" s="150">
        <f>IF($B55="NA","NA",IF($A$12=0,0,-PV(DiscountRate/12,$D$11,0,'Nominal Increments'!N55,0)))</f>
        <v>0</v>
      </c>
      <c r="O55" s="150">
        <f>IF($B55="NA","NA",IF($A$13=0,0,-PV(DiscountRate/12,$D$12,0,'Nominal Increments'!O55,0)))</f>
        <v>0</v>
      </c>
      <c r="P55" s="150">
        <f>IF($B55="NA","NA",IF($A$14=0,0,-PV(DiscountRate/12,$D$13,0,'Nominal Increments'!P55,0)))</f>
        <v>0</v>
      </c>
      <c r="Q55" s="150">
        <f>IF($B55="NA","NA",IF($A$15=0,0,-PV(DiscountRate/12,$D$14,0,'Nominal Increments'!Q55,0)))</f>
        <v>0</v>
      </c>
      <c r="R55" s="150">
        <f>IF($B55="NA","NA",IF($A$16=0,0,-PV(DiscountRate/12,$D$15,0,'Nominal Increments'!R55,0)))</f>
        <v>0</v>
      </c>
      <c r="S55" s="150">
        <f>IF($B55="NA","NA",IF($A$17=0,0,-PV(DiscountRate/12,$D$16,0,'Nominal Increments'!S55,0)))</f>
        <v>0</v>
      </c>
      <c r="T55" s="151">
        <f>IF($B55="NA","NA",IF($A$18=0,0,-PV(DiscountRate/12,$D$17,0,'Nominal Increments'!T55,0)))</f>
        <v>0</v>
      </c>
    </row>
    <row r="56" spans="1:20" x14ac:dyDescent="0.2">
      <c r="A56" s="86">
        <f t="shared" si="3"/>
        <v>1005</v>
      </c>
      <c r="B56" s="142">
        <f t="shared" si="4"/>
        <v>34</v>
      </c>
      <c r="C56" s="143">
        <f t="shared" si="0"/>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50">
        <f>IF(ISNUMBER(VLOOKUP($C56,'A4 Investment'!$A$24:$G$33,7,FALSE)),VLOOKUP($C56,'A4 Investment'!$A$24:$G$33,7,FALSE)*'A4 Investment'!G$18/12,0)</f>
        <v>0</v>
      </c>
      <c r="I56" s="151">
        <f t="shared" si="1"/>
        <v>8904.1666666666661</v>
      </c>
      <c r="J56" s="159">
        <f t="shared" si="2"/>
        <v>8904.1666666666661</v>
      </c>
      <c r="K56" s="150">
        <f>IF($B56="NA","NA",-PV(DiscountRate/12,0,0,'Nominal Increments'!K56,0))</f>
        <v>8904.1666666666661</v>
      </c>
      <c r="L56" s="150">
        <f>IF($B56="NA","NA",IF($A$10=0,0,-PV(DiscountRate/12,$D$9,0,'Nominal Increments'!L56,0)))</f>
        <v>0</v>
      </c>
      <c r="M56" s="150">
        <f>IF($B56="NA","NA",IF($A$11=0,0,-PV(DiscountRate/12,$D$10,0,'Nominal Increments'!M56,0)))</f>
        <v>0</v>
      </c>
      <c r="N56" s="150">
        <f>IF($B56="NA","NA",IF($A$12=0,0,-PV(DiscountRate/12,$D$11,0,'Nominal Increments'!N56,0)))</f>
        <v>0</v>
      </c>
      <c r="O56" s="150">
        <f>IF($B56="NA","NA",IF($A$13=0,0,-PV(DiscountRate/12,$D$12,0,'Nominal Increments'!O56,0)))</f>
        <v>0</v>
      </c>
      <c r="P56" s="150">
        <f>IF($B56="NA","NA",IF($A$14=0,0,-PV(DiscountRate/12,$D$13,0,'Nominal Increments'!P56,0)))</f>
        <v>0</v>
      </c>
      <c r="Q56" s="150">
        <f>IF($B56="NA","NA",IF($A$15=0,0,-PV(DiscountRate/12,$D$14,0,'Nominal Increments'!Q56,0)))</f>
        <v>0</v>
      </c>
      <c r="R56" s="150">
        <f>IF($B56="NA","NA",IF($A$16=0,0,-PV(DiscountRate/12,$D$15,0,'Nominal Increments'!R56,0)))</f>
        <v>0</v>
      </c>
      <c r="S56" s="150">
        <f>IF($B56="NA","NA",IF($A$17=0,0,-PV(DiscountRate/12,$D$16,0,'Nominal Increments'!S56,0)))</f>
        <v>0</v>
      </c>
      <c r="T56" s="151">
        <f>IF($B56="NA","NA",IF($A$18=0,0,-PV(DiscountRate/12,$D$17,0,'Nominal Increments'!T56,0)))</f>
        <v>0</v>
      </c>
    </row>
    <row r="57" spans="1:20" x14ac:dyDescent="0.2">
      <c r="A57" s="86">
        <f t="shared" si="3"/>
        <v>1036</v>
      </c>
      <c r="B57" s="142">
        <f t="shared" si="4"/>
        <v>35</v>
      </c>
      <c r="C57" s="143">
        <f t="shared" si="0"/>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50">
        <f>IF(ISNUMBER(VLOOKUP($C57,'A4 Investment'!$A$24:$G$33,7,FALSE)),VLOOKUP($C57,'A4 Investment'!$A$24:$G$33,7,FALSE)*'A4 Investment'!G$18/12,0)</f>
        <v>0</v>
      </c>
      <c r="I57" s="151">
        <f t="shared" si="1"/>
        <v>8904.1666666666661</v>
      </c>
      <c r="J57" s="159">
        <f t="shared" si="2"/>
        <v>8904.1666666666661</v>
      </c>
      <c r="K57" s="150">
        <f>IF($B57="NA","NA",-PV(DiscountRate/12,0,0,'Nominal Increments'!K57,0))</f>
        <v>8904.1666666666661</v>
      </c>
      <c r="L57" s="150">
        <f>IF($B57="NA","NA",IF($A$10=0,0,-PV(DiscountRate/12,$D$9,0,'Nominal Increments'!L57,0)))</f>
        <v>0</v>
      </c>
      <c r="M57" s="150">
        <f>IF($B57="NA","NA",IF($A$11=0,0,-PV(DiscountRate/12,$D$10,0,'Nominal Increments'!M57,0)))</f>
        <v>0</v>
      </c>
      <c r="N57" s="150">
        <f>IF($B57="NA","NA",IF($A$12=0,0,-PV(DiscountRate/12,$D$11,0,'Nominal Increments'!N57,0)))</f>
        <v>0</v>
      </c>
      <c r="O57" s="150">
        <f>IF($B57="NA","NA",IF($A$13=0,0,-PV(DiscountRate/12,$D$12,0,'Nominal Increments'!O57,0)))</f>
        <v>0</v>
      </c>
      <c r="P57" s="150">
        <f>IF($B57="NA","NA",IF($A$14=0,0,-PV(DiscountRate/12,$D$13,0,'Nominal Increments'!P57,0)))</f>
        <v>0</v>
      </c>
      <c r="Q57" s="150">
        <f>IF($B57="NA","NA",IF($A$15=0,0,-PV(DiscountRate/12,$D$14,0,'Nominal Increments'!Q57,0)))</f>
        <v>0</v>
      </c>
      <c r="R57" s="150">
        <f>IF($B57="NA","NA",IF($A$16=0,0,-PV(DiscountRate/12,$D$15,0,'Nominal Increments'!R57,0)))</f>
        <v>0</v>
      </c>
      <c r="S57" s="150">
        <f>IF($B57="NA","NA",IF($A$17=0,0,-PV(DiscountRate/12,$D$16,0,'Nominal Increments'!S57,0)))</f>
        <v>0</v>
      </c>
      <c r="T57" s="151">
        <f>IF($B57="NA","NA",IF($A$18=0,0,-PV(DiscountRate/12,$D$17,0,'Nominal Increments'!T57,0)))</f>
        <v>0</v>
      </c>
    </row>
    <row r="58" spans="1:20" x14ac:dyDescent="0.2">
      <c r="A58" s="86">
        <f t="shared" si="3"/>
        <v>1066</v>
      </c>
      <c r="B58" s="142">
        <f t="shared" si="4"/>
        <v>36</v>
      </c>
      <c r="C58" s="143">
        <f t="shared" si="0"/>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50">
        <f>IF(ISNUMBER(VLOOKUP($C58,'A4 Investment'!$A$24:$G$33,7,FALSE)),VLOOKUP($C58,'A4 Investment'!$A$24:$G$33,7,FALSE)*'A4 Investment'!G$18/12,0)</f>
        <v>0</v>
      </c>
      <c r="I58" s="151">
        <f t="shared" si="1"/>
        <v>8904.1666666666661</v>
      </c>
      <c r="J58" s="159">
        <f t="shared" si="2"/>
        <v>8904.1666666666661</v>
      </c>
      <c r="K58" s="150">
        <f>IF($B58="NA","NA",-PV(DiscountRate/12,0,0,'Nominal Increments'!K58,0))</f>
        <v>8904.1666666666661</v>
      </c>
      <c r="L58" s="150">
        <f>IF($B58="NA","NA",IF($A$10=0,0,-PV(DiscountRate/12,$D$9,0,'Nominal Increments'!L58,0)))</f>
        <v>0</v>
      </c>
      <c r="M58" s="150">
        <f>IF($B58="NA","NA",IF($A$11=0,0,-PV(DiscountRate/12,$D$10,0,'Nominal Increments'!M58,0)))</f>
        <v>0</v>
      </c>
      <c r="N58" s="150">
        <f>IF($B58="NA","NA",IF($A$12=0,0,-PV(DiscountRate/12,$D$11,0,'Nominal Increments'!N58,0)))</f>
        <v>0</v>
      </c>
      <c r="O58" s="150">
        <f>IF($B58="NA","NA",IF($A$13=0,0,-PV(DiscountRate/12,$D$12,0,'Nominal Increments'!O58,0)))</f>
        <v>0</v>
      </c>
      <c r="P58" s="150">
        <f>IF($B58="NA","NA",IF($A$14=0,0,-PV(DiscountRate/12,$D$13,0,'Nominal Increments'!P58,0)))</f>
        <v>0</v>
      </c>
      <c r="Q58" s="150">
        <f>IF($B58="NA","NA",IF($A$15=0,0,-PV(DiscountRate/12,$D$14,0,'Nominal Increments'!Q58,0)))</f>
        <v>0</v>
      </c>
      <c r="R58" s="150">
        <f>IF($B58="NA","NA",IF($A$16=0,0,-PV(DiscountRate/12,$D$15,0,'Nominal Increments'!R58,0)))</f>
        <v>0</v>
      </c>
      <c r="S58" s="150">
        <f>IF($B58="NA","NA",IF($A$17=0,0,-PV(DiscountRate/12,$D$16,0,'Nominal Increments'!S58,0)))</f>
        <v>0</v>
      </c>
      <c r="T58" s="151">
        <f>IF($B58="NA","NA",IF($A$18=0,0,-PV(DiscountRate/12,$D$17,0,'Nominal Increments'!T58,0)))</f>
        <v>0</v>
      </c>
    </row>
    <row r="59" spans="1:20" x14ac:dyDescent="0.2">
      <c r="A59" s="86">
        <f t="shared" si="3"/>
        <v>1097</v>
      </c>
      <c r="B59" s="142">
        <f t="shared" si="4"/>
        <v>37</v>
      </c>
      <c r="C59" s="143">
        <f t="shared" si="0"/>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50">
        <f>IF(ISNUMBER(VLOOKUP($C59,'A4 Investment'!$A$24:$G$33,7,FALSE)),VLOOKUP($C59,'A4 Investment'!$A$24:$G$33,7,FALSE)*'A4 Investment'!G$18/12,0)</f>
        <v>0</v>
      </c>
      <c r="I59" s="151">
        <f t="shared" si="1"/>
        <v>8904.1666666666661</v>
      </c>
      <c r="J59" s="159">
        <f t="shared" si="2"/>
        <v>8904.1666666666661</v>
      </c>
      <c r="K59" s="150">
        <f>IF($B59="NA","NA",-PV(DiscountRate/12,0,0,'Nominal Increments'!K59,0))</f>
        <v>8904.1666666666661</v>
      </c>
      <c r="L59" s="150">
        <f>IF($B59="NA","NA",IF($A$10=0,0,-PV(DiscountRate/12,$D$9,0,'Nominal Increments'!L59,0)))</f>
        <v>0</v>
      </c>
      <c r="M59" s="150">
        <f>IF($B59="NA","NA",IF($A$11=0,0,-PV(DiscountRate/12,$D$10,0,'Nominal Increments'!M59,0)))</f>
        <v>0</v>
      </c>
      <c r="N59" s="150">
        <f>IF($B59="NA","NA",IF($A$12=0,0,-PV(DiscountRate/12,$D$11,0,'Nominal Increments'!N59,0)))</f>
        <v>0</v>
      </c>
      <c r="O59" s="150">
        <f>IF($B59="NA","NA",IF($A$13=0,0,-PV(DiscountRate/12,$D$12,0,'Nominal Increments'!O59,0)))</f>
        <v>0</v>
      </c>
      <c r="P59" s="150">
        <f>IF($B59="NA","NA",IF($A$14=0,0,-PV(DiscountRate/12,$D$13,0,'Nominal Increments'!P59,0)))</f>
        <v>0</v>
      </c>
      <c r="Q59" s="150">
        <f>IF($B59="NA","NA",IF($A$15=0,0,-PV(DiscountRate/12,$D$14,0,'Nominal Increments'!Q59,0)))</f>
        <v>0</v>
      </c>
      <c r="R59" s="150">
        <f>IF($B59="NA","NA",IF($A$16=0,0,-PV(DiscountRate/12,$D$15,0,'Nominal Increments'!R59,0)))</f>
        <v>0</v>
      </c>
      <c r="S59" s="150">
        <f>IF($B59="NA","NA",IF($A$17=0,0,-PV(DiscountRate/12,$D$16,0,'Nominal Increments'!S59,0)))</f>
        <v>0</v>
      </c>
      <c r="T59" s="151">
        <f>IF($B59="NA","NA",IF($A$18=0,0,-PV(DiscountRate/12,$D$17,0,'Nominal Increments'!T59,0)))</f>
        <v>0</v>
      </c>
    </row>
    <row r="60" spans="1:20" x14ac:dyDescent="0.2">
      <c r="A60" s="86">
        <f t="shared" si="3"/>
        <v>1128</v>
      </c>
      <c r="B60" s="142">
        <f t="shared" si="4"/>
        <v>38</v>
      </c>
      <c r="C60" s="143">
        <f t="shared" si="0"/>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50">
        <f>IF(ISNUMBER(VLOOKUP($C60,'A4 Investment'!$A$24:$G$33,7,FALSE)),VLOOKUP($C60,'A4 Investment'!$A$24:$G$33,7,FALSE)*'A4 Investment'!G$18/12,0)</f>
        <v>0</v>
      </c>
      <c r="I60" s="151">
        <f t="shared" si="1"/>
        <v>8904.1666666666661</v>
      </c>
      <c r="J60" s="159">
        <f t="shared" si="2"/>
        <v>8904.1666666666661</v>
      </c>
      <c r="K60" s="150">
        <f>IF($B60="NA","NA",-PV(DiscountRate/12,0,0,'Nominal Increments'!K60,0))</f>
        <v>8904.1666666666661</v>
      </c>
      <c r="L60" s="150">
        <f>IF($B60="NA","NA",IF($A$10=0,0,-PV(DiscountRate/12,$D$9,0,'Nominal Increments'!L60,0)))</f>
        <v>0</v>
      </c>
      <c r="M60" s="150">
        <f>IF($B60="NA","NA",IF($A$11=0,0,-PV(DiscountRate/12,$D$10,0,'Nominal Increments'!M60,0)))</f>
        <v>0</v>
      </c>
      <c r="N60" s="150">
        <f>IF($B60="NA","NA",IF($A$12=0,0,-PV(DiscountRate/12,$D$11,0,'Nominal Increments'!N60,0)))</f>
        <v>0</v>
      </c>
      <c r="O60" s="150">
        <f>IF($B60="NA","NA",IF($A$13=0,0,-PV(DiscountRate/12,$D$12,0,'Nominal Increments'!O60,0)))</f>
        <v>0</v>
      </c>
      <c r="P60" s="150">
        <f>IF($B60="NA","NA",IF($A$14=0,0,-PV(DiscountRate/12,$D$13,0,'Nominal Increments'!P60,0)))</f>
        <v>0</v>
      </c>
      <c r="Q60" s="150">
        <f>IF($B60="NA","NA",IF($A$15=0,0,-PV(DiscountRate/12,$D$14,0,'Nominal Increments'!Q60,0)))</f>
        <v>0</v>
      </c>
      <c r="R60" s="150">
        <f>IF($B60="NA","NA",IF($A$16=0,0,-PV(DiscountRate/12,$D$15,0,'Nominal Increments'!R60,0)))</f>
        <v>0</v>
      </c>
      <c r="S60" s="150">
        <f>IF($B60="NA","NA",IF($A$17=0,0,-PV(DiscountRate/12,$D$16,0,'Nominal Increments'!S60,0)))</f>
        <v>0</v>
      </c>
      <c r="T60" s="151">
        <f>IF($B60="NA","NA",IF($A$18=0,0,-PV(DiscountRate/12,$D$17,0,'Nominal Increments'!T60,0)))</f>
        <v>0</v>
      </c>
    </row>
    <row r="61" spans="1:20" x14ac:dyDescent="0.2">
      <c r="A61" s="86">
        <f t="shared" si="3"/>
        <v>1156</v>
      </c>
      <c r="B61" s="142">
        <f t="shared" si="4"/>
        <v>39</v>
      </c>
      <c r="C61" s="143">
        <f t="shared" si="0"/>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50">
        <f>IF(ISNUMBER(VLOOKUP($C61,'A4 Investment'!$A$24:$G$33,7,FALSE)),VLOOKUP($C61,'A4 Investment'!$A$24:$G$33,7,FALSE)*'A4 Investment'!G$18/12,0)</f>
        <v>0</v>
      </c>
      <c r="I61" s="151">
        <f t="shared" si="1"/>
        <v>8904.1666666666661</v>
      </c>
      <c r="J61" s="159">
        <f t="shared" si="2"/>
        <v>8904.1666666666661</v>
      </c>
      <c r="K61" s="150">
        <f>IF($B61="NA","NA",-PV(DiscountRate/12,0,0,'Nominal Increments'!K61,0))</f>
        <v>8904.1666666666661</v>
      </c>
      <c r="L61" s="150">
        <f>IF($B61="NA","NA",IF($A$10=0,0,-PV(DiscountRate/12,$D$9,0,'Nominal Increments'!L61,0)))</f>
        <v>0</v>
      </c>
      <c r="M61" s="150">
        <f>IF($B61="NA","NA",IF($A$11=0,0,-PV(DiscountRate/12,$D$10,0,'Nominal Increments'!M61,0)))</f>
        <v>0</v>
      </c>
      <c r="N61" s="150">
        <f>IF($B61="NA","NA",IF($A$12=0,0,-PV(DiscountRate/12,$D$11,0,'Nominal Increments'!N61,0)))</f>
        <v>0</v>
      </c>
      <c r="O61" s="150">
        <f>IF($B61="NA","NA",IF($A$13=0,0,-PV(DiscountRate/12,$D$12,0,'Nominal Increments'!O61,0)))</f>
        <v>0</v>
      </c>
      <c r="P61" s="150">
        <f>IF($B61="NA","NA",IF($A$14=0,0,-PV(DiscountRate/12,$D$13,0,'Nominal Increments'!P61,0)))</f>
        <v>0</v>
      </c>
      <c r="Q61" s="150">
        <f>IF($B61="NA","NA",IF($A$15=0,0,-PV(DiscountRate/12,$D$14,0,'Nominal Increments'!Q61,0)))</f>
        <v>0</v>
      </c>
      <c r="R61" s="150">
        <f>IF($B61="NA","NA",IF($A$16=0,0,-PV(DiscountRate/12,$D$15,0,'Nominal Increments'!R61,0)))</f>
        <v>0</v>
      </c>
      <c r="S61" s="150">
        <f>IF($B61="NA","NA",IF($A$17=0,0,-PV(DiscountRate/12,$D$16,0,'Nominal Increments'!S61,0)))</f>
        <v>0</v>
      </c>
      <c r="T61" s="151">
        <f>IF($B61="NA","NA",IF($A$18=0,0,-PV(DiscountRate/12,$D$17,0,'Nominal Increments'!T61,0)))</f>
        <v>0</v>
      </c>
    </row>
    <row r="62" spans="1:20" x14ac:dyDescent="0.2">
      <c r="A62" s="86">
        <f t="shared" si="3"/>
        <v>1187</v>
      </c>
      <c r="B62" s="142">
        <f t="shared" si="4"/>
        <v>40</v>
      </c>
      <c r="C62" s="143">
        <f t="shared" si="0"/>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50">
        <f>IF(ISNUMBER(VLOOKUP($C62,'A4 Investment'!$A$24:$G$33,7,FALSE)),VLOOKUP($C62,'A4 Investment'!$A$24:$G$33,7,FALSE)*'A4 Investment'!G$18/12,0)</f>
        <v>0</v>
      </c>
      <c r="I62" s="151">
        <f t="shared" si="1"/>
        <v>8904.1666666666661</v>
      </c>
      <c r="J62" s="159">
        <f t="shared" si="2"/>
        <v>8904.1666666666661</v>
      </c>
      <c r="K62" s="150">
        <f>IF($B62="NA","NA",-PV(DiscountRate/12,0,0,'Nominal Increments'!K62,0))</f>
        <v>8904.1666666666661</v>
      </c>
      <c r="L62" s="150">
        <f>IF($B62="NA","NA",IF($A$10=0,0,-PV(DiscountRate/12,$D$9,0,'Nominal Increments'!L62,0)))</f>
        <v>0</v>
      </c>
      <c r="M62" s="150">
        <f>IF($B62="NA","NA",IF($A$11=0,0,-PV(DiscountRate/12,$D$10,0,'Nominal Increments'!M62,0)))</f>
        <v>0</v>
      </c>
      <c r="N62" s="150">
        <f>IF($B62="NA","NA",IF($A$12=0,0,-PV(DiscountRate/12,$D$11,0,'Nominal Increments'!N62,0)))</f>
        <v>0</v>
      </c>
      <c r="O62" s="150">
        <f>IF($B62="NA","NA",IF($A$13=0,0,-PV(DiscountRate/12,$D$12,0,'Nominal Increments'!O62,0)))</f>
        <v>0</v>
      </c>
      <c r="P62" s="150">
        <f>IF($B62="NA","NA",IF($A$14=0,0,-PV(DiscountRate/12,$D$13,0,'Nominal Increments'!P62,0)))</f>
        <v>0</v>
      </c>
      <c r="Q62" s="150">
        <f>IF($B62="NA","NA",IF($A$15=0,0,-PV(DiscountRate/12,$D$14,0,'Nominal Increments'!Q62,0)))</f>
        <v>0</v>
      </c>
      <c r="R62" s="150">
        <f>IF($B62="NA","NA",IF($A$16=0,0,-PV(DiscountRate/12,$D$15,0,'Nominal Increments'!R62,0)))</f>
        <v>0</v>
      </c>
      <c r="S62" s="150">
        <f>IF($B62="NA","NA",IF($A$17=0,0,-PV(DiscountRate/12,$D$16,0,'Nominal Increments'!S62,0)))</f>
        <v>0</v>
      </c>
      <c r="T62" s="151">
        <f>IF($B62="NA","NA",IF($A$18=0,0,-PV(DiscountRate/12,$D$17,0,'Nominal Increments'!T62,0)))</f>
        <v>0</v>
      </c>
    </row>
    <row r="63" spans="1:20" x14ac:dyDescent="0.2">
      <c r="A63" s="86">
        <f t="shared" si="3"/>
        <v>1217</v>
      </c>
      <c r="B63" s="142">
        <f t="shared" si="4"/>
        <v>41</v>
      </c>
      <c r="C63" s="143">
        <f t="shared" si="0"/>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50">
        <f>IF(ISNUMBER(VLOOKUP($C63,'A4 Investment'!$A$24:$G$33,7,FALSE)),VLOOKUP($C63,'A4 Investment'!$A$24:$G$33,7,FALSE)*'A4 Investment'!G$18/12,0)</f>
        <v>0</v>
      </c>
      <c r="I63" s="151">
        <f t="shared" si="1"/>
        <v>8904.1666666666661</v>
      </c>
      <c r="J63" s="159">
        <f t="shared" si="2"/>
        <v>8904.1666666666661</v>
      </c>
      <c r="K63" s="150">
        <f>IF($B63="NA","NA",-PV(DiscountRate/12,0,0,'Nominal Increments'!K63,0))</f>
        <v>8904.1666666666661</v>
      </c>
      <c r="L63" s="150">
        <f>IF($B63="NA","NA",IF($A$10=0,0,-PV(DiscountRate/12,$D$9,0,'Nominal Increments'!L63,0)))</f>
        <v>0</v>
      </c>
      <c r="M63" s="150">
        <f>IF($B63="NA","NA",IF($A$11=0,0,-PV(DiscountRate/12,$D$10,0,'Nominal Increments'!M63,0)))</f>
        <v>0</v>
      </c>
      <c r="N63" s="150">
        <f>IF($B63="NA","NA",IF($A$12=0,0,-PV(DiscountRate/12,$D$11,0,'Nominal Increments'!N63,0)))</f>
        <v>0</v>
      </c>
      <c r="O63" s="150">
        <f>IF($B63="NA","NA",IF($A$13=0,0,-PV(DiscountRate/12,$D$12,0,'Nominal Increments'!O63,0)))</f>
        <v>0</v>
      </c>
      <c r="P63" s="150">
        <f>IF($B63="NA","NA",IF($A$14=0,0,-PV(DiscountRate/12,$D$13,0,'Nominal Increments'!P63,0)))</f>
        <v>0</v>
      </c>
      <c r="Q63" s="150">
        <f>IF($B63="NA","NA",IF($A$15=0,0,-PV(DiscountRate/12,$D$14,0,'Nominal Increments'!Q63,0)))</f>
        <v>0</v>
      </c>
      <c r="R63" s="150">
        <f>IF($B63="NA","NA",IF($A$16=0,0,-PV(DiscountRate/12,$D$15,0,'Nominal Increments'!R63,0)))</f>
        <v>0</v>
      </c>
      <c r="S63" s="150">
        <f>IF($B63="NA","NA",IF($A$17=0,0,-PV(DiscountRate/12,$D$16,0,'Nominal Increments'!S63,0)))</f>
        <v>0</v>
      </c>
      <c r="T63" s="151">
        <f>IF($B63="NA","NA",IF($A$18=0,0,-PV(DiscountRate/12,$D$17,0,'Nominal Increments'!T63,0)))</f>
        <v>0</v>
      </c>
    </row>
    <row r="64" spans="1:20" x14ac:dyDescent="0.2">
      <c r="A64" s="86">
        <f t="shared" si="3"/>
        <v>1248</v>
      </c>
      <c r="B64" s="142">
        <f t="shared" si="4"/>
        <v>42</v>
      </c>
      <c r="C64" s="143">
        <f t="shared" si="0"/>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50">
        <f>IF(ISNUMBER(VLOOKUP($C64,'A4 Investment'!$A$24:$G$33,7,FALSE)),VLOOKUP($C64,'A4 Investment'!$A$24:$G$33,7,FALSE)*'A4 Investment'!G$18/12,0)</f>
        <v>0</v>
      </c>
      <c r="I64" s="151">
        <f t="shared" si="1"/>
        <v>8904.1666666666661</v>
      </c>
      <c r="J64" s="159">
        <f t="shared" si="2"/>
        <v>8904.1666666666661</v>
      </c>
      <c r="K64" s="150">
        <f>IF($B64="NA","NA",-PV(DiscountRate/12,0,0,'Nominal Increments'!K64,0))</f>
        <v>8904.1666666666661</v>
      </c>
      <c r="L64" s="150">
        <f>IF($B64="NA","NA",IF($A$10=0,0,-PV(DiscountRate/12,$D$9,0,'Nominal Increments'!L64,0)))</f>
        <v>0</v>
      </c>
      <c r="M64" s="150">
        <f>IF($B64="NA","NA",IF($A$11=0,0,-PV(DiscountRate/12,$D$10,0,'Nominal Increments'!M64,0)))</f>
        <v>0</v>
      </c>
      <c r="N64" s="150">
        <f>IF($B64="NA","NA",IF($A$12=0,0,-PV(DiscountRate/12,$D$11,0,'Nominal Increments'!N64,0)))</f>
        <v>0</v>
      </c>
      <c r="O64" s="150">
        <f>IF($B64="NA","NA",IF($A$13=0,0,-PV(DiscountRate/12,$D$12,0,'Nominal Increments'!O64,0)))</f>
        <v>0</v>
      </c>
      <c r="P64" s="150">
        <f>IF($B64="NA","NA",IF($A$14=0,0,-PV(DiscountRate/12,$D$13,0,'Nominal Increments'!P64,0)))</f>
        <v>0</v>
      </c>
      <c r="Q64" s="150">
        <f>IF($B64="NA","NA",IF($A$15=0,0,-PV(DiscountRate/12,$D$14,0,'Nominal Increments'!Q64,0)))</f>
        <v>0</v>
      </c>
      <c r="R64" s="150">
        <f>IF($B64="NA","NA",IF($A$16=0,0,-PV(DiscountRate/12,$D$15,0,'Nominal Increments'!R64,0)))</f>
        <v>0</v>
      </c>
      <c r="S64" s="150">
        <f>IF($B64="NA","NA",IF($A$17=0,0,-PV(DiscountRate/12,$D$16,0,'Nominal Increments'!S64,0)))</f>
        <v>0</v>
      </c>
      <c r="T64" s="151">
        <f>IF($B64="NA","NA",IF($A$18=0,0,-PV(DiscountRate/12,$D$17,0,'Nominal Increments'!T64,0)))</f>
        <v>0</v>
      </c>
    </row>
    <row r="65" spans="1:20" x14ac:dyDescent="0.2">
      <c r="A65" s="86">
        <f t="shared" si="3"/>
        <v>1278</v>
      </c>
      <c r="B65" s="142">
        <f t="shared" si="4"/>
        <v>43</v>
      </c>
      <c r="C65" s="143">
        <f t="shared" si="0"/>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50">
        <f>IF(ISNUMBER(VLOOKUP($C65,'A4 Investment'!$A$24:$G$33,7,FALSE)),VLOOKUP($C65,'A4 Investment'!$A$24:$G$33,7,FALSE)*'A4 Investment'!G$18/12,0)</f>
        <v>0</v>
      </c>
      <c r="I65" s="151">
        <f t="shared" si="1"/>
        <v>8904.1666666666661</v>
      </c>
      <c r="J65" s="159">
        <f t="shared" si="2"/>
        <v>8904.1666666666661</v>
      </c>
      <c r="K65" s="150">
        <f>IF($B65="NA","NA",-PV(DiscountRate/12,0,0,'Nominal Increments'!K65,0))</f>
        <v>8904.1666666666661</v>
      </c>
      <c r="L65" s="150">
        <f>IF($B65="NA","NA",IF($A$10=0,0,-PV(DiscountRate/12,$D$9,0,'Nominal Increments'!L65,0)))</f>
        <v>0</v>
      </c>
      <c r="M65" s="150">
        <f>IF($B65="NA","NA",IF($A$11=0,0,-PV(DiscountRate/12,$D$10,0,'Nominal Increments'!M65,0)))</f>
        <v>0</v>
      </c>
      <c r="N65" s="150">
        <f>IF($B65="NA","NA",IF($A$12=0,0,-PV(DiscountRate/12,$D$11,0,'Nominal Increments'!N65,0)))</f>
        <v>0</v>
      </c>
      <c r="O65" s="150">
        <f>IF($B65="NA","NA",IF($A$13=0,0,-PV(DiscountRate/12,$D$12,0,'Nominal Increments'!O65,0)))</f>
        <v>0</v>
      </c>
      <c r="P65" s="150">
        <f>IF($B65="NA","NA",IF($A$14=0,0,-PV(DiscountRate/12,$D$13,0,'Nominal Increments'!P65,0)))</f>
        <v>0</v>
      </c>
      <c r="Q65" s="150">
        <f>IF($B65="NA","NA",IF($A$15=0,0,-PV(DiscountRate/12,$D$14,0,'Nominal Increments'!Q65,0)))</f>
        <v>0</v>
      </c>
      <c r="R65" s="150">
        <f>IF($B65="NA","NA",IF($A$16=0,0,-PV(DiscountRate/12,$D$15,0,'Nominal Increments'!R65,0)))</f>
        <v>0</v>
      </c>
      <c r="S65" s="150">
        <f>IF($B65="NA","NA",IF($A$17=0,0,-PV(DiscountRate/12,$D$16,0,'Nominal Increments'!S65,0)))</f>
        <v>0</v>
      </c>
      <c r="T65" s="151">
        <f>IF($B65="NA","NA",IF($A$18=0,0,-PV(DiscountRate/12,$D$17,0,'Nominal Increments'!T65,0)))</f>
        <v>0</v>
      </c>
    </row>
    <row r="66" spans="1:20" x14ac:dyDescent="0.2">
      <c r="A66" s="86">
        <f t="shared" si="3"/>
        <v>1309</v>
      </c>
      <c r="B66" s="142">
        <f t="shared" si="4"/>
        <v>44</v>
      </c>
      <c r="C66" s="143">
        <f t="shared" si="0"/>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50">
        <f>IF(ISNUMBER(VLOOKUP($C66,'A4 Investment'!$A$24:$G$33,7,FALSE)),VLOOKUP($C66,'A4 Investment'!$A$24:$G$33,7,FALSE)*'A4 Investment'!G$18/12,0)</f>
        <v>0</v>
      </c>
      <c r="I66" s="151">
        <f t="shared" si="1"/>
        <v>8904.1666666666661</v>
      </c>
      <c r="J66" s="159">
        <f t="shared" si="2"/>
        <v>8904.1666666666661</v>
      </c>
      <c r="K66" s="150">
        <f>IF($B66="NA","NA",-PV(DiscountRate/12,0,0,'Nominal Increments'!K66,0))</f>
        <v>8904.1666666666661</v>
      </c>
      <c r="L66" s="150">
        <f>IF($B66="NA","NA",IF($A$10=0,0,-PV(DiscountRate/12,$D$9,0,'Nominal Increments'!L66,0)))</f>
        <v>0</v>
      </c>
      <c r="M66" s="150">
        <f>IF($B66="NA","NA",IF($A$11=0,0,-PV(DiscountRate/12,$D$10,0,'Nominal Increments'!M66,0)))</f>
        <v>0</v>
      </c>
      <c r="N66" s="150">
        <f>IF($B66="NA","NA",IF($A$12=0,0,-PV(DiscountRate/12,$D$11,0,'Nominal Increments'!N66,0)))</f>
        <v>0</v>
      </c>
      <c r="O66" s="150">
        <f>IF($B66="NA","NA",IF($A$13=0,0,-PV(DiscountRate/12,$D$12,0,'Nominal Increments'!O66,0)))</f>
        <v>0</v>
      </c>
      <c r="P66" s="150">
        <f>IF($B66="NA","NA",IF($A$14=0,0,-PV(DiscountRate/12,$D$13,0,'Nominal Increments'!P66,0)))</f>
        <v>0</v>
      </c>
      <c r="Q66" s="150">
        <f>IF($B66="NA","NA",IF($A$15=0,0,-PV(DiscountRate/12,$D$14,0,'Nominal Increments'!Q66,0)))</f>
        <v>0</v>
      </c>
      <c r="R66" s="150">
        <f>IF($B66="NA","NA",IF($A$16=0,0,-PV(DiscountRate/12,$D$15,0,'Nominal Increments'!R66,0)))</f>
        <v>0</v>
      </c>
      <c r="S66" s="150">
        <f>IF($B66="NA","NA",IF($A$17=0,0,-PV(DiscountRate/12,$D$16,0,'Nominal Increments'!S66,0)))</f>
        <v>0</v>
      </c>
      <c r="T66" s="151">
        <f>IF($B66="NA","NA",IF($A$18=0,0,-PV(DiscountRate/12,$D$17,0,'Nominal Increments'!T66,0)))</f>
        <v>0</v>
      </c>
    </row>
    <row r="67" spans="1:20" x14ac:dyDescent="0.2">
      <c r="A67" s="86">
        <f t="shared" si="3"/>
        <v>1340</v>
      </c>
      <c r="B67" s="142">
        <f t="shared" si="4"/>
        <v>45</v>
      </c>
      <c r="C67" s="143">
        <f t="shared" si="0"/>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50">
        <f>IF(ISNUMBER(VLOOKUP($C67,'A4 Investment'!$A$24:$G$33,7,FALSE)),VLOOKUP($C67,'A4 Investment'!$A$24:$G$33,7,FALSE)*'A4 Investment'!G$18/12,0)</f>
        <v>0</v>
      </c>
      <c r="I67" s="151">
        <f t="shared" si="1"/>
        <v>8904.1666666666661</v>
      </c>
      <c r="J67" s="159">
        <f t="shared" si="2"/>
        <v>8904.1666666666661</v>
      </c>
      <c r="K67" s="150">
        <f>IF($B67="NA","NA",-PV(DiscountRate/12,0,0,'Nominal Increments'!K67,0))</f>
        <v>8904.1666666666661</v>
      </c>
      <c r="L67" s="150">
        <f>IF($B67="NA","NA",IF($A$10=0,0,-PV(DiscountRate/12,$D$9,0,'Nominal Increments'!L67,0)))</f>
        <v>0</v>
      </c>
      <c r="M67" s="150">
        <f>IF($B67="NA","NA",IF($A$11=0,0,-PV(DiscountRate/12,$D$10,0,'Nominal Increments'!M67,0)))</f>
        <v>0</v>
      </c>
      <c r="N67" s="150">
        <f>IF($B67="NA","NA",IF($A$12=0,0,-PV(DiscountRate/12,$D$11,0,'Nominal Increments'!N67,0)))</f>
        <v>0</v>
      </c>
      <c r="O67" s="150">
        <f>IF($B67="NA","NA",IF($A$13=0,0,-PV(DiscountRate/12,$D$12,0,'Nominal Increments'!O67,0)))</f>
        <v>0</v>
      </c>
      <c r="P67" s="150">
        <f>IF($B67="NA","NA",IF($A$14=0,0,-PV(DiscountRate/12,$D$13,0,'Nominal Increments'!P67,0)))</f>
        <v>0</v>
      </c>
      <c r="Q67" s="150">
        <f>IF($B67="NA","NA",IF($A$15=0,0,-PV(DiscountRate/12,$D$14,0,'Nominal Increments'!Q67,0)))</f>
        <v>0</v>
      </c>
      <c r="R67" s="150">
        <f>IF($B67="NA","NA",IF($A$16=0,0,-PV(DiscountRate/12,$D$15,0,'Nominal Increments'!R67,0)))</f>
        <v>0</v>
      </c>
      <c r="S67" s="150">
        <f>IF($B67="NA","NA",IF($A$17=0,0,-PV(DiscountRate/12,$D$16,0,'Nominal Increments'!S67,0)))</f>
        <v>0</v>
      </c>
      <c r="T67" s="151">
        <f>IF($B67="NA","NA",IF($A$18=0,0,-PV(DiscountRate/12,$D$17,0,'Nominal Increments'!T67,0)))</f>
        <v>0</v>
      </c>
    </row>
    <row r="68" spans="1:20" x14ac:dyDescent="0.2">
      <c r="A68" s="86">
        <f t="shared" si="3"/>
        <v>1370</v>
      </c>
      <c r="B68" s="142">
        <f t="shared" si="4"/>
        <v>46</v>
      </c>
      <c r="C68" s="143">
        <f t="shared" si="0"/>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50">
        <f>IF(ISNUMBER(VLOOKUP($C68,'A4 Investment'!$A$24:$G$33,7,FALSE)),VLOOKUP($C68,'A4 Investment'!$A$24:$G$33,7,FALSE)*'A4 Investment'!G$18/12,0)</f>
        <v>0</v>
      </c>
      <c r="I68" s="151">
        <f t="shared" si="1"/>
        <v>8904.1666666666661</v>
      </c>
      <c r="J68" s="159">
        <f t="shared" si="2"/>
        <v>8904.1666666666661</v>
      </c>
      <c r="K68" s="150">
        <f>IF($B68="NA","NA",-PV(DiscountRate/12,0,0,'Nominal Increments'!K68,0))</f>
        <v>8904.1666666666661</v>
      </c>
      <c r="L68" s="150">
        <f>IF($B68="NA","NA",IF($A$10=0,0,-PV(DiscountRate/12,$D$9,0,'Nominal Increments'!L68,0)))</f>
        <v>0</v>
      </c>
      <c r="M68" s="150">
        <f>IF($B68="NA","NA",IF($A$11=0,0,-PV(DiscountRate/12,$D$10,0,'Nominal Increments'!M68,0)))</f>
        <v>0</v>
      </c>
      <c r="N68" s="150">
        <f>IF($B68="NA","NA",IF($A$12=0,0,-PV(DiscountRate/12,$D$11,0,'Nominal Increments'!N68,0)))</f>
        <v>0</v>
      </c>
      <c r="O68" s="150">
        <f>IF($B68="NA","NA",IF($A$13=0,0,-PV(DiscountRate/12,$D$12,0,'Nominal Increments'!O68,0)))</f>
        <v>0</v>
      </c>
      <c r="P68" s="150">
        <f>IF($B68="NA","NA",IF($A$14=0,0,-PV(DiscountRate/12,$D$13,0,'Nominal Increments'!P68,0)))</f>
        <v>0</v>
      </c>
      <c r="Q68" s="150">
        <f>IF($B68="NA","NA",IF($A$15=0,0,-PV(DiscountRate/12,$D$14,0,'Nominal Increments'!Q68,0)))</f>
        <v>0</v>
      </c>
      <c r="R68" s="150">
        <f>IF($B68="NA","NA",IF($A$16=0,0,-PV(DiscountRate/12,$D$15,0,'Nominal Increments'!R68,0)))</f>
        <v>0</v>
      </c>
      <c r="S68" s="150">
        <f>IF($B68="NA","NA",IF($A$17=0,0,-PV(DiscountRate/12,$D$16,0,'Nominal Increments'!S68,0)))</f>
        <v>0</v>
      </c>
      <c r="T68" s="151">
        <f>IF($B68="NA","NA",IF($A$18=0,0,-PV(DiscountRate/12,$D$17,0,'Nominal Increments'!T68,0)))</f>
        <v>0</v>
      </c>
    </row>
    <row r="69" spans="1:20" x14ac:dyDescent="0.2">
      <c r="A69" s="86">
        <f t="shared" si="3"/>
        <v>1401</v>
      </c>
      <c r="B69" s="142">
        <f t="shared" si="4"/>
        <v>47</v>
      </c>
      <c r="C69" s="143">
        <f t="shared" si="0"/>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50">
        <f>IF(ISNUMBER(VLOOKUP($C69,'A4 Investment'!$A$24:$G$33,7,FALSE)),VLOOKUP($C69,'A4 Investment'!$A$24:$G$33,7,FALSE)*'A4 Investment'!G$18/12,0)</f>
        <v>0</v>
      </c>
      <c r="I69" s="151">
        <f t="shared" si="1"/>
        <v>8904.1666666666661</v>
      </c>
      <c r="J69" s="159">
        <f t="shared" si="2"/>
        <v>8904.1666666666661</v>
      </c>
      <c r="K69" s="150">
        <f>IF($B69="NA","NA",-PV(DiscountRate/12,0,0,'Nominal Increments'!K69,0))</f>
        <v>8904.1666666666661</v>
      </c>
      <c r="L69" s="150">
        <f>IF($B69="NA","NA",IF($A$10=0,0,-PV(DiscountRate/12,$D$9,0,'Nominal Increments'!L69,0)))</f>
        <v>0</v>
      </c>
      <c r="M69" s="150">
        <f>IF($B69="NA","NA",IF($A$11=0,0,-PV(DiscountRate/12,$D$10,0,'Nominal Increments'!M69,0)))</f>
        <v>0</v>
      </c>
      <c r="N69" s="150">
        <f>IF($B69="NA","NA",IF($A$12=0,0,-PV(DiscountRate/12,$D$11,0,'Nominal Increments'!N69,0)))</f>
        <v>0</v>
      </c>
      <c r="O69" s="150">
        <f>IF($B69="NA","NA",IF($A$13=0,0,-PV(DiscountRate/12,$D$12,0,'Nominal Increments'!O69,0)))</f>
        <v>0</v>
      </c>
      <c r="P69" s="150">
        <f>IF($B69="NA","NA",IF($A$14=0,0,-PV(DiscountRate/12,$D$13,0,'Nominal Increments'!P69,0)))</f>
        <v>0</v>
      </c>
      <c r="Q69" s="150">
        <f>IF($B69="NA","NA",IF($A$15=0,0,-PV(DiscountRate/12,$D$14,0,'Nominal Increments'!Q69,0)))</f>
        <v>0</v>
      </c>
      <c r="R69" s="150">
        <f>IF($B69="NA","NA",IF($A$16=0,0,-PV(DiscountRate/12,$D$15,0,'Nominal Increments'!R69,0)))</f>
        <v>0</v>
      </c>
      <c r="S69" s="150">
        <f>IF($B69="NA","NA",IF($A$17=0,0,-PV(DiscountRate/12,$D$16,0,'Nominal Increments'!S69,0)))</f>
        <v>0</v>
      </c>
      <c r="T69" s="151">
        <f>IF($B69="NA","NA",IF($A$18=0,0,-PV(DiscountRate/12,$D$17,0,'Nominal Increments'!T69,0)))</f>
        <v>0</v>
      </c>
    </row>
    <row r="70" spans="1:20" x14ac:dyDescent="0.2">
      <c r="A70" s="86">
        <f t="shared" si="3"/>
        <v>1431</v>
      </c>
      <c r="B70" s="142">
        <f t="shared" si="4"/>
        <v>48</v>
      </c>
      <c r="C70" s="143">
        <f t="shared" si="0"/>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50">
        <f>IF(ISNUMBER(VLOOKUP($C70,'A4 Investment'!$A$24:$G$33,7,FALSE)),VLOOKUP($C70,'A4 Investment'!$A$24:$G$33,7,FALSE)*'A4 Investment'!G$18/12,0)</f>
        <v>0</v>
      </c>
      <c r="I70" s="151">
        <f t="shared" si="1"/>
        <v>8904.1666666666661</v>
      </c>
      <c r="J70" s="159">
        <f t="shared" si="2"/>
        <v>8904.1666666666661</v>
      </c>
      <c r="K70" s="150">
        <f>IF($B70="NA","NA",-PV(DiscountRate/12,0,0,'Nominal Increments'!K70,0))</f>
        <v>8904.1666666666661</v>
      </c>
      <c r="L70" s="150">
        <f>IF($B70="NA","NA",IF($A$10=0,0,-PV(DiscountRate/12,$D$9,0,'Nominal Increments'!L70,0)))</f>
        <v>0</v>
      </c>
      <c r="M70" s="150">
        <f>IF($B70="NA","NA",IF($A$11=0,0,-PV(DiscountRate/12,$D$10,0,'Nominal Increments'!M70,0)))</f>
        <v>0</v>
      </c>
      <c r="N70" s="150">
        <f>IF($B70="NA","NA",IF($A$12=0,0,-PV(DiscountRate/12,$D$11,0,'Nominal Increments'!N70,0)))</f>
        <v>0</v>
      </c>
      <c r="O70" s="150">
        <f>IF($B70="NA","NA",IF($A$13=0,0,-PV(DiscountRate/12,$D$12,0,'Nominal Increments'!O70,0)))</f>
        <v>0</v>
      </c>
      <c r="P70" s="150">
        <f>IF($B70="NA","NA",IF($A$14=0,0,-PV(DiscountRate/12,$D$13,0,'Nominal Increments'!P70,0)))</f>
        <v>0</v>
      </c>
      <c r="Q70" s="150">
        <f>IF($B70="NA","NA",IF($A$15=0,0,-PV(DiscountRate/12,$D$14,0,'Nominal Increments'!Q70,0)))</f>
        <v>0</v>
      </c>
      <c r="R70" s="150">
        <f>IF($B70="NA","NA",IF($A$16=0,0,-PV(DiscountRate/12,$D$15,0,'Nominal Increments'!R70,0)))</f>
        <v>0</v>
      </c>
      <c r="S70" s="150">
        <f>IF($B70="NA","NA",IF($A$17=0,0,-PV(DiscountRate/12,$D$16,0,'Nominal Increments'!S70,0)))</f>
        <v>0</v>
      </c>
      <c r="T70" s="151">
        <f>IF($B70="NA","NA",IF($A$18=0,0,-PV(DiscountRate/12,$D$17,0,'Nominal Increments'!T70,0)))</f>
        <v>0</v>
      </c>
    </row>
    <row r="71" spans="1:20" x14ac:dyDescent="0.2">
      <c r="A71" s="86">
        <f t="shared" si="3"/>
        <v>1462</v>
      </c>
      <c r="B71" s="142">
        <f t="shared" si="4"/>
        <v>49</v>
      </c>
      <c r="C71" s="143">
        <f t="shared" si="0"/>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50">
        <f>IF(ISNUMBER(VLOOKUP($C71,'A4 Investment'!$A$24:$G$33,7,FALSE)),VLOOKUP($C71,'A4 Investment'!$A$24:$G$33,7,FALSE)*'A4 Investment'!G$18/12,0)</f>
        <v>0</v>
      </c>
      <c r="I71" s="151">
        <f t="shared" si="1"/>
        <v>8904.1666666666661</v>
      </c>
      <c r="J71" s="159">
        <f t="shared" si="2"/>
        <v>8904.1666666666661</v>
      </c>
      <c r="K71" s="150">
        <f>IF($B71="NA","NA",-PV(DiscountRate/12,0,0,'Nominal Increments'!K71,0))</f>
        <v>8904.1666666666661</v>
      </c>
      <c r="L71" s="150">
        <f>IF($B71="NA","NA",IF($A$10=0,0,-PV(DiscountRate/12,$D$9,0,'Nominal Increments'!L71,0)))</f>
        <v>0</v>
      </c>
      <c r="M71" s="150">
        <f>IF($B71="NA","NA",IF($A$11=0,0,-PV(DiscountRate/12,$D$10,0,'Nominal Increments'!M71,0)))</f>
        <v>0</v>
      </c>
      <c r="N71" s="150">
        <f>IF($B71="NA","NA",IF($A$12=0,0,-PV(DiscountRate/12,$D$11,0,'Nominal Increments'!N71,0)))</f>
        <v>0</v>
      </c>
      <c r="O71" s="150">
        <f>IF($B71="NA","NA",IF($A$13=0,0,-PV(DiscountRate/12,$D$12,0,'Nominal Increments'!O71,0)))</f>
        <v>0</v>
      </c>
      <c r="P71" s="150">
        <f>IF($B71="NA","NA",IF($A$14=0,0,-PV(DiscountRate/12,$D$13,0,'Nominal Increments'!P71,0)))</f>
        <v>0</v>
      </c>
      <c r="Q71" s="150">
        <f>IF($B71="NA","NA",IF($A$15=0,0,-PV(DiscountRate/12,$D$14,0,'Nominal Increments'!Q71,0)))</f>
        <v>0</v>
      </c>
      <c r="R71" s="150">
        <f>IF($B71="NA","NA",IF($A$16=0,0,-PV(DiscountRate/12,$D$15,0,'Nominal Increments'!R71,0)))</f>
        <v>0</v>
      </c>
      <c r="S71" s="150">
        <f>IF($B71="NA","NA",IF($A$17=0,0,-PV(DiscountRate/12,$D$16,0,'Nominal Increments'!S71,0)))</f>
        <v>0</v>
      </c>
      <c r="T71" s="151">
        <f>IF($B71="NA","NA",IF($A$18=0,0,-PV(DiscountRate/12,$D$17,0,'Nominal Increments'!T71,0)))</f>
        <v>0</v>
      </c>
    </row>
    <row r="72" spans="1:20" x14ac:dyDescent="0.2">
      <c r="A72" s="86">
        <f t="shared" si="3"/>
        <v>1493</v>
      </c>
      <c r="B72" s="142">
        <f t="shared" si="4"/>
        <v>50</v>
      </c>
      <c r="C72" s="143">
        <f t="shared" si="0"/>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50">
        <f>IF(ISNUMBER(VLOOKUP($C72,'A4 Investment'!$A$24:$G$33,7,FALSE)),VLOOKUP($C72,'A4 Investment'!$A$24:$G$33,7,FALSE)*'A4 Investment'!G$18/12,0)</f>
        <v>0</v>
      </c>
      <c r="I72" s="151">
        <f t="shared" si="1"/>
        <v>8904.1666666666661</v>
      </c>
      <c r="J72" s="159">
        <f t="shared" si="2"/>
        <v>8904.1666666666661</v>
      </c>
      <c r="K72" s="150">
        <f>IF($B72="NA","NA",-PV(DiscountRate/12,0,0,'Nominal Increments'!K72,0))</f>
        <v>8904.1666666666661</v>
      </c>
      <c r="L72" s="150">
        <f>IF($B72="NA","NA",IF($A$10=0,0,-PV(DiscountRate/12,$D$9,0,'Nominal Increments'!L72,0)))</f>
        <v>0</v>
      </c>
      <c r="M72" s="150">
        <f>IF($B72="NA","NA",IF($A$11=0,0,-PV(DiscountRate/12,$D$10,0,'Nominal Increments'!M72,0)))</f>
        <v>0</v>
      </c>
      <c r="N72" s="150">
        <f>IF($B72="NA","NA",IF($A$12=0,0,-PV(DiscountRate/12,$D$11,0,'Nominal Increments'!N72,0)))</f>
        <v>0</v>
      </c>
      <c r="O72" s="150">
        <f>IF($B72="NA","NA",IF($A$13=0,0,-PV(DiscountRate/12,$D$12,0,'Nominal Increments'!O72,0)))</f>
        <v>0</v>
      </c>
      <c r="P72" s="150">
        <f>IF($B72="NA","NA",IF($A$14=0,0,-PV(DiscountRate/12,$D$13,0,'Nominal Increments'!P72,0)))</f>
        <v>0</v>
      </c>
      <c r="Q72" s="150">
        <f>IF($B72="NA","NA",IF($A$15=0,0,-PV(DiscountRate/12,$D$14,0,'Nominal Increments'!Q72,0)))</f>
        <v>0</v>
      </c>
      <c r="R72" s="150">
        <f>IF($B72="NA","NA",IF($A$16=0,0,-PV(DiscountRate/12,$D$15,0,'Nominal Increments'!R72,0)))</f>
        <v>0</v>
      </c>
      <c r="S72" s="150">
        <f>IF($B72="NA","NA",IF($A$17=0,0,-PV(DiscountRate/12,$D$16,0,'Nominal Increments'!S72,0)))</f>
        <v>0</v>
      </c>
      <c r="T72" s="151">
        <f>IF($B72="NA","NA",IF($A$18=0,0,-PV(DiscountRate/12,$D$17,0,'Nominal Increments'!T72,0)))</f>
        <v>0</v>
      </c>
    </row>
    <row r="73" spans="1:20" x14ac:dyDescent="0.2">
      <c r="A73" s="86">
        <f t="shared" si="3"/>
        <v>1522</v>
      </c>
      <c r="B73" s="142">
        <f t="shared" si="4"/>
        <v>51</v>
      </c>
      <c r="C73" s="143">
        <f t="shared" si="0"/>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50">
        <f>IF(ISNUMBER(VLOOKUP($C73,'A4 Investment'!$A$24:$G$33,7,FALSE)),VLOOKUP($C73,'A4 Investment'!$A$24:$G$33,7,FALSE)*'A4 Investment'!G$18/12,0)</f>
        <v>0</v>
      </c>
      <c r="I73" s="151">
        <f t="shared" si="1"/>
        <v>8904.1666666666661</v>
      </c>
      <c r="J73" s="159">
        <f t="shared" si="2"/>
        <v>8904.1666666666661</v>
      </c>
      <c r="K73" s="150">
        <f>IF($B73="NA","NA",-PV(DiscountRate/12,0,0,'Nominal Increments'!K73,0))</f>
        <v>8904.1666666666661</v>
      </c>
      <c r="L73" s="150">
        <f>IF($B73="NA","NA",IF($A$10=0,0,-PV(DiscountRate/12,$D$9,0,'Nominal Increments'!L73,0)))</f>
        <v>0</v>
      </c>
      <c r="M73" s="150">
        <f>IF($B73="NA","NA",IF($A$11=0,0,-PV(DiscountRate/12,$D$10,0,'Nominal Increments'!M73,0)))</f>
        <v>0</v>
      </c>
      <c r="N73" s="150">
        <f>IF($B73="NA","NA",IF($A$12=0,0,-PV(DiscountRate/12,$D$11,0,'Nominal Increments'!N73,0)))</f>
        <v>0</v>
      </c>
      <c r="O73" s="150">
        <f>IF($B73="NA","NA",IF($A$13=0,0,-PV(DiscountRate/12,$D$12,0,'Nominal Increments'!O73,0)))</f>
        <v>0</v>
      </c>
      <c r="P73" s="150">
        <f>IF($B73="NA","NA",IF($A$14=0,0,-PV(DiscountRate/12,$D$13,0,'Nominal Increments'!P73,0)))</f>
        <v>0</v>
      </c>
      <c r="Q73" s="150">
        <f>IF($B73="NA","NA",IF($A$15=0,0,-PV(DiscountRate/12,$D$14,0,'Nominal Increments'!Q73,0)))</f>
        <v>0</v>
      </c>
      <c r="R73" s="150">
        <f>IF($B73="NA","NA",IF($A$16=0,0,-PV(DiscountRate/12,$D$15,0,'Nominal Increments'!R73,0)))</f>
        <v>0</v>
      </c>
      <c r="S73" s="150">
        <f>IF($B73="NA","NA",IF($A$17=0,0,-PV(DiscountRate/12,$D$16,0,'Nominal Increments'!S73,0)))</f>
        <v>0</v>
      </c>
      <c r="T73" s="151">
        <f>IF($B73="NA","NA",IF($A$18=0,0,-PV(DiscountRate/12,$D$17,0,'Nominal Increments'!T73,0)))</f>
        <v>0</v>
      </c>
    </row>
    <row r="74" spans="1:20" x14ac:dyDescent="0.2">
      <c r="A74" s="86">
        <f t="shared" si="3"/>
        <v>1553</v>
      </c>
      <c r="B74" s="142">
        <f t="shared" si="4"/>
        <v>52</v>
      </c>
      <c r="C74" s="143">
        <f t="shared" si="0"/>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50">
        <f>IF(ISNUMBER(VLOOKUP($C74,'A4 Investment'!$A$24:$G$33,7,FALSE)),VLOOKUP($C74,'A4 Investment'!$A$24:$G$33,7,FALSE)*'A4 Investment'!G$18/12,0)</f>
        <v>0</v>
      </c>
      <c r="I74" s="151">
        <f t="shared" si="1"/>
        <v>8904.1666666666661</v>
      </c>
      <c r="J74" s="159">
        <f t="shared" si="2"/>
        <v>8904.1666666666661</v>
      </c>
      <c r="K74" s="150">
        <f>IF($B74="NA","NA",-PV(DiscountRate/12,0,0,'Nominal Increments'!K74,0))</f>
        <v>8904.1666666666661</v>
      </c>
      <c r="L74" s="150">
        <f>IF($B74="NA","NA",IF($A$10=0,0,-PV(DiscountRate/12,$D$9,0,'Nominal Increments'!L74,0)))</f>
        <v>0</v>
      </c>
      <c r="M74" s="150">
        <f>IF($B74="NA","NA",IF($A$11=0,0,-PV(DiscountRate/12,$D$10,0,'Nominal Increments'!M74,0)))</f>
        <v>0</v>
      </c>
      <c r="N74" s="150">
        <f>IF($B74="NA","NA",IF($A$12=0,0,-PV(DiscountRate/12,$D$11,0,'Nominal Increments'!N74,0)))</f>
        <v>0</v>
      </c>
      <c r="O74" s="150">
        <f>IF($B74="NA","NA",IF($A$13=0,0,-PV(DiscountRate/12,$D$12,0,'Nominal Increments'!O74,0)))</f>
        <v>0</v>
      </c>
      <c r="P74" s="150">
        <f>IF($B74="NA","NA",IF($A$14=0,0,-PV(DiscountRate/12,$D$13,0,'Nominal Increments'!P74,0)))</f>
        <v>0</v>
      </c>
      <c r="Q74" s="150">
        <f>IF($B74="NA","NA",IF($A$15=0,0,-PV(DiscountRate/12,$D$14,0,'Nominal Increments'!Q74,0)))</f>
        <v>0</v>
      </c>
      <c r="R74" s="150">
        <f>IF($B74="NA","NA",IF($A$16=0,0,-PV(DiscountRate/12,$D$15,0,'Nominal Increments'!R74,0)))</f>
        <v>0</v>
      </c>
      <c r="S74" s="150">
        <f>IF($B74="NA","NA",IF($A$17=0,0,-PV(DiscountRate/12,$D$16,0,'Nominal Increments'!S74,0)))</f>
        <v>0</v>
      </c>
      <c r="T74" s="151">
        <f>IF($B74="NA","NA",IF($A$18=0,0,-PV(DiscountRate/12,$D$17,0,'Nominal Increments'!T74,0)))</f>
        <v>0</v>
      </c>
    </row>
    <row r="75" spans="1:20" x14ac:dyDescent="0.2">
      <c r="A75" s="86">
        <f t="shared" si="3"/>
        <v>1583</v>
      </c>
      <c r="B75" s="142">
        <f t="shared" si="4"/>
        <v>53</v>
      </c>
      <c r="C75" s="143">
        <f t="shared" si="0"/>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50">
        <f>IF(ISNUMBER(VLOOKUP($C75,'A4 Investment'!$A$24:$G$33,7,FALSE)),VLOOKUP($C75,'A4 Investment'!$A$24:$G$33,7,FALSE)*'A4 Investment'!G$18/12,0)</f>
        <v>0</v>
      </c>
      <c r="I75" s="151">
        <f t="shared" si="1"/>
        <v>8904.1666666666661</v>
      </c>
      <c r="J75" s="159">
        <f t="shared" si="2"/>
        <v>8904.1666666666661</v>
      </c>
      <c r="K75" s="150">
        <f>IF($B75="NA","NA",-PV(DiscountRate/12,0,0,'Nominal Increments'!K75,0))</f>
        <v>8904.1666666666661</v>
      </c>
      <c r="L75" s="150">
        <f>IF($B75="NA","NA",IF($A$10=0,0,-PV(DiscountRate/12,$D$9,0,'Nominal Increments'!L75,0)))</f>
        <v>0</v>
      </c>
      <c r="M75" s="150">
        <f>IF($B75="NA","NA",IF($A$11=0,0,-PV(DiscountRate/12,$D$10,0,'Nominal Increments'!M75,0)))</f>
        <v>0</v>
      </c>
      <c r="N75" s="150">
        <f>IF($B75="NA","NA",IF($A$12=0,0,-PV(DiscountRate/12,$D$11,0,'Nominal Increments'!N75,0)))</f>
        <v>0</v>
      </c>
      <c r="O75" s="150">
        <f>IF($B75="NA","NA",IF($A$13=0,0,-PV(DiscountRate/12,$D$12,0,'Nominal Increments'!O75,0)))</f>
        <v>0</v>
      </c>
      <c r="P75" s="150">
        <f>IF($B75="NA","NA",IF($A$14=0,0,-PV(DiscountRate/12,$D$13,0,'Nominal Increments'!P75,0)))</f>
        <v>0</v>
      </c>
      <c r="Q75" s="150">
        <f>IF($B75="NA","NA",IF($A$15=0,0,-PV(DiscountRate/12,$D$14,0,'Nominal Increments'!Q75,0)))</f>
        <v>0</v>
      </c>
      <c r="R75" s="150">
        <f>IF($B75="NA","NA",IF($A$16=0,0,-PV(DiscountRate/12,$D$15,0,'Nominal Increments'!R75,0)))</f>
        <v>0</v>
      </c>
      <c r="S75" s="150">
        <f>IF($B75="NA","NA",IF($A$17=0,0,-PV(DiscountRate/12,$D$16,0,'Nominal Increments'!S75,0)))</f>
        <v>0</v>
      </c>
      <c r="T75" s="151">
        <f>IF($B75="NA","NA",IF($A$18=0,0,-PV(DiscountRate/12,$D$17,0,'Nominal Increments'!T75,0)))</f>
        <v>0</v>
      </c>
    </row>
    <row r="76" spans="1:20" x14ac:dyDescent="0.2">
      <c r="A76" s="86">
        <f t="shared" si="3"/>
        <v>1614</v>
      </c>
      <c r="B76" s="142">
        <f t="shared" si="4"/>
        <v>54</v>
      </c>
      <c r="C76" s="143">
        <f t="shared" si="0"/>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50">
        <f>IF(ISNUMBER(VLOOKUP($C76,'A4 Investment'!$A$24:$G$33,7,FALSE)),VLOOKUP($C76,'A4 Investment'!$A$24:$G$33,7,FALSE)*'A4 Investment'!G$18/12,0)</f>
        <v>0</v>
      </c>
      <c r="I76" s="151">
        <f t="shared" si="1"/>
        <v>8904.1666666666661</v>
      </c>
      <c r="J76" s="159">
        <f t="shared" si="2"/>
        <v>8904.1666666666661</v>
      </c>
      <c r="K76" s="150">
        <f>IF($B76="NA","NA",-PV(DiscountRate/12,0,0,'Nominal Increments'!K76,0))</f>
        <v>8904.1666666666661</v>
      </c>
      <c r="L76" s="150">
        <f>IF($B76="NA","NA",IF($A$10=0,0,-PV(DiscountRate/12,$D$9,0,'Nominal Increments'!L76,0)))</f>
        <v>0</v>
      </c>
      <c r="M76" s="150">
        <f>IF($B76="NA","NA",IF($A$11=0,0,-PV(DiscountRate/12,$D$10,0,'Nominal Increments'!M76,0)))</f>
        <v>0</v>
      </c>
      <c r="N76" s="150">
        <f>IF($B76="NA","NA",IF($A$12=0,0,-PV(DiscountRate/12,$D$11,0,'Nominal Increments'!N76,0)))</f>
        <v>0</v>
      </c>
      <c r="O76" s="150">
        <f>IF($B76="NA","NA",IF($A$13=0,0,-PV(DiscountRate/12,$D$12,0,'Nominal Increments'!O76,0)))</f>
        <v>0</v>
      </c>
      <c r="P76" s="150">
        <f>IF($B76="NA","NA",IF($A$14=0,0,-PV(DiscountRate/12,$D$13,0,'Nominal Increments'!P76,0)))</f>
        <v>0</v>
      </c>
      <c r="Q76" s="150">
        <f>IF($B76="NA","NA",IF($A$15=0,0,-PV(DiscountRate/12,$D$14,0,'Nominal Increments'!Q76,0)))</f>
        <v>0</v>
      </c>
      <c r="R76" s="150">
        <f>IF($B76="NA","NA",IF($A$16=0,0,-PV(DiscountRate/12,$D$15,0,'Nominal Increments'!R76,0)))</f>
        <v>0</v>
      </c>
      <c r="S76" s="150">
        <f>IF($B76="NA","NA",IF($A$17=0,0,-PV(DiscountRate/12,$D$16,0,'Nominal Increments'!S76,0)))</f>
        <v>0</v>
      </c>
      <c r="T76" s="151">
        <f>IF($B76="NA","NA",IF($A$18=0,0,-PV(DiscountRate/12,$D$17,0,'Nominal Increments'!T76,0)))</f>
        <v>0</v>
      </c>
    </row>
    <row r="77" spans="1:20" x14ac:dyDescent="0.2">
      <c r="A77" s="86">
        <f t="shared" si="3"/>
        <v>1644</v>
      </c>
      <c r="B77" s="142">
        <f t="shared" si="4"/>
        <v>55</v>
      </c>
      <c r="C77" s="143">
        <f t="shared" si="0"/>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50">
        <f>IF(ISNUMBER(VLOOKUP($C77,'A4 Investment'!$A$24:$G$33,7,FALSE)),VLOOKUP($C77,'A4 Investment'!$A$24:$G$33,7,FALSE)*'A4 Investment'!G$18/12,0)</f>
        <v>0</v>
      </c>
      <c r="I77" s="151">
        <f t="shared" si="1"/>
        <v>8904.1666666666661</v>
      </c>
      <c r="J77" s="159">
        <f t="shared" si="2"/>
        <v>8904.1666666666661</v>
      </c>
      <c r="K77" s="150">
        <f>IF($B77="NA","NA",-PV(DiscountRate/12,0,0,'Nominal Increments'!K77,0))</f>
        <v>8904.1666666666661</v>
      </c>
      <c r="L77" s="150">
        <f>IF($B77="NA","NA",IF($A$10=0,0,-PV(DiscountRate/12,$D$9,0,'Nominal Increments'!L77,0)))</f>
        <v>0</v>
      </c>
      <c r="M77" s="150">
        <f>IF($B77="NA","NA",IF($A$11=0,0,-PV(DiscountRate/12,$D$10,0,'Nominal Increments'!M77,0)))</f>
        <v>0</v>
      </c>
      <c r="N77" s="150">
        <f>IF($B77="NA","NA",IF($A$12=0,0,-PV(DiscountRate/12,$D$11,0,'Nominal Increments'!N77,0)))</f>
        <v>0</v>
      </c>
      <c r="O77" s="150">
        <f>IF($B77="NA","NA",IF($A$13=0,0,-PV(DiscountRate/12,$D$12,0,'Nominal Increments'!O77,0)))</f>
        <v>0</v>
      </c>
      <c r="P77" s="150">
        <f>IF($B77="NA","NA",IF($A$14=0,0,-PV(DiscountRate/12,$D$13,0,'Nominal Increments'!P77,0)))</f>
        <v>0</v>
      </c>
      <c r="Q77" s="150">
        <f>IF($B77="NA","NA",IF($A$15=0,0,-PV(DiscountRate/12,$D$14,0,'Nominal Increments'!Q77,0)))</f>
        <v>0</v>
      </c>
      <c r="R77" s="150">
        <f>IF($B77="NA","NA",IF($A$16=0,0,-PV(DiscountRate/12,$D$15,0,'Nominal Increments'!R77,0)))</f>
        <v>0</v>
      </c>
      <c r="S77" s="150">
        <f>IF($B77="NA","NA",IF($A$17=0,0,-PV(DiscountRate/12,$D$16,0,'Nominal Increments'!S77,0)))</f>
        <v>0</v>
      </c>
      <c r="T77" s="151">
        <f>IF($B77="NA","NA",IF($A$18=0,0,-PV(DiscountRate/12,$D$17,0,'Nominal Increments'!T77,0)))</f>
        <v>0</v>
      </c>
    </row>
    <row r="78" spans="1:20" x14ac:dyDescent="0.2">
      <c r="A78" s="86">
        <f t="shared" si="3"/>
        <v>1675</v>
      </c>
      <c r="B78" s="142">
        <f t="shared" si="4"/>
        <v>56</v>
      </c>
      <c r="C78" s="143">
        <f t="shared" si="0"/>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50">
        <f>IF(ISNUMBER(VLOOKUP($C78,'A4 Investment'!$A$24:$G$33,7,FALSE)),VLOOKUP($C78,'A4 Investment'!$A$24:$G$33,7,FALSE)*'A4 Investment'!G$18/12,0)</f>
        <v>0</v>
      </c>
      <c r="I78" s="151">
        <f t="shared" si="1"/>
        <v>8904.1666666666661</v>
      </c>
      <c r="J78" s="159">
        <f t="shared" si="2"/>
        <v>8904.1666666666661</v>
      </c>
      <c r="K78" s="150">
        <f>IF($B78="NA","NA",-PV(DiscountRate/12,0,0,'Nominal Increments'!K78,0))</f>
        <v>8904.1666666666661</v>
      </c>
      <c r="L78" s="150">
        <f>IF($B78="NA","NA",IF($A$10=0,0,-PV(DiscountRate/12,$D$9,0,'Nominal Increments'!L78,0)))</f>
        <v>0</v>
      </c>
      <c r="M78" s="150">
        <f>IF($B78="NA","NA",IF($A$11=0,0,-PV(DiscountRate/12,$D$10,0,'Nominal Increments'!M78,0)))</f>
        <v>0</v>
      </c>
      <c r="N78" s="150">
        <f>IF($B78="NA","NA",IF($A$12=0,0,-PV(DiscountRate/12,$D$11,0,'Nominal Increments'!N78,0)))</f>
        <v>0</v>
      </c>
      <c r="O78" s="150">
        <f>IF($B78="NA","NA",IF($A$13=0,0,-PV(DiscountRate/12,$D$12,0,'Nominal Increments'!O78,0)))</f>
        <v>0</v>
      </c>
      <c r="P78" s="150">
        <f>IF($B78="NA","NA",IF($A$14=0,0,-PV(DiscountRate/12,$D$13,0,'Nominal Increments'!P78,0)))</f>
        <v>0</v>
      </c>
      <c r="Q78" s="150">
        <f>IF($B78="NA","NA",IF($A$15=0,0,-PV(DiscountRate/12,$D$14,0,'Nominal Increments'!Q78,0)))</f>
        <v>0</v>
      </c>
      <c r="R78" s="150">
        <f>IF($B78="NA","NA",IF($A$16=0,0,-PV(DiscountRate/12,$D$15,0,'Nominal Increments'!R78,0)))</f>
        <v>0</v>
      </c>
      <c r="S78" s="150">
        <f>IF($B78="NA","NA",IF($A$17=0,0,-PV(DiscountRate/12,$D$16,0,'Nominal Increments'!S78,0)))</f>
        <v>0</v>
      </c>
      <c r="T78" s="151">
        <f>IF($B78="NA","NA",IF($A$18=0,0,-PV(DiscountRate/12,$D$17,0,'Nominal Increments'!T78,0)))</f>
        <v>0</v>
      </c>
    </row>
    <row r="79" spans="1:20" x14ac:dyDescent="0.2">
      <c r="A79" s="86">
        <f t="shared" si="3"/>
        <v>1706</v>
      </c>
      <c r="B79" s="142">
        <f t="shared" si="4"/>
        <v>57</v>
      </c>
      <c r="C79" s="143">
        <f t="shared" si="0"/>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50">
        <f>IF(ISNUMBER(VLOOKUP($C79,'A4 Investment'!$A$24:$G$33,7,FALSE)),VLOOKUP($C79,'A4 Investment'!$A$24:$G$33,7,FALSE)*'A4 Investment'!G$18/12,0)</f>
        <v>0</v>
      </c>
      <c r="I79" s="151">
        <f t="shared" si="1"/>
        <v>8904.1666666666661</v>
      </c>
      <c r="J79" s="159">
        <f t="shared" si="2"/>
        <v>8904.1666666666661</v>
      </c>
      <c r="K79" s="150">
        <f>IF($B79="NA","NA",-PV(DiscountRate/12,0,0,'Nominal Increments'!K79,0))</f>
        <v>8904.1666666666661</v>
      </c>
      <c r="L79" s="150">
        <f>IF($B79="NA","NA",IF($A$10=0,0,-PV(DiscountRate/12,$D$9,0,'Nominal Increments'!L79,0)))</f>
        <v>0</v>
      </c>
      <c r="M79" s="150">
        <f>IF($B79="NA","NA",IF($A$11=0,0,-PV(DiscountRate/12,$D$10,0,'Nominal Increments'!M79,0)))</f>
        <v>0</v>
      </c>
      <c r="N79" s="150">
        <f>IF($B79="NA","NA",IF($A$12=0,0,-PV(DiscountRate/12,$D$11,0,'Nominal Increments'!N79,0)))</f>
        <v>0</v>
      </c>
      <c r="O79" s="150">
        <f>IF($B79="NA","NA",IF($A$13=0,0,-PV(DiscountRate/12,$D$12,0,'Nominal Increments'!O79,0)))</f>
        <v>0</v>
      </c>
      <c r="P79" s="150">
        <f>IF($B79="NA","NA",IF($A$14=0,0,-PV(DiscountRate/12,$D$13,0,'Nominal Increments'!P79,0)))</f>
        <v>0</v>
      </c>
      <c r="Q79" s="150">
        <f>IF($B79="NA","NA",IF($A$15=0,0,-PV(DiscountRate/12,$D$14,0,'Nominal Increments'!Q79,0)))</f>
        <v>0</v>
      </c>
      <c r="R79" s="150">
        <f>IF($B79="NA","NA",IF($A$16=0,0,-PV(DiscountRate/12,$D$15,0,'Nominal Increments'!R79,0)))</f>
        <v>0</v>
      </c>
      <c r="S79" s="150">
        <f>IF($B79="NA","NA",IF($A$17=0,0,-PV(DiscountRate/12,$D$16,0,'Nominal Increments'!S79,0)))</f>
        <v>0</v>
      </c>
      <c r="T79" s="151">
        <f>IF($B79="NA","NA",IF($A$18=0,0,-PV(DiscountRate/12,$D$17,0,'Nominal Increments'!T79,0)))</f>
        <v>0</v>
      </c>
    </row>
    <row r="80" spans="1:20" x14ac:dyDescent="0.2">
      <c r="A80" s="86">
        <f t="shared" si="3"/>
        <v>1736</v>
      </c>
      <c r="B80" s="142">
        <f t="shared" si="4"/>
        <v>58</v>
      </c>
      <c r="C80" s="143">
        <f t="shared" si="0"/>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50">
        <f>IF(ISNUMBER(VLOOKUP($C80,'A4 Investment'!$A$24:$G$33,7,FALSE)),VLOOKUP($C80,'A4 Investment'!$A$24:$G$33,7,FALSE)*'A4 Investment'!G$18/12,0)</f>
        <v>0</v>
      </c>
      <c r="I80" s="151">
        <f t="shared" si="1"/>
        <v>8904.1666666666661</v>
      </c>
      <c r="J80" s="159">
        <f t="shared" si="2"/>
        <v>8904.1666666666661</v>
      </c>
      <c r="K80" s="150">
        <f>IF($B80="NA","NA",-PV(DiscountRate/12,0,0,'Nominal Increments'!K80,0))</f>
        <v>8904.1666666666661</v>
      </c>
      <c r="L80" s="150">
        <f>IF($B80="NA","NA",IF($A$10=0,0,-PV(DiscountRate/12,$D$9,0,'Nominal Increments'!L80,0)))</f>
        <v>0</v>
      </c>
      <c r="M80" s="150">
        <f>IF($B80="NA","NA",IF($A$11=0,0,-PV(DiscountRate/12,$D$10,0,'Nominal Increments'!M80,0)))</f>
        <v>0</v>
      </c>
      <c r="N80" s="150">
        <f>IF($B80="NA","NA",IF($A$12=0,0,-PV(DiscountRate/12,$D$11,0,'Nominal Increments'!N80,0)))</f>
        <v>0</v>
      </c>
      <c r="O80" s="150">
        <f>IF($B80="NA","NA",IF($A$13=0,0,-PV(DiscountRate/12,$D$12,0,'Nominal Increments'!O80,0)))</f>
        <v>0</v>
      </c>
      <c r="P80" s="150">
        <f>IF($B80="NA","NA",IF($A$14=0,0,-PV(DiscountRate/12,$D$13,0,'Nominal Increments'!P80,0)))</f>
        <v>0</v>
      </c>
      <c r="Q80" s="150">
        <f>IF($B80="NA","NA",IF($A$15=0,0,-PV(DiscountRate/12,$D$14,0,'Nominal Increments'!Q80,0)))</f>
        <v>0</v>
      </c>
      <c r="R80" s="150">
        <f>IF($B80="NA","NA",IF($A$16=0,0,-PV(DiscountRate/12,$D$15,0,'Nominal Increments'!R80,0)))</f>
        <v>0</v>
      </c>
      <c r="S80" s="150">
        <f>IF($B80="NA","NA",IF($A$17=0,0,-PV(DiscountRate/12,$D$16,0,'Nominal Increments'!S80,0)))</f>
        <v>0</v>
      </c>
      <c r="T80" s="151">
        <f>IF($B80="NA","NA",IF($A$18=0,0,-PV(DiscountRate/12,$D$17,0,'Nominal Increments'!T80,0)))</f>
        <v>0</v>
      </c>
    </row>
    <row r="81" spans="1:20" x14ac:dyDescent="0.2">
      <c r="A81" s="86">
        <f t="shared" si="3"/>
        <v>1767</v>
      </c>
      <c r="B81" s="142">
        <f t="shared" si="4"/>
        <v>59</v>
      </c>
      <c r="C81" s="143">
        <f t="shared" si="0"/>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50">
        <f>IF(ISNUMBER(VLOOKUP($C81,'A4 Investment'!$A$24:$G$33,7,FALSE)),VLOOKUP($C81,'A4 Investment'!$A$24:$G$33,7,FALSE)*'A4 Investment'!G$18/12,0)</f>
        <v>0</v>
      </c>
      <c r="I81" s="151">
        <f t="shared" si="1"/>
        <v>8904.1666666666661</v>
      </c>
      <c r="J81" s="159">
        <f t="shared" si="2"/>
        <v>8904.1666666666661</v>
      </c>
      <c r="K81" s="150">
        <f>IF($B81="NA","NA",-PV(DiscountRate/12,0,0,'Nominal Increments'!K81,0))</f>
        <v>8904.1666666666661</v>
      </c>
      <c r="L81" s="150">
        <f>IF($B81="NA","NA",IF($A$10=0,0,-PV(DiscountRate/12,$D$9,0,'Nominal Increments'!L81,0)))</f>
        <v>0</v>
      </c>
      <c r="M81" s="150">
        <f>IF($B81="NA","NA",IF($A$11=0,0,-PV(DiscountRate/12,$D$10,0,'Nominal Increments'!M81,0)))</f>
        <v>0</v>
      </c>
      <c r="N81" s="150">
        <f>IF($B81="NA","NA",IF($A$12=0,0,-PV(DiscountRate/12,$D$11,0,'Nominal Increments'!N81,0)))</f>
        <v>0</v>
      </c>
      <c r="O81" s="150">
        <f>IF($B81="NA","NA",IF($A$13=0,0,-PV(DiscountRate/12,$D$12,0,'Nominal Increments'!O81,0)))</f>
        <v>0</v>
      </c>
      <c r="P81" s="150">
        <f>IF($B81="NA","NA",IF($A$14=0,0,-PV(DiscountRate/12,$D$13,0,'Nominal Increments'!P81,0)))</f>
        <v>0</v>
      </c>
      <c r="Q81" s="150">
        <f>IF($B81="NA","NA",IF($A$15=0,0,-PV(DiscountRate/12,$D$14,0,'Nominal Increments'!Q81,0)))</f>
        <v>0</v>
      </c>
      <c r="R81" s="150">
        <f>IF($B81="NA","NA",IF($A$16=0,0,-PV(DiscountRate/12,$D$15,0,'Nominal Increments'!R81,0)))</f>
        <v>0</v>
      </c>
      <c r="S81" s="150">
        <f>IF($B81="NA","NA",IF($A$17=0,0,-PV(DiscountRate/12,$D$16,0,'Nominal Increments'!S81,0)))</f>
        <v>0</v>
      </c>
      <c r="T81" s="151">
        <f>IF($B81="NA","NA",IF($A$18=0,0,-PV(DiscountRate/12,$D$17,0,'Nominal Increments'!T81,0)))</f>
        <v>0</v>
      </c>
    </row>
    <row r="82" spans="1:20" x14ac:dyDescent="0.2">
      <c r="A82" s="86">
        <f t="shared" si="3"/>
        <v>1797</v>
      </c>
      <c r="B82" s="142">
        <f t="shared" si="4"/>
        <v>60</v>
      </c>
      <c r="C82" s="143">
        <f t="shared" si="0"/>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50">
        <f>IF(ISNUMBER(VLOOKUP($C82,'A4 Investment'!$A$24:$G$33,7,FALSE)),VLOOKUP($C82,'A4 Investment'!$A$24:$G$33,7,FALSE)*'A4 Investment'!G$18/12,0)</f>
        <v>0</v>
      </c>
      <c r="I82" s="151">
        <f t="shared" si="1"/>
        <v>8904.1666666666661</v>
      </c>
      <c r="J82" s="159">
        <f t="shared" si="2"/>
        <v>8904.1666666666661</v>
      </c>
      <c r="K82" s="150">
        <f>IF($B82="NA","NA",-PV(DiscountRate/12,0,0,'Nominal Increments'!K82,0))</f>
        <v>8904.1666666666661</v>
      </c>
      <c r="L82" s="150">
        <f>IF($B82="NA","NA",IF($A$10=0,0,-PV(DiscountRate/12,$D$9,0,'Nominal Increments'!L82,0)))</f>
        <v>0</v>
      </c>
      <c r="M82" s="150">
        <f>IF($B82="NA","NA",IF($A$11=0,0,-PV(DiscountRate/12,$D$10,0,'Nominal Increments'!M82,0)))</f>
        <v>0</v>
      </c>
      <c r="N82" s="150">
        <f>IF($B82="NA","NA",IF($A$12=0,0,-PV(DiscountRate/12,$D$11,0,'Nominal Increments'!N82,0)))</f>
        <v>0</v>
      </c>
      <c r="O82" s="150">
        <f>IF($B82="NA","NA",IF($A$13=0,0,-PV(DiscountRate/12,$D$12,0,'Nominal Increments'!O82,0)))</f>
        <v>0</v>
      </c>
      <c r="P82" s="150">
        <f>IF($B82="NA","NA",IF($A$14=0,0,-PV(DiscountRate/12,$D$13,0,'Nominal Increments'!P82,0)))</f>
        <v>0</v>
      </c>
      <c r="Q82" s="150">
        <f>IF($B82="NA","NA",IF($A$15=0,0,-PV(DiscountRate/12,$D$14,0,'Nominal Increments'!Q82,0)))</f>
        <v>0</v>
      </c>
      <c r="R82" s="150">
        <f>IF($B82="NA","NA",IF($A$16=0,0,-PV(DiscountRate/12,$D$15,0,'Nominal Increments'!R82,0)))</f>
        <v>0</v>
      </c>
      <c r="S82" s="150">
        <f>IF($B82="NA","NA",IF($A$17=0,0,-PV(DiscountRate/12,$D$16,0,'Nominal Increments'!S82,0)))</f>
        <v>0</v>
      </c>
      <c r="T82" s="151">
        <f>IF($B82="NA","NA",IF($A$18=0,0,-PV(DiscountRate/12,$D$17,0,'Nominal Increments'!T82,0)))</f>
        <v>0</v>
      </c>
    </row>
    <row r="83" spans="1:20" x14ac:dyDescent="0.2">
      <c r="A83" s="86">
        <f>IF(B83="NA","NA",DATE(YEAR(A82),MONTH(A82)+1,1))</f>
        <v>1828</v>
      </c>
      <c r="B83" s="142">
        <f>IF(B82="NA","NA",IF((B82+1)&gt;MAX($D$9:$D$18),"NA",B82+1))</f>
        <v>61</v>
      </c>
      <c r="C83" s="143">
        <f>IF(B83="NA","NA",MATCH(B83-1,$D$8:$D$18,1))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50">
        <f>IF(B83="NA","NA",IF(ISNUMBER(VLOOKUP($C83,'A4 Investment'!$A$24:$G$33,7,FALSE)),VLOOKUP($C83,'A4 Investment'!$A$24:$G$33,7,FALSE)*'A4 Investment'!G$18/12,0))</f>
        <v>0</v>
      </c>
      <c r="I83" s="151">
        <f>IF(B83="NA","NA",SUM(D83:H83))</f>
        <v>8904.1666666666661</v>
      </c>
      <c r="J83" s="159">
        <f t="shared" si="2"/>
        <v>8904.1666666666661</v>
      </c>
      <c r="K83" s="150">
        <f>IF($B83="NA","NA",-PV(DiscountRate/12,0,0,'Nominal Increments'!K83,0))</f>
        <v>8904.1666666666661</v>
      </c>
      <c r="L83" s="150">
        <f>IF($B83="NA","NA",IF($A$10=0,0,-PV(DiscountRate/12,$D$9,0,'Nominal Increments'!L83,0)))</f>
        <v>0</v>
      </c>
      <c r="M83" s="150">
        <f>IF($B83="NA","NA",IF($A$11=0,0,-PV(DiscountRate/12,$D$10,0,'Nominal Increments'!M83,0)))</f>
        <v>0</v>
      </c>
      <c r="N83" s="150">
        <f>IF($B83="NA","NA",IF($A$12=0,0,-PV(DiscountRate/12,$D$11,0,'Nominal Increments'!N83,0)))</f>
        <v>0</v>
      </c>
      <c r="O83" s="150">
        <f>IF($B83="NA","NA",IF($A$13=0,0,-PV(DiscountRate/12,$D$12,0,'Nominal Increments'!O83,0)))</f>
        <v>0</v>
      </c>
      <c r="P83" s="150">
        <f>IF($B83="NA","NA",IF($A$14=0,0,-PV(DiscountRate/12,$D$13,0,'Nominal Increments'!P83,0)))</f>
        <v>0</v>
      </c>
      <c r="Q83" s="150">
        <f>IF($B83="NA","NA",IF($A$15=0,0,-PV(DiscountRate/12,$D$14,0,'Nominal Increments'!Q83,0)))</f>
        <v>0</v>
      </c>
      <c r="R83" s="150">
        <f>IF($B83="NA","NA",IF($A$16=0,0,-PV(DiscountRate/12,$D$15,0,'Nominal Increments'!R83,0)))</f>
        <v>0</v>
      </c>
      <c r="S83" s="150">
        <f>IF($B83="NA","NA",IF($A$17=0,0,-PV(DiscountRate/12,$D$16,0,'Nominal Increments'!S83,0)))</f>
        <v>0</v>
      </c>
      <c r="T83" s="151">
        <f>IF($B83="NA","NA",IF($A$18=0,0,-PV(DiscountRate/12,$D$17,0,'Nominal Increments'!T83,0)))</f>
        <v>0</v>
      </c>
    </row>
    <row r="84" spans="1:20" x14ac:dyDescent="0.2">
      <c r="A84" s="86">
        <f t="shared" ref="A84:A147" si="5">IF(B84="NA","NA",DATE(YEAR(A83),MONTH(A83)+1,1))</f>
        <v>1859</v>
      </c>
      <c r="B84" s="142">
        <f t="shared" ref="B84:B147" si="6">IF(B83="NA","NA",IF((B83+1)&gt;MAX($D$9:$D$18),"NA",B83+1))</f>
        <v>62</v>
      </c>
      <c r="C84" s="143">
        <f t="shared" ref="C84:C147" si="7">IF(B84="NA","NA",MATCH(B84-1,$D$8:$D$18,1))</f>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50">
        <f>IF(B84="NA","NA",IF(ISNUMBER(VLOOKUP($C84,'A4 Investment'!$A$24:$G$33,7,FALSE)),VLOOKUP($C84,'A4 Investment'!$A$24:$G$33,7,FALSE)*'A4 Investment'!G$18/12,0))</f>
        <v>0</v>
      </c>
      <c r="I84" s="151">
        <f t="shared" ref="I84:I147" si="8">IF(B84="NA","NA",SUM(D84:H84))</f>
        <v>8904.1666666666661</v>
      </c>
      <c r="J84" s="159">
        <f t="shared" si="2"/>
        <v>8904.1666666666661</v>
      </c>
      <c r="K84" s="150">
        <f>IF($B84="NA","NA",-PV(DiscountRate/12,0,0,'Nominal Increments'!K84,0))</f>
        <v>8904.1666666666661</v>
      </c>
      <c r="L84" s="150">
        <f>IF($B84="NA","NA",IF($A$10=0,0,-PV(DiscountRate/12,$D$9,0,'Nominal Increments'!L84,0)))</f>
        <v>0</v>
      </c>
      <c r="M84" s="150">
        <f>IF($B84="NA","NA",IF($A$11=0,0,-PV(DiscountRate/12,$D$10,0,'Nominal Increments'!M84,0)))</f>
        <v>0</v>
      </c>
      <c r="N84" s="150">
        <f>IF($B84="NA","NA",IF($A$12=0,0,-PV(DiscountRate/12,$D$11,0,'Nominal Increments'!N84,0)))</f>
        <v>0</v>
      </c>
      <c r="O84" s="150">
        <f>IF($B84="NA","NA",IF($A$13=0,0,-PV(DiscountRate/12,$D$12,0,'Nominal Increments'!O84,0)))</f>
        <v>0</v>
      </c>
      <c r="P84" s="150">
        <f>IF($B84="NA","NA",IF($A$14=0,0,-PV(DiscountRate/12,$D$13,0,'Nominal Increments'!P84,0)))</f>
        <v>0</v>
      </c>
      <c r="Q84" s="150">
        <f>IF($B84="NA","NA",IF($A$15=0,0,-PV(DiscountRate/12,$D$14,0,'Nominal Increments'!Q84,0)))</f>
        <v>0</v>
      </c>
      <c r="R84" s="150">
        <f>IF($B84="NA","NA",IF($A$16=0,0,-PV(DiscountRate/12,$D$15,0,'Nominal Increments'!R84,0)))</f>
        <v>0</v>
      </c>
      <c r="S84" s="150">
        <f>IF($B84="NA","NA",IF($A$17=0,0,-PV(DiscountRate/12,$D$16,0,'Nominal Increments'!S84,0)))</f>
        <v>0</v>
      </c>
      <c r="T84" s="151">
        <f>IF($B84="NA","NA",IF($A$18=0,0,-PV(DiscountRate/12,$D$17,0,'Nominal Increments'!T84,0)))</f>
        <v>0</v>
      </c>
    </row>
    <row r="85" spans="1:20" x14ac:dyDescent="0.2">
      <c r="A85" s="86">
        <f t="shared" si="5"/>
        <v>1887</v>
      </c>
      <c r="B85" s="142">
        <f t="shared" si="6"/>
        <v>63</v>
      </c>
      <c r="C85" s="143">
        <f t="shared" si="7"/>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50">
        <f>IF(B85="NA","NA",IF(ISNUMBER(VLOOKUP($C85,'A4 Investment'!$A$24:$G$33,7,FALSE)),VLOOKUP($C85,'A4 Investment'!$A$24:$G$33,7,FALSE)*'A4 Investment'!G$18/12,0))</f>
        <v>0</v>
      </c>
      <c r="I85" s="151">
        <f t="shared" si="8"/>
        <v>8904.1666666666661</v>
      </c>
      <c r="J85" s="159">
        <f t="shared" si="2"/>
        <v>8904.1666666666661</v>
      </c>
      <c r="K85" s="150">
        <f>IF($B85="NA","NA",-PV(DiscountRate/12,0,0,'Nominal Increments'!K85,0))</f>
        <v>8904.1666666666661</v>
      </c>
      <c r="L85" s="150">
        <f>IF($B85="NA","NA",IF($A$10=0,0,-PV(DiscountRate/12,$D$9,0,'Nominal Increments'!L85,0)))</f>
        <v>0</v>
      </c>
      <c r="M85" s="150">
        <f>IF($B85="NA","NA",IF($A$11=0,0,-PV(DiscountRate/12,$D$10,0,'Nominal Increments'!M85,0)))</f>
        <v>0</v>
      </c>
      <c r="N85" s="150">
        <f>IF($B85="NA","NA",IF($A$12=0,0,-PV(DiscountRate/12,$D$11,0,'Nominal Increments'!N85,0)))</f>
        <v>0</v>
      </c>
      <c r="O85" s="150">
        <f>IF($B85="NA","NA",IF($A$13=0,0,-PV(DiscountRate/12,$D$12,0,'Nominal Increments'!O85,0)))</f>
        <v>0</v>
      </c>
      <c r="P85" s="150">
        <f>IF($B85="NA","NA",IF($A$14=0,0,-PV(DiscountRate/12,$D$13,0,'Nominal Increments'!P85,0)))</f>
        <v>0</v>
      </c>
      <c r="Q85" s="150">
        <f>IF($B85="NA","NA",IF($A$15=0,0,-PV(DiscountRate/12,$D$14,0,'Nominal Increments'!Q85,0)))</f>
        <v>0</v>
      </c>
      <c r="R85" s="150">
        <f>IF($B85="NA","NA",IF($A$16=0,0,-PV(DiscountRate/12,$D$15,0,'Nominal Increments'!R85,0)))</f>
        <v>0</v>
      </c>
      <c r="S85" s="150">
        <f>IF($B85="NA","NA",IF($A$17=0,0,-PV(DiscountRate/12,$D$16,0,'Nominal Increments'!S85,0)))</f>
        <v>0</v>
      </c>
      <c r="T85" s="151">
        <f>IF($B85="NA","NA",IF($A$18=0,0,-PV(DiscountRate/12,$D$17,0,'Nominal Increments'!T85,0)))</f>
        <v>0</v>
      </c>
    </row>
    <row r="86" spans="1:20" x14ac:dyDescent="0.2">
      <c r="A86" s="86">
        <f t="shared" si="5"/>
        <v>1918</v>
      </c>
      <c r="B86" s="142">
        <f t="shared" si="6"/>
        <v>64</v>
      </c>
      <c r="C86" s="143">
        <f t="shared" si="7"/>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50">
        <f>IF(B86="NA","NA",IF(ISNUMBER(VLOOKUP($C86,'A4 Investment'!$A$24:$G$33,7,FALSE)),VLOOKUP($C86,'A4 Investment'!$A$24:$G$33,7,FALSE)*'A4 Investment'!G$18/12,0))</f>
        <v>0</v>
      </c>
      <c r="I86" s="151">
        <f t="shared" si="8"/>
        <v>8904.1666666666661</v>
      </c>
      <c r="J86" s="159">
        <f t="shared" si="2"/>
        <v>8904.1666666666661</v>
      </c>
      <c r="K86" s="150">
        <f>IF($B86="NA","NA",-PV(DiscountRate/12,0,0,'Nominal Increments'!K86,0))</f>
        <v>8904.1666666666661</v>
      </c>
      <c r="L86" s="150">
        <f>IF($B86="NA","NA",IF($A$10=0,0,-PV(DiscountRate/12,$D$9,0,'Nominal Increments'!L86,0)))</f>
        <v>0</v>
      </c>
      <c r="M86" s="150">
        <f>IF($B86="NA","NA",IF($A$11=0,0,-PV(DiscountRate/12,$D$10,0,'Nominal Increments'!M86,0)))</f>
        <v>0</v>
      </c>
      <c r="N86" s="150">
        <f>IF($B86="NA","NA",IF($A$12=0,0,-PV(DiscountRate/12,$D$11,0,'Nominal Increments'!N86,0)))</f>
        <v>0</v>
      </c>
      <c r="O86" s="150">
        <f>IF($B86="NA","NA",IF($A$13=0,0,-PV(DiscountRate/12,$D$12,0,'Nominal Increments'!O86,0)))</f>
        <v>0</v>
      </c>
      <c r="P86" s="150">
        <f>IF($B86="NA","NA",IF($A$14=0,0,-PV(DiscountRate/12,$D$13,0,'Nominal Increments'!P86,0)))</f>
        <v>0</v>
      </c>
      <c r="Q86" s="150">
        <f>IF($B86="NA","NA",IF($A$15=0,0,-PV(DiscountRate/12,$D$14,0,'Nominal Increments'!Q86,0)))</f>
        <v>0</v>
      </c>
      <c r="R86" s="150">
        <f>IF($B86="NA","NA",IF($A$16=0,0,-PV(DiscountRate/12,$D$15,0,'Nominal Increments'!R86,0)))</f>
        <v>0</v>
      </c>
      <c r="S86" s="150">
        <f>IF($B86="NA","NA",IF($A$17=0,0,-PV(DiscountRate/12,$D$16,0,'Nominal Increments'!S86,0)))</f>
        <v>0</v>
      </c>
      <c r="T86" s="151">
        <f>IF($B86="NA","NA",IF($A$18=0,0,-PV(DiscountRate/12,$D$17,0,'Nominal Increments'!T86,0)))</f>
        <v>0</v>
      </c>
    </row>
    <row r="87" spans="1:20" x14ac:dyDescent="0.2">
      <c r="A87" s="86">
        <f t="shared" si="5"/>
        <v>1948</v>
      </c>
      <c r="B87" s="142">
        <f t="shared" si="6"/>
        <v>65</v>
      </c>
      <c r="C87" s="143">
        <f t="shared" si="7"/>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50">
        <f>IF(B87="NA","NA",IF(ISNUMBER(VLOOKUP($C87,'A4 Investment'!$A$24:$G$33,7,FALSE)),VLOOKUP($C87,'A4 Investment'!$A$24:$G$33,7,FALSE)*'A4 Investment'!G$18/12,0))</f>
        <v>0</v>
      </c>
      <c r="I87" s="151">
        <f t="shared" si="8"/>
        <v>8904.1666666666661</v>
      </c>
      <c r="J87" s="159">
        <f t="shared" si="2"/>
        <v>8904.1666666666661</v>
      </c>
      <c r="K87" s="150">
        <f>IF($B87="NA","NA",-PV(DiscountRate/12,0,0,'Nominal Increments'!K87,0))</f>
        <v>8904.1666666666661</v>
      </c>
      <c r="L87" s="150">
        <f>IF($B87="NA","NA",IF($A$10=0,0,-PV(DiscountRate/12,$D$9,0,'Nominal Increments'!L87,0)))</f>
        <v>0</v>
      </c>
      <c r="M87" s="150">
        <f>IF($B87="NA","NA",IF($A$11=0,0,-PV(DiscountRate/12,$D$10,0,'Nominal Increments'!M87,0)))</f>
        <v>0</v>
      </c>
      <c r="N87" s="150">
        <f>IF($B87="NA","NA",IF($A$12=0,0,-PV(DiscountRate/12,$D$11,0,'Nominal Increments'!N87,0)))</f>
        <v>0</v>
      </c>
      <c r="O87" s="150">
        <f>IF($B87="NA","NA",IF($A$13=0,0,-PV(DiscountRate/12,$D$12,0,'Nominal Increments'!O87,0)))</f>
        <v>0</v>
      </c>
      <c r="P87" s="150">
        <f>IF($B87="NA","NA",IF($A$14=0,0,-PV(DiscountRate/12,$D$13,0,'Nominal Increments'!P87,0)))</f>
        <v>0</v>
      </c>
      <c r="Q87" s="150">
        <f>IF($B87="NA","NA",IF($A$15=0,0,-PV(DiscountRate/12,$D$14,0,'Nominal Increments'!Q87,0)))</f>
        <v>0</v>
      </c>
      <c r="R87" s="150">
        <f>IF($B87="NA","NA",IF($A$16=0,0,-PV(DiscountRate/12,$D$15,0,'Nominal Increments'!R87,0)))</f>
        <v>0</v>
      </c>
      <c r="S87" s="150">
        <f>IF($B87="NA","NA",IF($A$17=0,0,-PV(DiscountRate/12,$D$16,0,'Nominal Increments'!S87,0)))</f>
        <v>0</v>
      </c>
      <c r="T87" s="151">
        <f>IF($B87="NA","NA",IF($A$18=0,0,-PV(DiscountRate/12,$D$17,0,'Nominal Increments'!T87,0)))</f>
        <v>0</v>
      </c>
    </row>
    <row r="88" spans="1:20" x14ac:dyDescent="0.2">
      <c r="A88" s="86">
        <f t="shared" si="5"/>
        <v>1979</v>
      </c>
      <c r="B88" s="142">
        <f t="shared" si="6"/>
        <v>66</v>
      </c>
      <c r="C88" s="143">
        <f t="shared" si="7"/>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50">
        <f>IF(B88="NA","NA",IF(ISNUMBER(VLOOKUP($C88,'A4 Investment'!$A$24:$G$33,7,FALSE)),VLOOKUP($C88,'A4 Investment'!$A$24:$G$33,7,FALSE)*'A4 Investment'!G$18/12,0))</f>
        <v>0</v>
      </c>
      <c r="I88" s="151">
        <f t="shared" si="8"/>
        <v>8904.1666666666661</v>
      </c>
      <c r="J88" s="159">
        <f t="shared" ref="J88:J151" si="9">IF($B88="NA","NA",SUM(K88:T88))</f>
        <v>8904.1666666666661</v>
      </c>
      <c r="K88" s="150">
        <f>IF($B88="NA","NA",-PV(DiscountRate/12,0,0,'Nominal Increments'!K88,0))</f>
        <v>8904.1666666666661</v>
      </c>
      <c r="L88" s="150">
        <f>IF($B88="NA","NA",IF($A$10=0,0,-PV(DiscountRate/12,$D$9,0,'Nominal Increments'!L88,0)))</f>
        <v>0</v>
      </c>
      <c r="M88" s="150">
        <f>IF($B88="NA","NA",IF($A$11=0,0,-PV(DiscountRate/12,$D$10,0,'Nominal Increments'!M88,0)))</f>
        <v>0</v>
      </c>
      <c r="N88" s="150">
        <f>IF($B88="NA","NA",IF($A$12=0,0,-PV(DiscountRate/12,$D$11,0,'Nominal Increments'!N88,0)))</f>
        <v>0</v>
      </c>
      <c r="O88" s="150">
        <f>IF($B88="NA","NA",IF($A$13=0,0,-PV(DiscountRate/12,$D$12,0,'Nominal Increments'!O88,0)))</f>
        <v>0</v>
      </c>
      <c r="P88" s="150">
        <f>IF($B88="NA","NA",IF($A$14=0,0,-PV(DiscountRate/12,$D$13,0,'Nominal Increments'!P88,0)))</f>
        <v>0</v>
      </c>
      <c r="Q88" s="150">
        <f>IF($B88="NA","NA",IF($A$15=0,0,-PV(DiscountRate/12,$D$14,0,'Nominal Increments'!Q88,0)))</f>
        <v>0</v>
      </c>
      <c r="R88" s="150">
        <f>IF($B88="NA","NA",IF($A$16=0,0,-PV(DiscountRate/12,$D$15,0,'Nominal Increments'!R88,0)))</f>
        <v>0</v>
      </c>
      <c r="S88" s="150">
        <f>IF($B88="NA","NA",IF($A$17=0,0,-PV(DiscountRate/12,$D$16,0,'Nominal Increments'!S88,0)))</f>
        <v>0</v>
      </c>
      <c r="T88" s="151">
        <f>IF($B88="NA","NA",IF($A$18=0,0,-PV(DiscountRate/12,$D$17,0,'Nominal Increments'!T88,0)))</f>
        <v>0</v>
      </c>
    </row>
    <row r="89" spans="1:20" x14ac:dyDescent="0.2">
      <c r="A89" s="86">
        <f t="shared" si="5"/>
        <v>2009</v>
      </c>
      <c r="B89" s="142">
        <f t="shared" si="6"/>
        <v>67</v>
      </c>
      <c r="C89" s="143">
        <f t="shared" si="7"/>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50">
        <f>IF(B89="NA","NA",IF(ISNUMBER(VLOOKUP($C89,'A4 Investment'!$A$24:$G$33,7,FALSE)),VLOOKUP($C89,'A4 Investment'!$A$24:$G$33,7,FALSE)*'A4 Investment'!G$18/12,0))</f>
        <v>0</v>
      </c>
      <c r="I89" s="151">
        <f t="shared" si="8"/>
        <v>8904.1666666666661</v>
      </c>
      <c r="J89" s="159">
        <f t="shared" si="9"/>
        <v>8904.1666666666661</v>
      </c>
      <c r="K89" s="150">
        <f>IF($B89="NA","NA",-PV(DiscountRate/12,0,0,'Nominal Increments'!K89,0))</f>
        <v>8904.1666666666661</v>
      </c>
      <c r="L89" s="150">
        <f>IF($B89="NA","NA",IF($A$10=0,0,-PV(DiscountRate/12,$D$9,0,'Nominal Increments'!L89,0)))</f>
        <v>0</v>
      </c>
      <c r="M89" s="150">
        <f>IF($B89="NA","NA",IF($A$11=0,0,-PV(DiscountRate/12,$D$10,0,'Nominal Increments'!M89,0)))</f>
        <v>0</v>
      </c>
      <c r="N89" s="150">
        <f>IF($B89="NA","NA",IF($A$12=0,0,-PV(DiscountRate/12,$D$11,0,'Nominal Increments'!N89,0)))</f>
        <v>0</v>
      </c>
      <c r="O89" s="150">
        <f>IF($B89="NA","NA",IF($A$13=0,0,-PV(DiscountRate/12,$D$12,0,'Nominal Increments'!O89,0)))</f>
        <v>0</v>
      </c>
      <c r="P89" s="150">
        <f>IF($B89="NA","NA",IF($A$14=0,0,-PV(DiscountRate/12,$D$13,0,'Nominal Increments'!P89,0)))</f>
        <v>0</v>
      </c>
      <c r="Q89" s="150">
        <f>IF($B89="NA","NA",IF($A$15=0,0,-PV(DiscountRate/12,$D$14,0,'Nominal Increments'!Q89,0)))</f>
        <v>0</v>
      </c>
      <c r="R89" s="150">
        <f>IF($B89="NA","NA",IF($A$16=0,0,-PV(DiscountRate/12,$D$15,0,'Nominal Increments'!R89,0)))</f>
        <v>0</v>
      </c>
      <c r="S89" s="150">
        <f>IF($B89="NA","NA",IF($A$17=0,0,-PV(DiscountRate/12,$D$16,0,'Nominal Increments'!S89,0)))</f>
        <v>0</v>
      </c>
      <c r="T89" s="151">
        <f>IF($B89="NA","NA",IF($A$18=0,0,-PV(DiscountRate/12,$D$17,0,'Nominal Increments'!T89,0)))</f>
        <v>0</v>
      </c>
    </row>
    <row r="90" spans="1:20" x14ac:dyDescent="0.2">
      <c r="A90" s="86">
        <f t="shared" si="5"/>
        <v>2040</v>
      </c>
      <c r="B90" s="142">
        <f t="shared" si="6"/>
        <v>68</v>
      </c>
      <c r="C90" s="143">
        <f t="shared" si="7"/>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50">
        <f>IF(B90="NA","NA",IF(ISNUMBER(VLOOKUP($C90,'A4 Investment'!$A$24:$G$33,7,FALSE)),VLOOKUP($C90,'A4 Investment'!$A$24:$G$33,7,FALSE)*'A4 Investment'!G$18/12,0))</f>
        <v>0</v>
      </c>
      <c r="I90" s="151">
        <f t="shared" si="8"/>
        <v>8904.1666666666661</v>
      </c>
      <c r="J90" s="159">
        <f t="shared" si="9"/>
        <v>8904.1666666666661</v>
      </c>
      <c r="K90" s="150">
        <f>IF($B90="NA","NA",-PV(DiscountRate/12,0,0,'Nominal Increments'!K90,0))</f>
        <v>8904.1666666666661</v>
      </c>
      <c r="L90" s="150">
        <f>IF($B90="NA","NA",IF($A$10=0,0,-PV(DiscountRate/12,$D$9,0,'Nominal Increments'!L90,0)))</f>
        <v>0</v>
      </c>
      <c r="M90" s="150">
        <f>IF($B90="NA","NA",IF($A$11=0,0,-PV(DiscountRate/12,$D$10,0,'Nominal Increments'!M90,0)))</f>
        <v>0</v>
      </c>
      <c r="N90" s="150">
        <f>IF($B90="NA","NA",IF($A$12=0,0,-PV(DiscountRate/12,$D$11,0,'Nominal Increments'!N90,0)))</f>
        <v>0</v>
      </c>
      <c r="O90" s="150">
        <f>IF($B90="NA","NA",IF($A$13=0,0,-PV(DiscountRate/12,$D$12,0,'Nominal Increments'!O90,0)))</f>
        <v>0</v>
      </c>
      <c r="P90" s="150">
        <f>IF($B90="NA","NA",IF($A$14=0,0,-PV(DiscountRate/12,$D$13,0,'Nominal Increments'!P90,0)))</f>
        <v>0</v>
      </c>
      <c r="Q90" s="150">
        <f>IF($B90="NA","NA",IF($A$15=0,0,-PV(DiscountRate/12,$D$14,0,'Nominal Increments'!Q90,0)))</f>
        <v>0</v>
      </c>
      <c r="R90" s="150">
        <f>IF($B90="NA","NA",IF($A$16=0,0,-PV(DiscountRate/12,$D$15,0,'Nominal Increments'!R90,0)))</f>
        <v>0</v>
      </c>
      <c r="S90" s="150">
        <f>IF($B90="NA","NA",IF($A$17=0,0,-PV(DiscountRate/12,$D$16,0,'Nominal Increments'!S90,0)))</f>
        <v>0</v>
      </c>
      <c r="T90" s="151">
        <f>IF($B90="NA","NA",IF($A$18=0,0,-PV(DiscountRate/12,$D$17,0,'Nominal Increments'!T90,0)))</f>
        <v>0</v>
      </c>
    </row>
    <row r="91" spans="1:20" x14ac:dyDescent="0.2">
      <c r="A91" s="86">
        <f t="shared" si="5"/>
        <v>2071</v>
      </c>
      <c r="B91" s="142">
        <f t="shared" si="6"/>
        <v>69</v>
      </c>
      <c r="C91" s="143">
        <f t="shared" si="7"/>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50">
        <f>IF(B91="NA","NA",IF(ISNUMBER(VLOOKUP($C91,'A4 Investment'!$A$24:$G$33,7,FALSE)),VLOOKUP($C91,'A4 Investment'!$A$24:$G$33,7,FALSE)*'A4 Investment'!G$18/12,0))</f>
        <v>0</v>
      </c>
      <c r="I91" s="151">
        <f t="shared" si="8"/>
        <v>8904.1666666666661</v>
      </c>
      <c r="J91" s="159">
        <f t="shared" si="9"/>
        <v>8904.1666666666661</v>
      </c>
      <c r="K91" s="150">
        <f>IF($B91="NA","NA",-PV(DiscountRate/12,0,0,'Nominal Increments'!K91,0))</f>
        <v>8904.1666666666661</v>
      </c>
      <c r="L91" s="150">
        <f>IF($B91="NA","NA",IF($A$10=0,0,-PV(DiscountRate/12,$D$9,0,'Nominal Increments'!L91,0)))</f>
        <v>0</v>
      </c>
      <c r="M91" s="150">
        <f>IF($B91="NA","NA",IF($A$11=0,0,-PV(DiscountRate/12,$D$10,0,'Nominal Increments'!M91,0)))</f>
        <v>0</v>
      </c>
      <c r="N91" s="150">
        <f>IF($B91="NA","NA",IF($A$12=0,0,-PV(DiscountRate/12,$D$11,0,'Nominal Increments'!N91,0)))</f>
        <v>0</v>
      </c>
      <c r="O91" s="150">
        <f>IF($B91="NA","NA",IF($A$13=0,0,-PV(DiscountRate/12,$D$12,0,'Nominal Increments'!O91,0)))</f>
        <v>0</v>
      </c>
      <c r="P91" s="150">
        <f>IF($B91="NA","NA",IF($A$14=0,0,-PV(DiscountRate/12,$D$13,0,'Nominal Increments'!P91,0)))</f>
        <v>0</v>
      </c>
      <c r="Q91" s="150">
        <f>IF($B91="NA","NA",IF($A$15=0,0,-PV(DiscountRate/12,$D$14,0,'Nominal Increments'!Q91,0)))</f>
        <v>0</v>
      </c>
      <c r="R91" s="150">
        <f>IF($B91="NA","NA",IF($A$16=0,0,-PV(DiscountRate/12,$D$15,0,'Nominal Increments'!R91,0)))</f>
        <v>0</v>
      </c>
      <c r="S91" s="150">
        <f>IF($B91="NA","NA",IF($A$17=0,0,-PV(DiscountRate/12,$D$16,0,'Nominal Increments'!S91,0)))</f>
        <v>0</v>
      </c>
      <c r="T91" s="151">
        <f>IF($B91="NA","NA",IF($A$18=0,0,-PV(DiscountRate/12,$D$17,0,'Nominal Increments'!T91,0)))</f>
        <v>0</v>
      </c>
    </row>
    <row r="92" spans="1:20" x14ac:dyDescent="0.2">
      <c r="A92" s="86">
        <f t="shared" si="5"/>
        <v>2101</v>
      </c>
      <c r="B92" s="142">
        <f t="shared" si="6"/>
        <v>70</v>
      </c>
      <c r="C92" s="143">
        <f t="shared" si="7"/>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50">
        <f>IF(B92="NA","NA",IF(ISNUMBER(VLOOKUP($C92,'A4 Investment'!$A$24:$G$33,7,FALSE)),VLOOKUP($C92,'A4 Investment'!$A$24:$G$33,7,FALSE)*'A4 Investment'!G$18/12,0))</f>
        <v>0</v>
      </c>
      <c r="I92" s="151">
        <f t="shared" si="8"/>
        <v>8904.1666666666661</v>
      </c>
      <c r="J92" s="159">
        <f t="shared" si="9"/>
        <v>8904.1666666666661</v>
      </c>
      <c r="K92" s="150">
        <f>IF($B92="NA","NA",-PV(DiscountRate/12,0,0,'Nominal Increments'!K92,0))</f>
        <v>8904.1666666666661</v>
      </c>
      <c r="L92" s="150">
        <f>IF($B92="NA","NA",IF($A$10=0,0,-PV(DiscountRate/12,$D$9,0,'Nominal Increments'!L92,0)))</f>
        <v>0</v>
      </c>
      <c r="M92" s="150">
        <f>IF($B92="NA","NA",IF($A$11=0,0,-PV(DiscountRate/12,$D$10,0,'Nominal Increments'!M92,0)))</f>
        <v>0</v>
      </c>
      <c r="N92" s="150">
        <f>IF($B92="NA","NA",IF($A$12=0,0,-PV(DiscountRate/12,$D$11,0,'Nominal Increments'!N92,0)))</f>
        <v>0</v>
      </c>
      <c r="O92" s="150">
        <f>IF($B92="NA","NA",IF($A$13=0,0,-PV(DiscountRate/12,$D$12,0,'Nominal Increments'!O92,0)))</f>
        <v>0</v>
      </c>
      <c r="P92" s="150">
        <f>IF($B92="NA","NA",IF($A$14=0,0,-PV(DiscountRate/12,$D$13,0,'Nominal Increments'!P92,0)))</f>
        <v>0</v>
      </c>
      <c r="Q92" s="150">
        <f>IF($B92="NA","NA",IF($A$15=0,0,-PV(DiscountRate/12,$D$14,0,'Nominal Increments'!Q92,0)))</f>
        <v>0</v>
      </c>
      <c r="R92" s="150">
        <f>IF($B92="NA","NA",IF($A$16=0,0,-PV(DiscountRate/12,$D$15,0,'Nominal Increments'!R92,0)))</f>
        <v>0</v>
      </c>
      <c r="S92" s="150">
        <f>IF($B92="NA","NA",IF($A$17=0,0,-PV(DiscountRate/12,$D$16,0,'Nominal Increments'!S92,0)))</f>
        <v>0</v>
      </c>
      <c r="T92" s="151">
        <f>IF($B92="NA","NA",IF($A$18=0,0,-PV(DiscountRate/12,$D$17,0,'Nominal Increments'!T92,0)))</f>
        <v>0</v>
      </c>
    </row>
    <row r="93" spans="1:20" x14ac:dyDescent="0.2">
      <c r="A93" s="86">
        <f t="shared" si="5"/>
        <v>2132</v>
      </c>
      <c r="B93" s="142">
        <f t="shared" si="6"/>
        <v>71</v>
      </c>
      <c r="C93" s="143">
        <f t="shared" si="7"/>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50">
        <f>IF(B93="NA","NA",IF(ISNUMBER(VLOOKUP($C93,'A4 Investment'!$A$24:$G$33,7,FALSE)),VLOOKUP($C93,'A4 Investment'!$A$24:$G$33,7,FALSE)*'A4 Investment'!G$18/12,0))</f>
        <v>0</v>
      </c>
      <c r="I93" s="151">
        <f t="shared" si="8"/>
        <v>8904.1666666666661</v>
      </c>
      <c r="J93" s="159">
        <f t="shared" si="9"/>
        <v>8904.1666666666661</v>
      </c>
      <c r="K93" s="150">
        <f>IF($B93="NA","NA",-PV(DiscountRate/12,0,0,'Nominal Increments'!K93,0))</f>
        <v>8904.1666666666661</v>
      </c>
      <c r="L93" s="150">
        <f>IF($B93="NA","NA",IF($A$10=0,0,-PV(DiscountRate/12,$D$9,0,'Nominal Increments'!L93,0)))</f>
        <v>0</v>
      </c>
      <c r="M93" s="150">
        <f>IF($B93="NA","NA",IF($A$11=0,0,-PV(DiscountRate/12,$D$10,0,'Nominal Increments'!M93,0)))</f>
        <v>0</v>
      </c>
      <c r="N93" s="150">
        <f>IF($B93="NA","NA",IF($A$12=0,0,-PV(DiscountRate/12,$D$11,0,'Nominal Increments'!N93,0)))</f>
        <v>0</v>
      </c>
      <c r="O93" s="150">
        <f>IF($B93="NA","NA",IF($A$13=0,0,-PV(DiscountRate/12,$D$12,0,'Nominal Increments'!O93,0)))</f>
        <v>0</v>
      </c>
      <c r="P93" s="150">
        <f>IF($B93="NA","NA",IF($A$14=0,0,-PV(DiscountRate/12,$D$13,0,'Nominal Increments'!P93,0)))</f>
        <v>0</v>
      </c>
      <c r="Q93" s="150">
        <f>IF($B93="NA","NA",IF($A$15=0,0,-PV(DiscountRate/12,$D$14,0,'Nominal Increments'!Q93,0)))</f>
        <v>0</v>
      </c>
      <c r="R93" s="150">
        <f>IF($B93="NA","NA",IF($A$16=0,0,-PV(DiscountRate/12,$D$15,0,'Nominal Increments'!R93,0)))</f>
        <v>0</v>
      </c>
      <c r="S93" s="150">
        <f>IF($B93="NA","NA",IF($A$17=0,0,-PV(DiscountRate/12,$D$16,0,'Nominal Increments'!S93,0)))</f>
        <v>0</v>
      </c>
      <c r="T93" s="151">
        <f>IF($B93="NA","NA",IF($A$18=0,0,-PV(DiscountRate/12,$D$17,0,'Nominal Increments'!T93,0)))</f>
        <v>0</v>
      </c>
    </row>
    <row r="94" spans="1:20" x14ac:dyDescent="0.2">
      <c r="A94" s="86">
        <f t="shared" si="5"/>
        <v>2162</v>
      </c>
      <c r="B94" s="142">
        <f t="shared" si="6"/>
        <v>72</v>
      </c>
      <c r="C94" s="143">
        <f t="shared" si="7"/>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50">
        <f>IF(B94="NA","NA",IF(ISNUMBER(VLOOKUP($C94,'A4 Investment'!$A$24:$G$33,7,FALSE)),VLOOKUP($C94,'A4 Investment'!$A$24:$G$33,7,FALSE)*'A4 Investment'!G$18/12,0))</f>
        <v>0</v>
      </c>
      <c r="I94" s="151">
        <f t="shared" si="8"/>
        <v>8904.1666666666661</v>
      </c>
      <c r="J94" s="159">
        <f t="shared" si="9"/>
        <v>8904.1666666666661</v>
      </c>
      <c r="K94" s="150">
        <f>IF($B94="NA","NA",-PV(DiscountRate/12,0,0,'Nominal Increments'!K94,0))</f>
        <v>8904.1666666666661</v>
      </c>
      <c r="L94" s="150">
        <f>IF($B94="NA","NA",IF($A$10=0,0,-PV(DiscountRate/12,$D$9,0,'Nominal Increments'!L94,0)))</f>
        <v>0</v>
      </c>
      <c r="M94" s="150">
        <f>IF($B94="NA","NA",IF($A$11=0,0,-PV(DiscountRate/12,$D$10,0,'Nominal Increments'!M94,0)))</f>
        <v>0</v>
      </c>
      <c r="N94" s="150">
        <f>IF($B94="NA","NA",IF($A$12=0,0,-PV(DiscountRate/12,$D$11,0,'Nominal Increments'!N94,0)))</f>
        <v>0</v>
      </c>
      <c r="O94" s="150">
        <f>IF($B94="NA","NA",IF($A$13=0,0,-PV(DiscountRate/12,$D$12,0,'Nominal Increments'!O94,0)))</f>
        <v>0</v>
      </c>
      <c r="P94" s="150">
        <f>IF($B94="NA","NA",IF($A$14=0,0,-PV(DiscountRate/12,$D$13,0,'Nominal Increments'!P94,0)))</f>
        <v>0</v>
      </c>
      <c r="Q94" s="150">
        <f>IF($B94="NA","NA",IF($A$15=0,0,-PV(DiscountRate/12,$D$14,0,'Nominal Increments'!Q94,0)))</f>
        <v>0</v>
      </c>
      <c r="R94" s="150">
        <f>IF($B94="NA","NA",IF($A$16=0,0,-PV(DiscountRate/12,$D$15,0,'Nominal Increments'!R94,0)))</f>
        <v>0</v>
      </c>
      <c r="S94" s="150">
        <f>IF($B94="NA","NA",IF($A$17=0,0,-PV(DiscountRate/12,$D$16,0,'Nominal Increments'!S94,0)))</f>
        <v>0</v>
      </c>
      <c r="T94" s="151">
        <f>IF($B94="NA","NA",IF($A$18=0,0,-PV(DiscountRate/12,$D$17,0,'Nominal Increments'!T94,0)))</f>
        <v>0</v>
      </c>
    </row>
    <row r="95" spans="1:20" x14ac:dyDescent="0.2">
      <c r="A95" s="86">
        <f t="shared" si="5"/>
        <v>2193</v>
      </c>
      <c r="B95" s="142">
        <f t="shared" si="6"/>
        <v>73</v>
      </c>
      <c r="C95" s="143">
        <f t="shared" si="7"/>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50">
        <f>IF(B95="NA","NA",IF(ISNUMBER(VLOOKUP($C95,'A4 Investment'!$A$24:$G$33,7,FALSE)),VLOOKUP($C95,'A4 Investment'!$A$24:$G$33,7,FALSE)*'A4 Investment'!G$18/12,0))</f>
        <v>0</v>
      </c>
      <c r="I95" s="151">
        <f t="shared" si="8"/>
        <v>8904.1666666666661</v>
      </c>
      <c r="J95" s="159">
        <f t="shared" si="9"/>
        <v>8904.1666666666661</v>
      </c>
      <c r="K95" s="150">
        <f>IF($B95="NA","NA",-PV(DiscountRate/12,0,0,'Nominal Increments'!K95,0))</f>
        <v>8904.1666666666661</v>
      </c>
      <c r="L95" s="150">
        <f>IF($B95="NA","NA",IF($A$10=0,0,-PV(DiscountRate/12,$D$9,0,'Nominal Increments'!L95,0)))</f>
        <v>0</v>
      </c>
      <c r="M95" s="150">
        <f>IF($B95="NA","NA",IF($A$11=0,0,-PV(DiscountRate/12,$D$10,0,'Nominal Increments'!M95,0)))</f>
        <v>0</v>
      </c>
      <c r="N95" s="150">
        <f>IF($B95="NA","NA",IF($A$12=0,0,-PV(DiscountRate/12,$D$11,0,'Nominal Increments'!N95,0)))</f>
        <v>0</v>
      </c>
      <c r="O95" s="150">
        <f>IF($B95="NA","NA",IF($A$13=0,0,-PV(DiscountRate/12,$D$12,0,'Nominal Increments'!O95,0)))</f>
        <v>0</v>
      </c>
      <c r="P95" s="150">
        <f>IF($B95="NA","NA",IF($A$14=0,0,-PV(DiscountRate/12,$D$13,0,'Nominal Increments'!P95,0)))</f>
        <v>0</v>
      </c>
      <c r="Q95" s="150">
        <f>IF($B95="NA","NA",IF($A$15=0,0,-PV(DiscountRate/12,$D$14,0,'Nominal Increments'!Q95,0)))</f>
        <v>0</v>
      </c>
      <c r="R95" s="150">
        <f>IF($B95="NA","NA",IF($A$16=0,0,-PV(DiscountRate/12,$D$15,0,'Nominal Increments'!R95,0)))</f>
        <v>0</v>
      </c>
      <c r="S95" s="150">
        <f>IF($B95="NA","NA",IF($A$17=0,0,-PV(DiscountRate/12,$D$16,0,'Nominal Increments'!S95,0)))</f>
        <v>0</v>
      </c>
      <c r="T95" s="151">
        <f>IF($B95="NA","NA",IF($A$18=0,0,-PV(DiscountRate/12,$D$17,0,'Nominal Increments'!T95,0)))</f>
        <v>0</v>
      </c>
    </row>
    <row r="96" spans="1:20" x14ac:dyDescent="0.2">
      <c r="A96" s="86">
        <f t="shared" si="5"/>
        <v>2224</v>
      </c>
      <c r="B96" s="142">
        <f t="shared" si="6"/>
        <v>74</v>
      </c>
      <c r="C96" s="143">
        <f t="shared" si="7"/>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50">
        <f>IF(B96="NA","NA",IF(ISNUMBER(VLOOKUP($C96,'A4 Investment'!$A$24:$G$33,7,FALSE)),VLOOKUP($C96,'A4 Investment'!$A$24:$G$33,7,FALSE)*'A4 Investment'!G$18/12,0))</f>
        <v>0</v>
      </c>
      <c r="I96" s="151">
        <f t="shared" si="8"/>
        <v>8904.1666666666661</v>
      </c>
      <c r="J96" s="159">
        <f t="shared" si="9"/>
        <v>8904.1666666666661</v>
      </c>
      <c r="K96" s="150">
        <f>IF($B96="NA","NA",-PV(DiscountRate/12,0,0,'Nominal Increments'!K96,0))</f>
        <v>8904.1666666666661</v>
      </c>
      <c r="L96" s="150">
        <f>IF($B96="NA","NA",IF($A$10=0,0,-PV(DiscountRate/12,$D$9,0,'Nominal Increments'!L96,0)))</f>
        <v>0</v>
      </c>
      <c r="M96" s="150">
        <f>IF($B96="NA","NA",IF($A$11=0,0,-PV(DiscountRate/12,$D$10,0,'Nominal Increments'!M96,0)))</f>
        <v>0</v>
      </c>
      <c r="N96" s="150">
        <f>IF($B96="NA","NA",IF($A$12=0,0,-PV(DiscountRate/12,$D$11,0,'Nominal Increments'!N96,0)))</f>
        <v>0</v>
      </c>
      <c r="O96" s="150">
        <f>IF($B96="NA","NA",IF($A$13=0,0,-PV(DiscountRate/12,$D$12,0,'Nominal Increments'!O96,0)))</f>
        <v>0</v>
      </c>
      <c r="P96" s="150">
        <f>IF($B96="NA","NA",IF($A$14=0,0,-PV(DiscountRate/12,$D$13,0,'Nominal Increments'!P96,0)))</f>
        <v>0</v>
      </c>
      <c r="Q96" s="150">
        <f>IF($B96="NA","NA",IF($A$15=0,0,-PV(DiscountRate/12,$D$14,0,'Nominal Increments'!Q96,0)))</f>
        <v>0</v>
      </c>
      <c r="R96" s="150">
        <f>IF($B96="NA","NA",IF($A$16=0,0,-PV(DiscountRate/12,$D$15,0,'Nominal Increments'!R96,0)))</f>
        <v>0</v>
      </c>
      <c r="S96" s="150">
        <f>IF($B96="NA","NA",IF($A$17=0,0,-PV(DiscountRate/12,$D$16,0,'Nominal Increments'!S96,0)))</f>
        <v>0</v>
      </c>
      <c r="T96" s="151">
        <f>IF($B96="NA","NA",IF($A$18=0,0,-PV(DiscountRate/12,$D$17,0,'Nominal Increments'!T96,0)))</f>
        <v>0</v>
      </c>
    </row>
    <row r="97" spans="1:20" x14ac:dyDescent="0.2">
      <c r="A97" s="86">
        <f t="shared" si="5"/>
        <v>2252</v>
      </c>
      <c r="B97" s="142">
        <f t="shared" si="6"/>
        <v>75</v>
      </c>
      <c r="C97" s="143">
        <f t="shared" si="7"/>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50">
        <f>IF(B97="NA","NA",IF(ISNUMBER(VLOOKUP($C97,'A4 Investment'!$A$24:$G$33,7,FALSE)),VLOOKUP($C97,'A4 Investment'!$A$24:$G$33,7,FALSE)*'A4 Investment'!G$18/12,0))</f>
        <v>0</v>
      </c>
      <c r="I97" s="151">
        <f t="shared" si="8"/>
        <v>8904.1666666666661</v>
      </c>
      <c r="J97" s="159">
        <f t="shared" si="9"/>
        <v>8904.1666666666661</v>
      </c>
      <c r="K97" s="150">
        <f>IF($B97="NA","NA",-PV(DiscountRate/12,0,0,'Nominal Increments'!K97,0))</f>
        <v>8904.1666666666661</v>
      </c>
      <c r="L97" s="150">
        <f>IF($B97="NA","NA",IF($A$10=0,0,-PV(DiscountRate/12,$D$9,0,'Nominal Increments'!L97,0)))</f>
        <v>0</v>
      </c>
      <c r="M97" s="150">
        <f>IF($B97="NA","NA",IF($A$11=0,0,-PV(DiscountRate/12,$D$10,0,'Nominal Increments'!M97,0)))</f>
        <v>0</v>
      </c>
      <c r="N97" s="150">
        <f>IF($B97="NA","NA",IF($A$12=0,0,-PV(DiscountRate/12,$D$11,0,'Nominal Increments'!N97,0)))</f>
        <v>0</v>
      </c>
      <c r="O97" s="150">
        <f>IF($B97="NA","NA",IF($A$13=0,0,-PV(DiscountRate/12,$D$12,0,'Nominal Increments'!O97,0)))</f>
        <v>0</v>
      </c>
      <c r="P97" s="150">
        <f>IF($B97="NA","NA",IF($A$14=0,0,-PV(DiscountRate/12,$D$13,0,'Nominal Increments'!P97,0)))</f>
        <v>0</v>
      </c>
      <c r="Q97" s="150">
        <f>IF($B97="NA","NA",IF($A$15=0,0,-PV(DiscountRate/12,$D$14,0,'Nominal Increments'!Q97,0)))</f>
        <v>0</v>
      </c>
      <c r="R97" s="150">
        <f>IF($B97="NA","NA",IF($A$16=0,0,-PV(DiscountRate/12,$D$15,0,'Nominal Increments'!R97,0)))</f>
        <v>0</v>
      </c>
      <c r="S97" s="150">
        <f>IF($B97="NA","NA",IF($A$17=0,0,-PV(DiscountRate/12,$D$16,0,'Nominal Increments'!S97,0)))</f>
        <v>0</v>
      </c>
      <c r="T97" s="151">
        <f>IF($B97="NA","NA",IF($A$18=0,0,-PV(DiscountRate/12,$D$17,0,'Nominal Increments'!T97,0)))</f>
        <v>0</v>
      </c>
    </row>
    <row r="98" spans="1:20" x14ac:dyDescent="0.2">
      <c r="A98" s="86">
        <f t="shared" si="5"/>
        <v>2283</v>
      </c>
      <c r="B98" s="142">
        <f t="shared" si="6"/>
        <v>76</v>
      </c>
      <c r="C98" s="143">
        <f t="shared" si="7"/>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50">
        <f>IF(B98="NA","NA",IF(ISNUMBER(VLOOKUP($C98,'A4 Investment'!$A$24:$G$33,7,FALSE)),VLOOKUP($C98,'A4 Investment'!$A$24:$G$33,7,FALSE)*'A4 Investment'!G$18/12,0))</f>
        <v>0</v>
      </c>
      <c r="I98" s="151">
        <f t="shared" si="8"/>
        <v>8904.1666666666661</v>
      </c>
      <c r="J98" s="159">
        <f t="shared" si="9"/>
        <v>8904.1666666666661</v>
      </c>
      <c r="K98" s="150">
        <f>IF($B98="NA","NA",-PV(DiscountRate/12,0,0,'Nominal Increments'!K98,0))</f>
        <v>8904.1666666666661</v>
      </c>
      <c r="L98" s="150">
        <f>IF($B98="NA","NA",IF($A$10=0,0,-PV(DiscountRate/12,$D$9,0,'Nominal Increments'!L98,0)))</f>
        <v>0</v>
      </c>
      <c r="M98" s="150">
        <f>IF($B98="NA","NA",IF($A$11=0,0,-PV(DiscountRate/12,$D$10,0,'Nominal Increments'!M98,0)))</f>
        <v>0</v>
      </c>
      <c r="N98" s="150">
        <f>IF($B98="NA","NA",IF($A$12=0,0,-PV(DiscountRate/12,$D$11,0,'Nominal Increments'!N98,0)))</f>
        <v>0</v>
      </c>
      <c r="O98" s="150">
        <f>IF($B98="NA","NA",IF($A$13=0,0,-PV(DiscountRate/12,$D$12,0,'Nominal Increments'!O98,0)))</f>
        <v>0</v>
      </c>
      <c r="P98" s="150">
        <f>IF($B98="NA","NA",IF($A$14=0,0,-PV(DiscountRate/12,$D$13,0,'Nominal Increments'!P98,0)))</f>
        <v>0</v>
      </c>
      <c r="Q98" s="150">
        <f>IF($B98="NA","NA",IF($A$15=0,0,-PV(DiscountRate/12,$D$14,0,'Nominal Increments'!Q98,0)))</f>
        <v>0</v>
      </c>
      <c r="R98" s="150">
        <f>IF($B98="NA","NA",IF($A$16=0,0,-PV(DiscountRate/12,$D$15,0,'Nominal Increments'!R98,0)))</f>
        <v>0</v>
      </c>
      <c r="S98" s="150">
        <f>IF($B98="NA","NA",IF($A$17=0,0,-PV(DiscountRate/12,$D$16,0,'Nominal Increments'!S98,0)))</f>
        <v>0</v>
      </c>
      <c r="T98" s="151">
        <f>IF($B98="NA","NA",IF($A$18=0,0,-PV(DiscountRate/12,$D$17,0,'Nominal Increments'!T98,0)))</f>
        <v>0</v>
      </c>
    </row>
    <row r="99" spans="1:20" x14ac:dyDescent="0.2">
      <c r="A99" s="86">
        <f t="shared" si="5"/>
        <v>2313</v>
      </c>
      <c r="B99" s="142">
        <f t="shared" si="6"/>
        <v>77</v>
      </c>
      <c r="C99" s="143">
        <f t="shared" si="7"/>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50">
        <f>IF(B99="NA","NA",IF(ISNUMBER(VLOOKUP($C99,'A4 Investment'!$A$24:$G$33,7,FALSE)),VLOOKUP($C99,'A4 Investment'!$A$24:$G$33,7,FALSE)*'A4 Investment'!G$18/12,0))</f>
        <v>0</v>
      </c>
      <c r="I99" s="151">
        <f t="shared" si="8"/>
        <v>8904.1666666666661</v>
      </c>
      <c r="J99" s="159">
        <f t="shared" si="9"/>
        <v>8904.1666666666661</v>
      </c>
      <c r="K99" s="150">
        <f>IF($B99="NA","NA",-PV(DiscountRate/12,0,0,'Nominal Increments'!K99,0))</f>
        <v>8904.1666666666661</v>
      </c>
      <c r="L99" s="150">
        <f>IF($B99="NA","NA",IF($A$10=0,0,-PV(DiscountRate/12,$D$9,0,'Nominal Increments'!L99,0)))</f>
        <v>0</v>
      </c>
      <c r="M99" s="150">
        <f>IF($B99="NA","NA",IF($A$11=0,0,-PV(DiscountRate/12,$D$10,0,'Nominal Increments'!M99,0)))</f>
        <v>0</v>
      </c>
      <c r="N99" s="150">
        <f>IF($B99="NA","NA",IF($A$12=0,0,-PV(DiscountRate/12,$D$11,0,'Nominal Increments'!N99,0)))</f>
        <v>0</v>
      </c>
      <c r="O99" s="150">
        <f>IF($B99="NA","NA",IF($A$13=0,0,-PV(DiscountRate/12,$D$12,0,'Nominal Increments'!O99,0)))</f>
        <v>0</v>
      </c>
      <c r="P99" s="150">
        <f>IF($B99="NA","NA",IF($A$14=0,0,-PV(DiscountRate/12,$D$13,0,'Nominal Increments'!P99,0)))</f>
        <v>0</v>
      </c>
      <c r="Q99" s="150">
        <f>IF($B99="NA","NA",IF($A$15=0,0,-PV(DiscountRate/12,$D$14,0,'Nominal Increments'!Q99,0)))</f>
        <v>0</v>
      </c>
      <c r="R99" s="150">
        <f>IF($B99="NA","NA",IF($A$16=0,0,-PV(DiscountRate/12,$D$15,0,'Nominal Increments'!R99,0)))</f>
        <v>0</v>
      </c>
      <c r="S99" s="150">
        <f>IF($B99="NA","NA",IF($A$17=0,0,-PV(DiscountRate/12,$D$16,0,'Nominal Increments'!S99,0)))</f>
        <v>0</v>
      </c>
      <c r="T99" s="151">
        <f>IF($B99="NA","NA",IF($A$18=0,0,-PV(DiscountRate/12,$D$17,0,'Nominal Increments'!T99,0)))</f>
        <v>0</v>
      </c>
    </row>
    <row r="100" spans="1:20" x14ac:dyDescent="0.2">
      <c r="A100" s="86">
        <f t="shared" si="5"/>
        <v>2344</v>
      </c>
      <c r="B100" s="142">
        <f t="shared" si="6"/>
        <v>78</v>
      </c>
      <c r="C100" s="143">
        <f t="shared" si="7"/>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50">
        <f>IF(B100="NA","NA",IF(ISNUMBER(VLOOKUP($C100,'A4 Investment'!$A$24:$G$33,7,FALSE)),VLOOKUP($C100,'A4 Investment'!$A$24:$G$33,7,FALSE)*'A4 Investment'!G$18/12,0))</f>
        <v>0</v>
      </c>
      <c r="I100" s="151">
        <f t="shared" si="8"/>
        <v>8904.1666666666661</v>
      </c>
      <c r="J100" s="159">
        <f t="shared" si="9"/>
        <v>8904.1666666666661</v>
      </c>
      <c r="K100" s="150">
        <f>IF($B100="NA","NA",-PV(DiscountRate/12,0,0,'Nominal Increments'!K100,0))</f>
        <v>8904.1666666666661</v>
      </c>
      <c r="L100" s="150">
        <f>IF($B100="NA","NA",IF($A$10=0,0,-PV(DiscountRate/12,$D$9,0,'Nominal Increments'!L100,0)))</f>
        <v>0</v>
      </c>
      <c r="M100" s="150">
        <f>IF($B100="NA","NA",IF($A$11=0,0,-PV(DiscountRate/12,$D$10,0,'Nominal Increments'!M100,0)))</f>
        <v>0</v>
      </c>
      <c r="N100" s="150">
        <f>IF($B100="NA","NA",IF($A$12=0,0,-PV(DiscountRate/12,$D$11,0,'Nominal Increments'!N100,0)))</f>
        <v>0</v>
      </c>
      <c r="O100" s="150">
        <f>IF($B100="NA","NA",IF($A$13=0,0,-PV(DiscountRate/12,$D$12,0,'Nominal Increments'!O100,0)))</f>
        <v>0</v>
      </c>
      <c r="P100" s="150">
        <f>IF($B100="NA","NA",IF($A$14=0,0,-PV(DiscountRate/12,$D$13,0,'Nominal Increments'!P100,0)))</f>
        <v>0</v>
      </c>
      <c r="Q100" s="150">
        <f>IF($B100="NA","NA",IF($A$15=0,0,-PV(DiscountRate/12,$D$14,0,'Nominal Increments'!Q100,0)))</f>
        <v>0</v>
      </c>
      <c r="R100" s="150">
        <f>IF($B100="NA","NA",IF($A$16=0,0,-PV(DiscountRate/12,$D$15,0,'Nominal Increments'!R100,0)))</f>
        <v>0</v>
      </c>
      <c r="S100" s="150">
        <f>IF($B100="NA","NA",IF($A$17=0,0,-PV(DiscountRate/12,$D$16,0,'Nominal Increments'!S100,0)))</f>
        <v>0</v>
      </c>
      <c r="T100" s="151">
        <f>IF($B100="NA","NA",IF($A$18=0,0,-PV(DiscountRate/12,$D$17,0,'Nominal Increments'!T100,0)))</f>
        <v>0</v>
      </c>
    </row>
    <row r="101" spans="1:20" x14ac:dyDescent="0.2">
      <c r="A101" s="86">
        <f t="shared" si="5"/>
        <v>2374</v>
      </c>
      <c r="B101" s="142">
        <f t="shared" si="6"/>
        <v>79</v>
      </c>
      <c r="C101" s="143">
        <f t="shared" si="7"/>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50">
        <f>IF(B101="NA","NA",IF(ISNUMBER(VLOOKUP($C101,'A4 Investment'!$A$24:$G$33,7,FALSE)),VLOOKUP($C101,'A4 Investment'!$A$24:$G$33,7,FALSE)*'A4 Investment'!G$18/12,0))</f>
        <v>0</v>
      </c>
      <c r="I101" s="151">
        <f t="shared" si="8"/>
        <v>8904.1666666666661</v>
      </c>
      <c r="J101" s="159">
        <f t="shared" si="9"/>
        <v>8904.1666666666661</v>
      </c>
      <c r="K101" s="150">
        <f>IF($B101="NA","NA",-PV(DiscountRate/12,0,0,'Nominal Increments'!K101,0))</f>
        <v>8904.1666666666661</v>
      </c>
      <c r="L101" s="150">
        <f>IF($B101="NA","NA",IF($A$10=0,0,-PV(DiscountRate/12,$D$9,0,'Nominal Increments'!L101,0)))</f>
        <v>0</v>
      </c>
      <c r="M101" s="150">
        <f>IF($B101="NA","NA",IF($A$11=0,0,-PV(DiscountRate/12,$D$10,0,'Nominal Increments'!M101,0)))</f>
        <v>0</v>
      </c>
      <c r="N101" s="150">
        <f>IF($B101="NA","NA",IF($A$12=0,0,-PV(DiscountRate/12,$D$11,0,'Nominal Increments'!N101,0)))</f>
        <v>0</v>
      </c>
      <c r="O101" s="150">
        <f>IF($B101="NA","NA",IF($A$13=0,0,-PV(DiscountRate/12,$D$12,0,'Nominal Increments'!O101,0)))</f>
        <v>0</v>
      </c>
      <c r="P101" s="150">
        <f>IF($B101="NA","NA",IF($A$14=0,0,-PV(DiscountRate/12,$D$13,0,'Nominal Increments'!P101,0)))</f>
        <v>0</v>
      </c>
      <c r="Q101" s="150">
        <f>IF($B101="NA","NA",IF($A$15=0,0,-PV(DiscountRate/12,$D$14,0,'Nominal Increments'!Q101,0)))</f>
        <v>0</v>
      </c>
      <c r="R101" s="150">
        <f>IF($B101="NA","NA",IF($A$16=0,0,-PV(DiscountRate/12,$D$15,0,'Nominal Increments'!R101,0)))</f>
        <v>0</v>
      </c>
      <c r="S101" s="150">
        <f>IF($B101="NA","NA",IF($A$17=0,0,-PV(DiscountRate/12,$D$16,0,'Nominal Increments'!S101,0)))</f>
        <v>0</v>
      </c>
      <c r="T101" s="151">
        <f>IF($B101="NA","NA",IF($A$18=0,0,-PV(DiscountRate/12,$D$17,0,'Nominal Increments'!T101,0)))</f>
        <v>0</v>
      </c>
    </row>
    <row r="102" spans="1:20" x14ac:dyDescent="0.2">
      <c r="A102" s="86">
        <f t="shared" si="5"/>
        <v>2405</v>
      </c>
      <c r="B102" s="142">
        <f t="shared" si="6"/>
        <v>80</v>
      </c>
      <c r="C102" s="143">
        <f t="shared" si="7"/>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50">
        <f>IF(B102="NA","NA",IF(ISNUMBER(VLOOKUP($C102,'A4 Investment'!$A$24:$G$33,7,FALSE)),VLOOKUP($C102,'A4 Investment'!$A$24:$G$33,7,FALSE)*'A4 Investment'!G$18/12,0))</f>
        <v>0</v>
      </c>
      <c r="I102" s="151">
        <f t="shared" si="8"/>
        <v>8904.1666666666661</v>
      </c>
      <c r="J102" s="159">
        <f t="shared" si="9"/>
        <v>8904.1666666666661</v>
      </c>
      <c r="K102" s="150">
        <f>IF($B102="NA","NA",-PV(DiscountRate/12,0,0,'Nominal Increments'!K102,0))</f>
        <v>8904.1666666666661</v>
      </c>
      <c r="L102" s="150">
        <f>IF($B102="NA","NA",IF($A$10=0,0,-PV(DiscountRate/12,$D$9,0,'Nominal Increments'!L102,0)))</f>
        <v>0</v>
      </c>
      <c r="M102" s="150">
        <f>IF($B102="NA","NA",IF($A$11=0,0,-PV(DiscountRate/12,$D$10,0,'Nominal Increments'!M102,0)))</f>
        <v>0</v>
      </c>
      <c r="N102" s="150">
        <f>IF($B102="NA","NA",IF($A$12=0,0,-PV(DiscountRate/12,$D$11,0,'Nominal Increments'!N102,0)))</f>
        <v>0</v>
      </c>
      <c r="O102" s="150">
        <f>IF($B102="NA","NA",IF($A$13=0,0,-PV(DiscountRate/12,$D$12,0,'Nominal Increments'!O102,0)))</f>
        <v>0</v>
      </c>
      <c r="P102" s="150">
        <f>IF($B102="NA","NA",IF($A$14=0,0,-PV(DiscountRate/12,$D$13,0,'Nominal Increments'!P102,0)))</f>
        <v>0</v>
      </c>
      <c r="Q102" s="150">
        <f>IF($B102="NA","NA",IF($A$15=0,0,-PV(DiscountRate/12,$D$14,0,'Nominal Increments'!Q102,0)))</f>
        <v>0</v>
      </c>
      <c r="R102" s="150">
        <f>IF($B102="NA","NA",IF($A$16=0,0,-PV(DiscountRate/12,$D$15,0,'Nominal Increments'!R102,0)))</f>
        <v>0</v>
      </c>
      <c r="S102" s="150">
        <f>IF($B102="NA","NA",IF($A$17=0,0,-PV(DiscountRate/12,$D$16,0,'Nominal Increments'!S102,0)))</f>
        <v>0</v>
      </c>
      <c r="T102" s="151">
        <f>IF($B102="NA","NA",IF($A$18=0,0,-PV(DiscountRate/12,$D$17,0,'Nominal Increments'!T102,0)))</f>
        <v>0</v>
      </c>
    </row>
    <row r="103" spans="1:20" x14ac:dyDescent="0.2">
      <c r="A103" s="86">
        <f t="shared" si="5"/>
        <v>2436</v>
      </c>
      <c r="B103" s="142">
        <f t="shared" si="6"/>
        <v>81</v>
      </c>
      <c r="C103" s="143">
        <f t="shared" si="7"/>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50">
        <f>IF(B103="NA","NA",IF(ISNUMBER(VLOOKUP($C103,'A4 Investment'!$A$24:$G$33,7,FALSE)),VLOOKUP($C103,'A4 Investment'!$A$24:$G$33,7,FALSE)*'A4 Investment'!G$18/12,0))</f>
        <v>0</v>
      </c>
      <c r="I103" s="151">
        <f t="shared" si="8"/>
        <v>8904.1666666666661</v>
      </c>
      <c r="J103" s="159">
        <f t="shared" si="9"/>
        <v>8904.1666666666661</v>
      </c>
      <c r="K103" s="150">
        <f>IF($B103="NA","NA",-PV(DiscountRate/12,0,0,'Nominal Increments'!K103,0))</f>
        <v>8904.1666666666661</v>
      </c>
      <c r="L103" s="150">
        <f>IF($B103="NA","NA",IF($A$10=0,0,-PV(DiscountRate/12,$D$9,0,'Nominal Increments'!L103,0)))</f>
        <v>0</v>
      </c>
      <c r="M103" s="150">
        <f>IF($B103="NA","NA",IF($A$11=0,0,-PV(DiscountRate/12,$D$10,0,'Nominal Increments'!M103,0)))</f>
        <v>0</v>
      </c>
      <c r="N103" s="150">
        <f>IF($B103="NA","NA",IF($A$12=0,0,-PV(DiscountRate/12,$D$11,0,'Nominal Increments'!N103,0)))</f>
        <v>0</v>
      </c>
      <c r="O103" s="150">
        <f>IF($B103="NA","NA",IF($A$13=0,0,-PV(DiscountRate/12,$D$12,0,'Nominal Increments'!O103,0)))</f>
        <v>0</v>
      </c>
      <c r="P103" s="150">
        <f>IF($B103="NA","NA",IF($A$14=0,0,-PV(DiscountRate/12,$D$13,0,'Nominal Increments'!P103,0)))</f>
        <v>0</v>
      </c>
      <c r="Q103" s="150">
        <f>IF($B103="NA","NA",IF($A$15=0,0,-PV(DiscountRate/12,$D$14,0,'Nominal Increments'!Q103,0)))</f>
        <v>0</v>
      </c>
      <c r="R103" s="150">
        <f>IF($B103="NA","NA",IF($A$16=0,0,-PV(DiscountRate/12,$D$15,0,'Nominal Increments'!R103,0)))</f>
        <v>0</v>
      </c>
      <c r="S103" s="150">
        <f>IF($B103="NA","NA",IF($A$17=0,0,-PV(DiscountRate/12,$D$16,0,'Nominal Increments'!S103,0)))</f>
        <v>0</v>
      </c>
      <c r="T103" s="151">
        <f>IF($B103="NA","NA",IF($A$18=0,0,-PV(DiscountRate/12,$D$17,0,'Nominal Increments'!T103,0)))</f>
        <v>0</v>
      </c>
    </row>
    <row r="104" spans="1:20" x14ac:dyDescent="0.2">
      <c r="A104" s="86">
        <f t="shared" si="5"/>
        <v>2466</v>
      </c>
      <c r="B104" s="142">
        <f t="shared" si="6"/>
        <v>82</v>
      </c>
      <c r="C104" s="143">
        <f t="shared" si="7"/>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50">
        <f>IF(B104="NA","NA",IF(ISNUMBER(VLOOKUP($C104,'A4 Investment'!$A$24:$G$33,7,FALSE)),VLOOKUP($C104,'A4 Investment'!$A$24:$G$33,7,FALSE)*'A4 Investment'!G$18/12,0))</f>
        <v>0</v>
      </c>
      <c r="I104" s="151">
        <f t="shared" si="8"/>
        <v>8904.1666666666661</v>
      </c>
      <c r="J104" s="159">
        <f t="shared" si="9"/>
        <v>8904.1666666666661</v>
      </c>
      <c r="K104" s="150">
        <f>IF($B104="NA","NA",-PV(DiscountRate/12,0,0,'Nominal Increments'!K104,0))</f>
        <v>8904.1666666666661</v>
      </c>
      <c r="L104" s="150">
        <f>IF($B104="NA","NA",IF($A$10=0,0,-PV(DiscountRate/12,$D$9,0,'Nominal Increments'!L104,0)))</f>
        <v>0</v>
      </c>
      <c r="M104" s="150">
        <f>IF($B104="NA","NA",IF($A$11=0,0,-PV(DiscountRate/12,$D$10,0,'Nominal Increments'!M104,0)))</f>
        <v>0</v>
      </c>
      <c r="N104" s="150">
        <f>IF($B104="NA","NA",IF($A$12=0,0,-PV(DiscountRate/12,$D$11,0,'Nominal Increments'!N104,0)))</f>
        <v>0</v>
      </c>
      <c r="O104" s="150">
        <f>IF($B104="NA","NA",IF($A$13=0,0,-PV(DiscountRate/12,$D$12,0,'Nominal Increments'!O104,0)))</f>
        <v>0</v>
      </c>
      <c r="P104" s="150">
        <f>IF($B104="NA","NA",IF($A$14=0,0,-PV(DiscountRate/12,$D$13,0,'Nominal Increments'!P104,0)))</f>
        <v>0</v>
      </c>
      <c r="Q104" s="150">
        <f>IF($B104="NA","NA",IF($A$15=0,0,-PV(DiscountRate/12,$D$14,0,'Nominal Increments'!Q104,0)))</f>
        <v>0</v>
      </c>
      <c r="R104" s="150">
        <f>IF($B104="NA","NA",IF($A$16=0,0,-PV(DiscountRate/12,$D$15,0,'Nominal Increments'!R104,0)))</f>
        <v>0</v>
      </c>
      <c r="S104" s="150">
        <f>IF($B104="NA","NA",IF($A$17=0,0,-PV(DiscountRate/12,$D$16,0,'Nominal Increments'!S104,0)))</f>
        <v>0</v>
      </c>
      <c r="T104" s="151">
        <f>IF($B104="NA","NA",IF($A$18=0,0,-PV(DiscountRate/12,$D$17,0,'Nominal Increments'!T104,0)))</f>
        <v>0</v>
      </c>
    </row>
    <row r="105" spans="1:20" x14ac:dyDescent="0.2">
      <c r="A105" s="86">
        <f t="shared" si="5"/>
        <v>2497</v>
      </c>
      <c r="B105" s="142">
        <f t="shared" si="6"/>
        <v>83</v>
      </c>
      <c r="C105" s="143">
        <f t="shared" si="7"/>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50">
        <f>IF(B105="NA","NA",IF(ISNUMBER(VLOOKUP($C105,'A4 Investment'!$A$24:$G$33,7,FALSE)),VLOOKUP($C105,'A4 Investment'!$A$24:$G$33,7,FALSE)*'A4 Investment'!G$18/12,0))</f>
        <v>0</v>
      </c>
      <c r="I105" s="151">
        <f t="shared" si="8"/>
        <v>8904.1666666666661</v>
      </c>
      <c r="J105" s="159">
        <f t="shared" si="9"/>
        <v>8904.1666666666661</v>
      </c>
      <c r="K105" s="150">
        <f>IF($B105="NA","NA",-PV(DiscountRate/12,0,0,'Nominal Increments'!K105,0))</f>
        <v>8904.1666666666661</v>
      </c>
      <c r="L105" s="150">
        <f>IF($B105="NA","NA",IF($A$10=0,0,-PV(DiscountRate/12,$D$9,0,'Nominal Increments'!L105,0)))</f>
        <v>0</v>
      </c>
      <c r="M105" s="150">
        <f>IF($B105="NA","NA",IF($A$11=0,0,-PV(DiscountRate/12,$D$10,0,'Nominal Increments'!M105,0)))</f>
        <v>0</v>
      </c>
      <c r="N105" s="150">
        <f>IF($B105="NA","NA",IF($A$12=0,0,-PV(DiscountRate/12,$D$11,0,'Nominal Increments'!N105,0)))</f>
        <v>0</v>
      </c>
      <c r="O105" s="150">
        <f>IF($B105="NA","NA",IF($A$13=0,0,-PV(DiscountRate/12,$D$12,0,'Nominal Increments'!O105,0)))</f>
        <v>0</v>
      </c>
      <c r="P105" s="150">
        <f>IF($B105="NA","NA",IF($A$14=0,0,-PV(DiscountRate/12,$D$13,0,'Nominal Increments'!P105,0)))</f>
        <v>0</v>
      </c>
      <c r="Q105" s="150">
        <f>IF($B105="NA","NA",IF($A$15=0,0,-PV(DiscountRate/12,$D$14,0,'Nominal Increments'!Q105,0)))</f>
        <v>0</v>
      </c>
      <c r="R105" s="150">
        <f>IF($B105="NA","NA",IF($A$16=0,0,-PV(DiscountRate/12,$D$15,0,'Nominal Increments'!R105,0)))</f>
        <v>0</v>
      </c>
      <c r="S105" s="150">
        <f>IF($B105="NA","NA",IF($A$17=0,0,-PV(DiscountRate/12,$D$16,0,'Nominal Increments'!S105,0)))</f>
        <v>0</v>
      </c>
      <c r="T105" s="151">
        <f>IF($B105="NA","NA",IF($A$18=0,0,-PV(DiscountRate/12,$D$17,0,'Nominal Increments'!T105,0)))</f>
        <v>0</v>
      </c>
    </row>
    <row r="106" spans="1:20" x14ac:dyDescent="0.2">
      <c r="A106" s="86">
        <f t="shared" si="5"/>
        <v>2527</v>
      </c>
      <c r="B106" s="142">
        <f t="shared" si="6"/>
        <v>84</v>
      </c>
      <c r="C106" s="143">
        <f t="shared" si="7"/>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50">
        <f>IF(B106="NA","NA",IF(ISNUMBER(VLOOKUP($C106,'A4 Investment'!$A$24:$G$33,7,FALSE)),VLOOKUP($C106,'A4 Investment'!$A$24:$G$33,7,FALSE)*'A4 Investment'!G$18/12,0))</f>
        <v>0</v>
      </c>
      <c r="I106" s="151">
        <f t="shared" si="8"/>
        <v>8904.1666666666661</v>
      </c>
      <c r="J106" s="159">
        <f t="shared" si="9"/>
        <v>8904.1666666666661</v>
      </c>
      <c r="K106" s="150">
        <f>IF($B106="NA","NA",-PV(DiscountRate/12,0,0,'Nominal Increments'!K106,0))</f>
        <v>8904.1666666666661</v>
      </c>
      <c r="L106" s="150">
        <f>IF($B106="NA","NA",IF($A$10=0,0,-PV(DiscountRate/12,$D$9,0,'Nominal Increments'!L106,0)))</f>
        <v>0</v>
      </c>
      <c r="M106" s="150">
        <f>IF($B106="NA","NA",IF($A$11=0,0,-PV(DiscountRate/12,$D$10,0,'Nominal Increments'!M106,0)))</f>
        <v>0</v>
      </c>
      <c r="N106" s="150">
        <f>IF($B106="NA","NA",IF($A$12=0,0,-PV(DiscountRate/12,$D$11,0,'Nominal Increments'!N106,0)))</f>
        <v>0</v>
      </c>
      <c r="O106" s="150">
        <f>IF($B106="NA","NA",IF($A$13=0,0,-PV(DiscountRate/12,$D$12,0,'Nominal Increments'!O106,0)))</f>
        <v>0</v>
      </c>
      <c r="P106" s="150">
        <f>IF($B106="NA","NA",IF($A$14=0,0,-PV(DiscountRate/12,$D$13,0,'Nominal Increments'!P106,0)))</f>
        <v>0</v>
      </c>
      <c r="Q106" s="150">
        <f>IF($B106="NA","NA",IF($A$15=0,0,-PV(DiscountRate/12,$D$14,0,'Nominal Increments'!Q106,0)))</f>
        <v>0</v>
      </c>
      <c r="R106" s="150">
        <f>IF($B106="NA","NA",IF($A$16=0,0,-PV(DiscountRate/12,$D$15,0,'Nominal Increments'!R106,0)))</f>
        <v>0</v>
      </c>
      <c r="S106" s="150">
        <f>IF($B106="NA","NA",IF($A$17=0,0,-PV(DiscountRate/12,$D$16,0,'Nominal Increments'!S106,0)))</f>
        <v>0</v>
      </c>
      <c r="T106" s="151">
        <f>IF($B106="NA","NA",IF($A$18=0,0,-PV(DiscountRate/12,$D$17,0,'Nominal Increments'!T106,0)))</f>
        <v>0</v>
      </c>
    </row>
    <row r="107" spans="1:20" x14ac:dyDescent="0.2">
      <c r="A107" s="86">
        <f t="shared" si="5"/>
        <v>2558</v>
      </c>
      <c r="B107" s="142">
        <f t="shared" si="6"/>
        <v>85</v>
      </c>
      <c r="C107" s="143">
        <f t="shared" si="7"/>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50">
        <f>IF(B107="NA","NA",IF(ISNUMBER(VLOOKUP($C107,'A4 Investment'!$A$24:$G$33,7,FALSE)),VLOOKUP($C107,'A4 Investment'!$A$24:$G$33,7,FALSE)*'A4 Investment'!G$18/12,0))</f>
        <v>0</v>
      </c>
      <c r="I107" s="151">
        <f t="shared" si="8"/>
        <v>8904.1666666666661</v>
      </c>
      <c r="J107" s="159">
        <f t="shared" si="9"/>
        <v>8904.1666666666661</v>
      </c>
      <c r="K107" s="150">
        <f>IF($B107="NA","NA",-PV(DiscountRate/12,0,0,'Nominal Increments'!K107,0))</f>
        <v>8904.1666666666661</v>
      </c>
      <c r="L107" s="150">
        <f>IF($B107="NA","NA",IF($A$10=0,0,-PV(DiscountRate/12,$D$9,0,'Nominal Increments'!L107,0)))</f>
        <v>0</v>
      </c>
      <c r="M107" s="150">
        <f>IF($B107="NA","NA",IF($A$11=0,0,-PV(DiscountRate/12,$D$10,0,'Nominal Increments'!M107,0)))</f>
        <v>0</v>
      </c>
      <c r="N107" s="150">
        <f>IF($B107="NA","NA",IF($A$12=0,0,-PV(DiscountRate/12,$D$11,0,'Nominal Increments'!N107,0)))</f>
        <v>0</v>
      </c>
      <c r="O107" s="150">
        <f>IF($B107="NA","NA",IF($A$13=0,0,-PV(DiscountRate/12,$D$12,0,'Nominal Increments'!O107,0)))</f>
        <v>0</v>
      </c>
      <c r="P107" s="150">
        <f>IF($B107="NA","NA",IF($A$14=0,0,-PV(DiscountRate/12,$D$13,0,'Nominal Increments'!P107,0)))</f>
        <v>0</v>
      </c>
      <c r="Q107" s="150">
        <f>IF($B107="NA","NA",IF($A$15=0,0,-PV(DiscountRate/12,$D$14,0,'Nominal Increments'!Q107,0)))</f>
        <v>0</v>
      </c>
      <c r="R107" s="150">
        <f>IF($B107="NA","NA",IF($A$16=0,0,-PV(DiscountRate/12,$D$15,0,'Nominal Increments'!R107,0)))</f>
        <v>0</v>
      </c>
      <c r="S107" s="150">
        <f>IF($B107="NA","NA",IF($A$17=0,0,-PV(DiscountRate/12,$D$16,0,'Nominal Increments'!S107,0)))</f>
        <v>0</v>
      </c>
      <c r="T107" s="151">
        <f>IF($B107="NA","NA",IF($A$18=0,0,-PV(DiscountRate/12,$D$17,0,'Nominal Increments'!T107,0)))</f>
        <v>0</v>
      </c>
    </row>
    <row r="108" spans="1:20" x14ac:dyDescent="0.2">
      <c r="A108" s="86">
        <f t="shared" si="5"/>
        <v>2589</v>
      </c>
      <c r="B108" s="142">
        <f t="shared" si="6"/>
        <v>86</v>
      </c>
      <c r="C108" s="143">
        <f t="shared" si="7"/>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50">
        <f>IF(B108="NA","NA",IF(ISNUMBER(VLOOKUP($C108,'A4 Investment'!$A$24:$G$33,7,FALSE)),VLOOKUP($C108,'A4 Investment'!$A$24:$G$33,7,FALSE)*'A4 Investment'!G$18/12,0))</f>
        <v>0</v>
      </c>
      <c r="I108" s="151">
        <f t="shared" si="8"/>
        <v>8904.1666666666661</v>
      </c>
      <c r="J108" s="159">
        <f t="shared" si="9"/>
        <v>8904.1666666666661</v>
      </c>
      <c r="K108" s="150">
        <f>IF($B108="NA","NA",-PV(DiscountRate/12,0,0,'Nominal Increments'!K108,0))</f>
        <v>8904.1666666666661</v>
      </c>
      <c r="L108" s="150">
        <f>IF($B108="NA","NA",IF($A$10=0,0,-PV(DiscountRate/12,$D$9,0,'Nominal Increments'!L108,0)))</f>
        <v>0</v>
      </c>
      <c r="M108" s="150">
        <f>IF($B108="NA","NA",IF($A$11=0,0,-PV(DiscountRate/12,$D$10,0,'Nominal Increments'!M108,0)))</f>
        <v>0</v>
      </c>
      <c r="N108" s="150">
        <f>IF($B108="NA","NA",IF($A$12=0,0,-PV(DiscountRate/12,$D$11,0,'Nominal Increments'!N108,0)))</f>
        <v>0</v>
      </c>
      <c r="O108" s="150">
        <f>IF($B108="NA","NA",IF($A$13=0,0,-PV(DiscountRate/12,$D$12,0,'Nominal Increments'!O108,0)))</f>
        <v>0</v>
      </c>
      <c r="P108" s="150">
        <f>IF($B108="NA","NA",IF($A$14=0,0,-PV(DiscountRate/12,$D$13,0,'Nominal Increments'!P108,0)))</f>
        <v>0</v>
      </c>
      <c r="Q108" s="150">
        <f>IF($B108="NA","NA",IF($A$15=0,0,-PV(DiscountRate/12,$D$14,0,'Nominal Increments'!Q108,0)))</f>
        <v>0</v>
      </c>
      <c r="R108" s="150">
        <f>IF($B108="NA","NA",IF($A$16=0,0,-PV(DiscountRate/12,$D$15,0,'Nominal Increments'!R108,0)))</f>
        <v>0</v>
      </c>
      <c r="S108" s="150">
        <f>IF($B108="NA","NA",IF($A$17=0,0,-PV(DiscountRate/12,$D$16,0,'Nominal Increments'!S108,0)))</f>
        <v>0</v>
      </c>
      <c r="T108" s="151">
        <f>IF($B108="NA","NA",IF($A$18=0,0,-PV(DiscountRate/12,$D$17,0,'Nominal Increments'!T108,0)))</f>
        <v>0</v>
      </c>
    </row>
    <row r="109" spans="1:20" x14ac:dyDescent="0.2">
      <c r="A109" s="86">
        <f t="shared" si="5"/>
        <v>2617</v>
      </c>
      <c r="B109" s="142">
        <f t="shared" si="6"/>
        <v>87</v>
      </c>
      <c r="C109" s="143">
        <f t="shared" si="7"/>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50">
        <f>IF(B109="NA","NA",IF(ISNUMBER(VLOOKUP($C109,'A4 Investment'!$A$24:$G$33,7,FALSE)),VLOOKUP($C109,'A4 Investment'!$A$24:$G$33,7,FALSE)*'A4 Investment'!G$18/12,0))</f>
        <v>0</v>
      </c>
      <c r="I109" s="151">
        <f t="shared" si="8"/>
        <v>8904.1666666666661</v>
      </c>
      <c r="J109" s="159">
        <f t="shared" si="9"/>
        <v>8904.1666666666661</v>
      </c>
      <c r="K109" s="150">
        <f>IF($B109="NA","NA",-PV(DiscountRate/12,0,0,'Nominal Increments'!K109,0))</f>
        <v>8904.1666666666661</v>
      </c>
      <c r="L109" s="150">
        <f>IF($B109="NA","NA",IF($A$10=0,0,-PV(DiscountRate/12,$D$9,0,'Nominal Increments'!L109,0)))</f>
        <v>0</v>
      </c>
      <c r="M109" s="150">
        <f>IF($B109="NA","NA",IF($A$11=0,0,-PV(DiscountRate/12,$D$10,0,'Nominal Increments'!M109,0)))</f>
        <v>0</v>
      </c>
      <c r="N109" s="150">
        <f>IF($B109="NA","NA",IF($A$12=0,0,-PV(DiscountRate/12,$D$11,0,'Nominal Increments'!N109,0)))</f>
        <v>0</v>
      </c>
      <c r="O109" s="150">
        <f>IF($B109="NA","NA",IF($A$13=0,0,-PV(DiscountRate/12,$D$12,0,'Nominal Increments'!O109,0)))</f>
        <v>0</v>
      </c>
      <c r="P109" s="150">
        <f>IF($B109="NA","NA",IF($A$14=0,0,-PV(DiscountRate/12,$D$13,0,'Nominal Increments'!P109,0)))</f>
        <v>0</v>
      </c>
      <c r="Q109" s="150">
        <f>IF($B109="NA","NA",IF($A$15=0,0,-PV(DiscountRate/12,$D$14,0,'Nominal Increments'!Q109,0)))</f>
        <v>0</v>
      </c>
      <c r="R109" s="150">
        <f>IF($B109="NA","NA",IF($A$16=0,0,-PV(DiscountRate/12,$D$15,0,'Nominal Increments'!R109,0)))</f>
        <v>0</v>
      </c>
      <c r="S109" s="150">
        <f>IF($B109="NA","NA",IF($A$17=0,0,-PV(DiscountRate/12,$D$16,0,'Nominal Increments'!S109,0)))</f>
        <v>0</v>
      </c>
      <c r="T109" s="151">
        <f>IF($B109="NA","NA",IF($A$18=0,0,-PV(DiscountRate/12,$D$17,0,'Nominal Increments'!T109,0)))</f>
        <v>0</v>
      </c>
    </row>
    <row r="110" spans="1:20" x14ac:dyDescent="0.2">
      <c r="A110" s="86">
        <f t="shared" si="5"/>
        <v>2648</v>
      </c>
      <c r="B110" s="142">
        <f t="shared" si="6"/>
        <v>88</v>
      </c>
      <c r="C110" s="143">
        <f t="shared" si="7"/>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50">
        <f>IF(B110="NA","NA",IF(ISNUMBER(VLOOKUP($C110,'A4 Investment'!$A$24:$G$33,7,FALSE)),VLOOKUP($C110,'A4 Investment'!$A$24:$G$33,7,FALSE)*'A4 Investment'!G$18/12,0))</f>
        <v>0</v>
      </c>
      <c r="I110" s="151">
        <f t="shared" si="8"/>
        <v>8904.1666666666661</v>
      </c>
      <c r="J110" s="159">
        <f t="shared" si="9"/>
        <v>8904.1666666666661</v>
      </c>
      <c r="K110" s="150">
        <f>IF($B110="NA","NA",-PV(DiscountRate/12,0,0,'Nominal Increments'!K110,0))</f>
        <v>8904.1666666666661</v>
      </c>
      <c r="L110" s="150">
        <f>IF($B110="NA","NA",IF($A$10=0,0,-PV(DiscountRate/12,$D$9,0,'Nominal Increments'!L110,0)))</f>
        <v>0</v>
      </c>
      <c r="M110" s="150">
        <f>IF($B110="NA","NA",IF($A$11=0,0,-PV(DiscountRate/12,$D$10,0,'Nominal Increments'!M110,0)))</f>
        <v>0</v>
      </c>
      <c r="N110" s="150">
        <f>IF($B110="NA","NA",IF($A$12=0,0,-PV(DiscountRate/12,$D$11,0,'Nominal Increments'!N110,0)))</f>
        <v>0</v>
      </c>
      <c r="O110" s="150">
        <f>IF($B110="NA","NA",IF($A$13=0,0,-PV(DiscountRate/12,$D$12,0,'Nominal Increments'!O110,0)))</f>
        <v>0</v>
      </c>
      <c r="P110" s="150">
        <f>IF($B110="NA","NA",IF($A$14=0,0,-PV(DiscountRate/12,$D$13,0,'Nominal Increments'!P110,0)))</f>
        <v>0</v>
      </c>
      <c r="Q110" s="150">
        <f>IF($B110="NA","NA",IF($A$15=0,0,-PV(DiscountRate/12,$D$14,0,'Nominal Increments'!Q110,0)))</f>
        <v>0</v>
      </c>
      <c r="R110" s="150">
        <f>IF($B110="NA","NA",IF($A$16=0,0,-PV(DiscountRate/12,$D$15,0,'Nominal Increments'!R110,0)))</f>
        <v>0</v>
      </c>
      <c r="S110" s="150">
        <f>IF($B110="NA","NA",IF($A$17=0,0,-PV(DiscountRate/12,$D$16,0,'Nominal Increments'!S110,0)))</f>
        <v>0</v>
      </c>
      <c r="T110" s="151">
        <f>IF($B110="NA","NA",IF($A$18=0,0,-PV(DiscountRate/12,$D$17,0,'Nominal Increments'!T110,0)))</f>
        <v>0</v>
      </c>
    </row>
    <row r="111" spans="1:20" x14ac:dyDescent="0.2">
      <c r="A111" s="86">
        <f t="shared" si="5"/>
        <v>2678</v>
      </c>
      <c r="B111" s="142">
        <f t="shared" si="6"/>
        <v>89</v>
      </c>
      <c r="C111" s="143">
        <f t="shared" si="7"/>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50">
        <f>IF(B111="NA","NA",IF(ISNUMBER(VLOOKUP($C111,'A4 Investment'!$A$24:$G$33,7,FALSE)),VLOOKUP($C111,'A4 Investment'!$A$24:$G$33,7,FALSE)*'A4 Investment'!G$18/12,0))</f>
        <v>0</v>
      </c>
      <c r="I111" s="151">
        <f t="shared" si="8"/>
        <v>8904.1666666666661</v>
      </c>
      <c r="J111" s="159">
        <f t="shared" si="9"/>
        <v>8904.1666666666661</v>
      </c>
      <c r="K111" s="150">
        <f>IF($B111="NA","NA",-PV(DiscountRate/12,0,0,'Nominal Increments'!K111,0))</f>
        <v>8904.1666666666661</v>
      </c>
      <c r="L111" s="150">
        <f>IF($B111="NA","NA",IF($A$10=0,0,-PV(DiscountRate/12,$D$9,0,'Nominal Increments'!L111,0)))</f>
        <v>0</v>
      </c>
      <c r="M111" s="150">
        <f>IF($B111="NA","NA",IF($A$11=0,0,-PV(DiscountRate/12,$D$10,0,'Nominal Increments'!M111,0)))</f>
        <v>0</v>
      </c>
      <c r="N111" s="150">
        <f>IF($B111="NA","NA",IF($A$12=0,0,-PV(DiscountRate/12,$D$11,0,'Nominal Increments'!N111,0)))</f>
        <v>0</v>
      </c>
      <c r="O111" s="150">
        <f>IF($B111="NA","NA",IF($A$13=0,0,-PV(DiscountRate/12,$D$12,0,'Nominal Increments'!O111,0)))</f>
        <v>0</v>
      </c>
      <c r="P111" s="150">
        <f>IF($B111="NA","NA",IF($A$14=0,0,-PV(DiscountRate/12,$D$13,0,'Nominal Increments'!P111,0)))</f>
        <v>0</v>
      </c>
      <c r="Q111" s="150">
        <f>IF($B111="NA","NA",IF($A$15=0,0,-PV(DiscountRate/12,$D$14,0,'Nominal Increments'!Q111,0)))</f>
        <v>0</v>
      </c>
      <c r="R111" s="150">
        <f>IF($B111="NA","NA",IF($A$16=0,0,-PV(DiscountRate/12,$D$15,0,'Nominal Increments'!R111,0)))</f>
        <v>0</v>
      </c>
      <c r="S111" s="150">
        <f>IF($B111="NA","NA",IF($A$17=0,0,-PV(DiscountRate/12,$D$16,0,'Nominal Increments'!S111,0)))</f>
        <v>0</v>
      </c>
      <c r="T111" s="151">
        <f>IF($B111="NA","NA",IF($A$18=0,0,-PV(DiscountRate/12,$D$17,0,'Nominal Increments'!T111,0)))</f>
        <v>0</v>
      </c>
    </row>
    <row r="112" spans="1:20" x14ac:dyDescent="0.2">
      <c r="A112" s="86">
        <f t="shared" si="5"/>
        <v>2709</v>
      </c>
      <c r="B112" s="142">
        <f t="shared" si="6"/>
        <v>90</v>
      </c>
      <c r="C112" s="143">
        <f t="shared" si="7"/>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50">
        <f>IF(B112="NA","NA",IF(ISNUMBER(VLOOKUP($C112,'A4 Investment'!$A$24:$G$33,7,FALSE)),VLOOKUP($C112,'A4 Investment'!$A$24:$G$33,7,FALSE)*'A4 Investment'!G$18/12,0))</f>
        <v>0</v>
      </c>
      <c r="I112" s="151">
        <f t="shared" si="8"/>
        <v>8904.1666666666661</v>
      </c>
      <c r="J112" s="159">
        <f t="shared" si="9"/>
        <v>8904.1666666666661</v>
      </c>
      <c r="K112" s="150">
        <f>IF($B112="NA","NA",-PV(DiscountRate/12,0,0,'Nominal Increments'!K112,0))</f>
        <v>8904.1666666666661</v>
      </c>
      <c r="L112" s="150">
        <f>IF($B112="NA","NA",IF($A$10=0,0,-PV(DiscountRate/12,$D$9,0,'Nominal Increments'!L112,0)))</f>
        <v>0</v>
      </c>
      <c r="M112" s="150">
        <f>IF($B112="NA","NA",IF($A$11=0,0,-PV(DiscountRate/12,$D$10,0,'Nominal Increments'!M112,0)))</f>
        <v>0</v>
      </c>
      <c r="N112" s="150">
        <f>IF($B112="NA","NA",IF($A$12=0,0,-PV(DiscountRate/12,$D$11,0,'Nominal Increments'!N112,0)))</f>
        <v>0</v>
      </c>
      <c r="O112" s="150">
        <f>IF($B112="NA","NA",IF($A$13=0,0,-PV(DiscountRate/12,$D$12,0,'Nominal Increments'!O112,0)))</f>
        <v>0</v>
      </c>
      <c r="P112" s="150">
        <f>IF($B112="NA","NA",IF($A$14=0,0,-PV(DiscountRate/12,$D$13,0,'Nominal Increments'!P112,0)))</f>
        <v>0</v>
      </c>
      <c r="Q112" s="150">
        <f>IF($B112="NA","NA",IF($A$15=0,0,-PV(DiscountRate/12,$D$14,0,'Nominal Increments'!Q112,0)))</f>
        <v>0</v>
      </c>
      <c r="R112" s="150">
        <f>IF($B112="NA","NA",IF($A$16=0,0,-PV(DiscountRate/12,$D$15,0,'Nominal Increments'!R112,0)))</f>
        <v>0</v>
      </c>
      <c r="S112" s="150">
        <f>IF($B112="NA","NA",IF($A$17=0,0,-PV(DiscountRate/12,$D$16,0,'Nominal Increments'!S112,0)))</f>
        <v>0</v>
      </c>
      <c r="T112" s="151">
        <f>IF($B112="NA","NA",IF($A$18=0,0,-PV(DiscountRate/12,$D$17,0,'Nominal Increments'!T112,0)))</f>
        <v>0</v>
      </c>
    </row>
    <row r="113" spans="1:20" x14ac:dyDescent="0.2">
      <c r="A113" s="86">
        <f t="shared" si="5"/>
        <v>2739</v>
      </c>
      <c r="B113" s="142">
        <f t="shared" si="6"/>
        <v>91</v>
      </c>
      <c r="C113" s="143">
        <f t="shared" si="7"/>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50">
        <f>IF(B113="NA","NA",IF(ISNUMBER(VLOOKUP($C113,'A4 Investment'!$A$24:$G$33,7,FALSE)),VLOOKUP($C113,'A4 Investment'!$A$24:$G$33,7,FALSE)*'A4 Investment'!G$18/12,0))</f>
        <v>0</v>
      </c>
      <c r="I113" s="151">
        <f t="shared" si="8"/>
        <v>8904.1666666666661</v>
      </c>
      <c r="J113" s="159">
        <f t="shared" si="9"/>
        <v>8904.1666666666661</v>
      </c>
      <c r="K113" s="150">
        <f>IF($B113="NA","NA",-PV(DiscountRate/12,0,0,'Nominal Increments'!K113,0))</f>
        <v>8904.1666666666661</v>
      </c>
      <c r="L113" s="150">
        <f>IF($B113="NA","NA",IF($A$10=0,0,-PV(DiscountRate/12,$D$9,0,'Nominal Increments'!L113,0)))</f>
        <v>0</v>
      </c>
      <c r="M113" s="150">
        <f>IF($B113="NA","NA",IF($A$11=0,0,-PV(DiscountRate/12,$D$10,0,'Nominal Increments'!M113,0)))</f>
        <v>0</v>
      </c>
      <c r="N113" s="150">
        <f>IF($B113="NA","NA",IF($A$12=0,0,-PV(DiscountRate/12,$D$11,0,'Nominal Increments'!N113,0)))</f>
        <v>0</v>
      </c>
      <c r="O113" s="150">
        <f>IF($B113="NA","NA",IF($A$13=0,0,-PV(DiscountRate/12,$D$12,0,'Nominal Increments'!O113,0)))</f>
        <v>0</v>
      </c>
      <c r="P113" s="150">
        <f>IF($B113="NA","NA",IF($A$14=0,0,-PV(DiscountRate/12,$D$13,0,'Nominal Increments'!P113,0)))</f>
        <v>0</v>
      </c>
      <c r="Q113" s="150">
        <f>IF($B113="NA","NA",IF($A$15=0,0,-PV(DiscountRate/12,$D$14,0,'Nominal Increments'!Q113,0)))</f>
        <v>0</v>
      </c>
      <c r="R113" s="150">
        <f>IF($B113="NA","NA",IF($A$16=0,0,-PV(DiscountRate/12,$D$15,0,'Nominal Increments'!R113,0)))</f>
        <v>0</v>
      </c>
      <c r="S113" s="150">
        <f>IF($B113="NA","NA",IF($A$17=0,0,-PV(DiscountRate/12,$D$16,0,'Nominal Increments'!S113,0)))</f>
        <v>0</v>
      </c>
      <c r="T113" s="151">
        <f>IF($B113="NA","NA",IF($A$18=0,0,-PV(DiscountRate/12,$D$17,0,'Nominal Increments'!T113,0)))</f>
        <v>0</v>
      </c>
    </row>
    <row r="114" spans="1:20" x14ac:dyDescent="0.2">
      <c r="A114" s="86">
        <f t="shared" si="5"/>
        <v>2770</v>
      </c>
      <c r="B114" s="142">
        <f t="shared" si="6"/>
        <v>92</v>
      </c>
      <c r="C114" s="143">
        <f t="shared" si="7"/>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50">
        <f>IF(B114="NA","NA",IF(ISNUMBER(VLOOKUP($C114,'A4 Investment'!$A$24:$G$33,7,FALSE)),VLOOKUP($C114,'A4 Investment'!$A$24:$G$33,7,FALSE)*'A4 Investment'!G$18/12,0))</f>
        <v>0</v>
      </c>
      <c r="I114" s="151">
        <f t="shared" si="8"/>
        <v>8904.1666666666661</v>
      </c>
      <c r="J114" s="159">
        <f t="shared" si="9"/>
        <v>8904.1666666666661</v>
      </c>
      <c r="K114" s="150">
        <f>IF($B114="NA","NA",-PV(DiscountRate/12,0,0,'Nominal Increments'!K114,0))</f>
        <v>8904.1666666666661</v>
      </c>
      <c r="L114" s="150">
        <f>IF($B114="NA","NA",IF($A$10=0,0,-PV(DiscountRate/12,$D$9,0,'Nominal Increments'!L114,0)))</f>
        <v>0</v>
      </c>
      <c r="M114" s="150">
        <f>IF($B114="NA","NA",IF($A$11=0,0,-PV(DiscountRate/12,$D$10,0,'Nominal Increments'!M114,0)))</f>
        <v>0</v>
      </c>
      <c r="N114" s="150">
        <f>IF($B114="NA","NA",IF($A$12=0,0,-PV(DiscountRate/12,$D$11,0,'Nominal Increments'!N114,0)))</f>
        <v>0</v>
      </c>
      <c r="O114" s="150">
        <f>IF($B114="NA","NA",IF($A$13=0,0,-PV(DiscountRate/12,$D$12,0,'Nominal Increments'!O114,0)))</f>
        <v>0</v>
      </c>
      <c r="P114" s="150">
        <f>IF($B114="NA","NA",IF($A$14=0,0,-PV(DiscountRate/12,$D$13,0,'Nominal Increments'!P114,0)))</f>
        <v>0</v>
      </c>
      <c r="Q114" s="150">
        <f>IF($B114="NA","NA",IF($A$15=0,0,-PV(DiscountRate/12,$D$14,0,'Nominal Increments'!Q114,0)))</f>
        <v>0</v>
      </c>
      <c r="R114" s="150">
        <f>IF($B114="NA","NA",IF($A$16=0,0,-PV(DiscountRate/12,$D$15,0,'Nominal Increments'!R114,0)))</f>
        <v>0</v>
      </c>
      <c r="S114" s="150">
        <f>IF($B114="NA","NA",IF($A$17=0,0,-PV(DiscountRate/12,$D$16,0,'Nominal Increments'!S114,0)))</f>
        <v>0</v>
      </c>
      <c r="T114" s="151">
        <f>IF($B114="NA","NA",IF($A$18=0,0,-PV(DiscountRate/12,$D$17,0,'Nominal Increments'!T114,0)))</f>
        <v>0</v>
      </c>
    </row>
    <row r="115" spans="1:20" x14ac:dyDescent="0.2">
      <c r="A115" s="86">
        <f t="shared" si="5"/>
        <v>2801</v>
      </c>
      <c r="B115" s="142">
        <f t="shared" si="6"/>
        <v>93</v>
      </c>
      <c r="C115" s="143">
        <f t="shared" si="7"/>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50">
        <f>IF(B115="NA","NA",IF(ISNUMBER(VLOOKUP($C115,'A4 Investment'!$A$24:$G$33,7,FALSE)),VLOOKUP($C115,'A4 Investment'!$A$24:$G$33,7,FALSE)*'A4 Investment'!G$18/12,0))</f>
        <v>0</v>
      </c>
      <c r="I115" s="151">
        <f t="shared" si="8"/>
        <v>8904.1666666666661</v>
      </c>
      <c r="J115" s="159">
        <f t="shared" si="9"/>
        <v>8904.1666666666661</v>
      </c>
      <c r="K115" s="150">
        <f>IF($B115="NA","NA",-PV(DiscountRate/12,0,0,'Nominal Increments'!K115,0))</f>
        <v>8904.1666666666661</v>
      </c>
      <c r="L115" s="150">
        <f>IF($B115="NA","NA",IF($A$10=0,0,-PV(DiscountRate/12,$D$9,0,'Nominal Increments'!L115,0)))</f>
        <v>0</v>
      </c>
      <c r="M115" s="150">
        <f>IF($B115="NA","NA",IF($A$11=0,0,-PV(DiscountRate/12,$D$10,0,'Nominal Increments'!M115,0)))</f>
        <v>0</v>
      </c>
      <c r="N115" s="150">
        <f>IF($B115="NA","NA",IF($A$12=0,0,-PV(DiscountRate/12,$D$11,0,'Nominal Increments'!N115,0)))</f>
        <v>0</v>
      </c>
      <c r="O115" s="150">
        <f>IF($B115="NA","NA",IF($A$13=0,0,-PV(DiscountRate/12,$D$12,0,'Nominal Increments'!O115,0)))</f>
        <v>0</v>
      </c>
      <c r="P115" s="150">
        <f>IF($B115="NA","NA",IF($A$14=0,0,-PV(DiscountRate/12,$D$13,0,'Nominal Increments'!P115,0)))</f>
        <v>0</v>
      </c>
      <c r="Q115" s="150">
        <f>IF($B115="NA","NA",IF($A$15=0,0,-PV(DiscountRate/12,$D$14,0,'Nominal Increments'!Q115,0)))</f>
        <v>0</v>
      </c>
      <c r="R115" s="150">
        <f>IF($B115="NA","NA",IF($A$16=0,0,-PV(DiscountRate/12,$D$15,0,'Nominal Increments'!R115,0)))</f>
        <v>0</v>
      </c>
      <c r="S115" s="150">
        <f>IF($B115="NA","NA",IF($A$17=0,0,-PV(DiscountRate/12,$D$16,0,'Nominal Increments'!S115,0)))</f>
        <v>0</v>
      </c>
      <c r="T115" s="151">
        <f>IF($B115="NA","NA",IF($A$18=0,0,-PV(DiscountRate/12,$D$17,0,'Nominal Increments'!T115,0)))</f>
        <v>0</v>
      </c>
    </row>
    <row r="116" spans="1:20" x14ac:dyDescent="0.2">
      <c r="A116" s="86">
        <f t="shared" si="5"/>
        <v>2831</v>
      </c>
      <c r="B116" s="142">
        <f t="shared" si="6"/>
        <v>94</v>
      </c>
      <c r="C116" s="143">
        <f t="shared" si="7"/>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50">
        <f>IF(B116="NA","NA",IF(ISNUMBER(VLOOKUP($C116,'A4 Investment'!$A$24:$G$33,7,FALSE)),VLOOKUP($C116,'A4 Investment'!$A$24:$G$33,7,FALSE)*'A4 Investment'!G$18/12,0))</f>
        <v>0</v>
      </c>
      <c r="I116" s="151">
        <f t="shared" si="8"/>
        <v>8904.1666666666661</v>
      </c>
      <c r="J116" s="159">
        <f t="shared" si="9"/>
        <v>8904.1666666666661</v>
      </c>
      <c r="K116" s="150">
        <f>IF($B116="NA","NA",-PV(DiscountRate/12,0,0,'Nominal Increments'!K116,0))</f>
        <v>8904.1666666666661</v>
      </c>
      <c r="L116" s="150">
        <f>IF($B116="NA","NA",IF($A$10=0,0,-PV(DiscountRate/12,$D$9,0,'Nominal Increments'!L116,0)))</f>
        <v>0</v>
      </c>
      <c r="M116" s="150">
        <f>IF($B116="NA","NA",IF($A$11=0,0,-PV(DiscountRate/12,$D$10,0,'Nominal Increments'!M116,0)))</f>
        <v>0</v>
      </c>
      <c r="N116" s="150">
        <f>IF($B116="NA","NA",IF($A$12=0,0,-PV(DiscountRate/12,$D$11,0,'Nominal Increments'!N116,0)))</f>
        <v>0</v>
      </c>
      <c r="O116" s="150">
        <f>IF($B116="NA","NA",IF($A$13=0,0,-PV(DiscountRate/12,$D$12,0,'Nominal Increments'!O116,0)))</f>
        <v>0</v>
      </c>
      <c r="P116" s="150">
        <f>IF($B116="NA","NA",IF($A$14=0,0,-PV(DiscountRate/12,$D$13,0,'Nominal Increments'!P116,0)))</f>
        <v>0</v>
      </c>
      <c r="Q116" s="150">
        <f>IF($B116="NA","NA",IF($A$15=0,0,-PV(DiscountRate/12,$D$14,0,'Nominal Increments'!Q116,0)))</f>
        <v>0</v>
      </c>
      <c r="R116" s="150">
        <f>IF($B116="NA","NA",IF($A$16=0,0,-PV(DiscountRate/12,$D$15,0,'Nominal Increments'!R116,0)))</f>
        <v>0</v>
      </c>
      <c r="S116" s="150">
        <f>IF($B116="NA","NA",IF($A$17=0,0,-PV(DiscountRate/12,$D$16,0,'Nominal Increments'!S116,0)))</f>
        <v>0</v>
      </c>
      <c r="T116" s="151">
        <f>IF($B116="NA","NA",IF($A$18=0,0,-PV(DiscountRate/12,$D$17,0,'Nominal Increments'!T116,0)))</f>
        <v>0</v>
      </c>
    </row>
    <row r="117" spans="1:20" x14ac:dyDescent="0.2">
      <c r="A117" s="86">
        <f t="shared" si="5"/>
        <v>2862</v>
      </c>
      <c r="B117" s="142">
        <f t="shared" si="6"/>
        <v>95</v>
      </c>
      <c r="C117" s="143">
        <f t="shared" si="7"/>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50">
        <f>IF(B117="NA","NA",IF(ISNUMBER(VLOOKUP($C117,'A4 Investment'!$A$24:$G$33,7,FALSE)),VLOOKUP($C117,'A4 Investment'!$A$24:$G$33,7,FALSE)*'A4 Investment'!G$18/12,0))</f>
        <v>0</v>
      </c>
      <c r="I117" s="151">
        <f t="shared" si="8"/>
        <v>8904.1666666666661</v>
      </c>
      <c r="J117" s="159">
        <f t="shared" si="9"/>
        <v>8904.1666666666661</v>
      </c>
      <c r="K117" s="150">
        <f>IF($B117="NA","NA",-PV(DiscountRate/12,0,0,'Nominal Increments'!K117,0))</f>
        <v>8904.1666666666661</v>
      </c>
      <c r="L117" s="150">
        <f>IF($B117="NA","NA",IF($A$10=0,0,-PV(DiscountRate/12,$D$9,0,'Nominal Increments'!L117,0)))</f>
        <v>0</v>
      </c>
      <c r="M117" s="150">
        <f>IF($B117="NA","NA",IF($A$11=0,0,-PV(DiscountRate/12,$D$10,0,'Nominal Increments'!M117,0)))</f>
        <v>0</v>
      </c>
      <c r="N117" s="150">
        <f>IF($B117="NA","NA",IF($A$12=0,0,-PV(DiscountRate/12,$D$11,0,'Nominal Increments'!N117,0)))</f>
        <v>0</v>
      </c>
      <c r="O117" s="150">
        <f>IF($B117="NA","NA",IF($A$13=0,0,-PV(DiscountRate/12,$D$12,0,'Nominal Increments'!O117,0)))</f>
        <v>0</v>
      </c>
      <c r="P117" s="150">
        <f>IF($B117="NA","NA",IF($A$14=0,0,-PV(DiscountRate/12,$D$13,0,'Nominal Increments'!P117,0)))</f>
        <v>0</v>
      </c>
      <c r="Q117" s="150">
        <f>IF($B117="NA","NA",IF($A$15=0,0,-PV(DiscountRate/12,$D$14,0,'Nominal Increments'!Q117,0)))</f>
        <v>0</v>
      </c>
      <c r="R117" s="150">
        <f>IF($B117="NA","NA",IF($A$16=0,0,-PV(DiscountRate/12,$D$15,0,'Nominal Increments'!R117,0)))</f>
        <v>0</v>
      </c>
      <c r="S117" s="150">
        <f>IF($B117="NA","NA",IF($A$17=0,0,-PV(DiscountRate/12,$D$16,0,'Nominal Increments'!S117,0)))</f>
        <v>0</v>
      </c>
      <c r="T117" s="151">
        <f>IF($B117="NA","NA",IF($A$18=0,0,-PV(DiscountRate/12,$D$17,0,'Nominal Increments'!T117,0)))</f>
        <v>0</v>
      </c>
    </row>
    <row r="118" spans="1:20" x14ac:dyDescent="0.2">
      <c r="A118" s="86">
        <f t="shared" si="5"/>
        <v>2892</v>
      </c>
      <c r="B118" s="142">
        <f t="shared" si="6"/>
        <v>96</v>
      </c>
      <c r="C118" s="143">
        <f t="shared" si="7"/>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50">
        <f>IF(B118="NA","NA",IF(ISNUMBER(VLOOKUP($C118,'A4 Investment'!$A$24:$G$33,7,FALSE)),VLOOKUP($C118,'A4 Investment'!$A$24:$G$33,7,FALSE)*'A4 Investment'!G$18/12,0))</f>
        <v>0</v>
      </c>
      <c r="I118" s="151">
        <f t="shared" si="8"/>
        <v>8904.1666666666661</v>
      </c>
      <c r="J118" s="159">
        <f t="shared" si="9"/>
        <v>8904.1666666666661</v>
      </c>
      <c r="K118" s="150">
        <f>IF($B118="NA","NA",-PV(DiscountRate/12,0,0,'Nominal Increments'!K118,0))</f>
        <v>8904.1666666666661</v>
      </c>
      <c r="L118" s="150">
        <f>IF($B118="NA","NA",IF($A$10=0,0,-PV(DiscountRate/12,$D$9,0,'Nominal Increments'!L118,0)))</f>
        <v>0</v>
      </c>
      <c r="M118" s="150">
        <f>IF($B118="NA","NA",IF($A$11=0,0,-PV(DiscountRate/12,$D$10,0,'Nominal Increments'!M118,0)))</f>
        <v>0</v>
      </c>
      <c r="N118" s="150">
        <f>IF($B118="NA","NA",IF($A$12=0,0,-PV(DiscountRate/12,$D$11,0,'Nominal Increments'!N118,0)))</f>
        <v>0</v>
      </c>
      <c r="O118" s="150">
        <f>IF($B118="NA","NA",IF($A$13=0,0,-PV(DiscountRate/12,$D$12,0,'Nominal Increments'!O118,0)))</f>
        <v>0</v>
      </c>
      <c r="P118" s="150">
        <f>IF($B118="NA","NA",IF($A$14=0,0,-PV(DiscountRate/12,$D$13,0,'Nominal Increments'!P118,0)))</f>
        <v>0</v>
      </c>
      <c r="Q118" s="150">
        <f>IF($B118="NA","NA",IF($A$15=0,0,-PV(DiscountRate/12,$D$14,0,'Nominal Increments'!Q118,0)))</f>
        <v>0</v>
      </c>
      <c r="R118" s="150">
        <f>IF($B118="NA","NA",IF($A$16=0,0,-PV(DiscountRate/12,$D$15,0,'Nominal Increments'!R118,0)))</f>
        <v>0</v>
      </c>
      <c r="S118" s="150">
        <f>IF($B118="NA","NA",IF($A$17=0,0,-PV(DiscountRate/12,$D$16,0,'Nominal Increments'!S118,0)))</f>
        <v>0</v>
      </c>
      <c r="T118" s="151">
        <f>IF($B118="NA","NA",IF($A$18=0,0,-PV(DiscountRate/12,$D$17,0,'Nominal Increments'!T118,0)))</f>
        <v>0</v>
      </c>
    </row>
    <row r="119" spans="1:20" x14ac:dyDescent="0.2">
      <c r="A119" s="86">
        <f t="shared" si="5"/>
        <v>2923</v>
      </c>
      <c r="B119" s="142">
        <f t="shared" si="6"/>
        <v>97</v>
      </c>
      <c r="C119" s="143">
        <f t="shared" si="7"/>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50">
        <f>IF(B119="NA","NA",IF(ISNUMBER(VLOOKUP($C119,'A4 Investment'!$A$24:$G$33,7,FALSE)),VLOOKUP($C119,'A4 Investment'!$A$24:$G$33,7,FALSE)*'A4 Investment'!G$18/12,0))</f>
        <v>0</v>
      </c>
      <c r="I119" s="151">
        <f t="shared" si="8"/>
        <v>8904.1666666666661</v>
      </c>
      <c r="J119" s="159">
        <f t="shared" si="9"/>
        <v>8904.1666666666661</v>
      </c>
      <c r="K119" s="150">
        <f>IF($B119="NA","NA",-PV(DiscountRate/12,0,0,'Nominal Increments'!K119,0))</f>
        <v>8904.1666666666661</v>
      </c>
      <c r="L119" s="150">
        <f>IF($B119="NA","NA",IF($A$10=0,0,-PV(DiscountRate/12,$D$9,0,'Nominal Increments'!L119,0)))</f>
        <v>0</v>
      </c>
      <c r="M119" s="150">
        <f>IF($B119="NA","NA",IF($A$11=0,0,-PV(DiscountRate/12,$D$10,0,'Nominal Increments'!M119,0)))</f>
        <v>0</v>
      </c>
      <c r="N119" s="150">
        <f>IF($B119="NA","NA",IF($A$12=0,0,-PV(DiscountRate/12,$D$11,0,'Nominal Increments'!N119,0)))</f>
        <v>0</v>
      </c>
      <c r="O119" s="150">
        <f>IF($B119="NA","NA",IF($A$13=0,0,-PV(DiscountRate/12,$D$12,0,'Nominal Increments'!O119,0)))</f>
        <v>0</v>
      </c>
      <c r="P119" s="150">
        <f>IF($B119="NA","NA",IF($A$14=0,0,-PV(DiscountRate/12,$D$13,0,'Nominal Increments'!P119,0)))</f>
        <v>0</v>
      </c>
      <c r="Q119" s="150">
        <f>IF($B119="NA","NA",IF($A$15=0,0,-PV(DiscountRate/12,$D$14,0,'Nominal Increments'!Q119,0)))</f>
        <v>0</v>
      </c>
      <c r="R119" s="150">
        <f>IF($B119="NA","NA",IF($A$16=0,0,-PV(DiscountRate/12,$D$15,0,'Nominal Increments'!R119,0)))</f>
        <v>0</v>
      </c>
      <c r="S119" s="150">
        <f>IF($B119="NA","NA",IF($A$17=0,0,-PV(DiscountRate/12,$D$16,0,'Nominal Increments'!S119,0)))</f>
        <v>0</v>
      </c>
      <c r="T119" s="151">
        <f>IF($B119="NA","NA",IF($A$18=0,0,-PV(DiscountRate/12,$D$17,0,'Nominal Increments'!T119,0)))</f>
        <v>0</v>
      </c>
    </row>
    <row r="120" spans="1:20" x14ac:dyDescent="0.2">
      <c r="A120" s="86">
        <f t="shared" si="5"/>
        <v>2954</v>
      </c>
      <c r="B120" s="142">
        <f t="shared" si="6"/>
        <v>98</v>
      </c>
      <c r="C120" s="143">
        <f t="shared" si="7"/>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50">
        <f>IF(B120="NA","NA",IF(ISNUMBER(VLOOKUP($C120,'A4 Investment'!$A$24:$G$33,7,FALSE)),VLOOKUP($C120,'A4 Investment'!$A$24:$G$33,7,FALSE)*'A4 Investment'!G$18/12,0))</f>
        <v>0</v>
      </c>
      <c r="I120" s="151">
        <f t="shared" si="8"/>
        <v>8904.1666666666661</v>
      </c>
      <c r="J120" s="159">
        <f t="shared" si="9"/>
        <v>8904.1666666666661</v>
      </c>
      <c r="K120" s="150">
        <f>IF($B120="NA","NA",-PV(DiscountRate/12,0,0,'Nominal Increments'!K120,0))</f>
        <v>8904.1666666666661</v>
      </c>
      <c r="L120" s="150">
        <f>IF($B120="NA","NA",IF($A$10=0,0,-PV(DiscountRate/12,$D$9,0,'Nominal Increments'!L120,0)))</f>
        <v>0</v>
      </c>
      <c r="M120" s="150">
        <f>IF($B120="NA","NA",IF($A$11=0,0,-PV(DiscountRate/12,$D$10,0,'Nominal Increments'!M120,0)))</f>
        <v>0</v>
      </c>
      <c r="N120" s="150">
        <f>IF($B120="NA","NA",IF($A$12=0,0,-PV(DiscountRate/12,$D$11,0,'Nominal Increments'!N120,0)))</f>
        <v>0</v>
      </c>
      <c r="O120" s="150">
        <f>IF($B120="NA","NA",IF($A$13=0,0,-PV(DiscountRate/12,$D$12,0,'Nominal Increments'!O120,0)))</f>
        <v>0</v>
      </c>
      <c r="P120" s="150">
        <f>IF($B120="NA","NA",IF($A$14=0,0,-PV(DiscountRate/12,$D$13,0,'Nominal Increments'!P120,0)))</f>
        <v>0</v>
      </c>
      <c r="Q120" s="150">
        <f>IF($B120="NA","NA",IF($A$15=0,0,-PV(DiscountRate/12,$D$14,0,'Nominal Increments'!Q120,0)))</f>
        <v>0</v>
      </c>
      <c r="R120" s="150">
        <f>IF($B120="NA","NA",IF($A$16=0,0,-PV(DiscountRate/12,$D$15,0,'Nominal Increments'!R120,0)))</f>
        <v>0</v>
      </c>
      <c r="S120" s="150">
        <f>IF($B120="NA","NA",IF($A$17=0,0,-PV(DiscountRate/12,$D$16,0,'Nominal Increments'!S120,0)))</f>
        <v>0</v>
      </c>
      <c r="T120" s="151">
        <f>IF($B120="NA","NA",IF($A$18=0,0,-PV(DiscountRate/12,$D$17,0,'Nominal Increments'!T120,0)))</f>
        <v>0</v>
      </c>
    </row>
    <row r="121" spans="1:20" x14ac:dyDescent="0.2">
      <c r="A121" s="86">
        <f t="shared" si="5"/>
        <v>2983</v>
      </c>
      <c r="B121" s="142">
        <f t="shared" si="6"/>
        <v>99</v>
      </c>
      <c r="C121" s="143">
        <f t="shared" si="7"/>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50">
        <f>IF(B121="NA","NA",IF(ISNUMBER(VLOOKUP($C121,'A4 Investment'!$A$24:$G$33,7,FALSE)),VLOOKUP($C121,'A4 Investment'!$A$24:$G$33,7,FALSE)*'A4 Investment'!G$18/12,0))</f>
        <v>0</v>
      </c>
      <c r="I121" s="151">
        <f t="shared" si="8"/>
        <v>8904.1666666666661</v>
      </c>
      <c r="J121" s="159">
        <f t="shared" si="9"/>
        <v>8904.1666666666661</v>
      </c>
      <c r="K121" s="150">
        <f>IF($B121="NA","NA",-PV(DiscountRate/12,0,0,'Nominal Increments'!K121,0))</f>
        <v>8904.1666666666661</v>
      </c>
      <c r="L121" s="150">
        <f>IF($B121="NA","NA",IF($A$10=0,0,-PV(DiscountRate/12,$D$9,0,'Nominal Increments'!L121,0)))</f>
        <v>0</v>
      </c>
      <c r="M121" s="150">
        <f>IF($B121="NA","NA",IF($A$11=0,0,-PV(DiscountRate/12,$D$10,0,'Nominal Increments'!M121,0)))</f>
        <v>0</v>
      </c>
      <c r="N121" s="150">
        <f>IF($B121="NA","NA",IF($A$12=0,0,-PV(DiscountRate/12,$D$11,0,'Nominal Increments'!N121,0)))</f>
        <v>0</v>
      </c>
      <c r="O121" s="150">
        <f>IF($B121="NA","NA",IF($A$13=0,0,-PV(DiscountRate/12,$D$12,0,'Nominal Increments'!O121,0)))</f>
        <v>0</v>
      </c>
      <c r="P121" s="150">
        <f>IF($B121="NA","NA",IF($A$14=0,0,-PV(DiscountRate/12,$D$13,0,'Nominal Increments'!P121,0)))</f>
        <v>0</v>
      </c>
      <c r="Q121" s="150">
        <f>IF($B121="NA","NA",IF($A$15=0,0,-PV(DiscountRate/12,$D$14,0,'Nominal Increments'!Q121,0)))</f>
        <v>0</v>
      </c>
      <c r="R121" s="150">
        <f>IF($B121="NA","NA",IF($A$16=0,0,-PV(DiscountRate/12,$D$15,0,'Nominal Increments'!R121,0)))</f>
        <v>0</v>
      </c>
      <c r="S121" s="150">
        <f>IF($B121="NA","NA",IF($A$17=0,0,-PV(DiscountRate/12,$D$16,0,'Nominal Increments'!S121,0)))</f>
        <v>0</v>
      </c>
      <c r="T121" s="151">
        <f>IF($B121="NA","NA",IF($A$18=0,0,-PV(DiscountRate/12,$D$17,0,'Nominal Increments'!T121,0)))</f>
        <v>0</v>
      </c>
    </row>
    <row r="122" spans="1:20" x14ac:dyDescent="0.2">
      <c r="A122" s="86">
        <f t="shared" si="5"/>
        <v>3014</v>
      </c>
      <c r="B122" s="142">
        <f t="shared" si="6"/>
        <v>100</v>
      </c>
      <c r="C122" s="143">
        <f t="shared" si="7"/>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50">
        <f>IF(B122="NA","NA",IF(ISNUMBER(VLOOKUP($C122,'A4 Investment'!$A$24:$G$33,7,FALSE)),VLOOKUP($C122,'A4 Investment'!$A$24:$G$33,7,FALSE)*'A4 Investment'!G$18/12,0))</f>
        <v>0</v>
      </c>
      <c r="I122" s="151">
        <f t="shared" si="8"/>
        <v>8904.1666666666661</v>
      </c>
      <c r="J122" s="159">
        <f t="shared" si="9"/>
        <v>8904.1666666666661</v>
      </c>
      <c r="K122" s="150">
        <f>IF($B122="NA","NA",-PV(DiscountRate/12,0,0,'Nominal Increments'!K122,0))</f>
        <v>8904.1666666666661</v>
      </c>
      <c r="L122" s="150">
        <f>IF($B122="NA","NA",IF($A$10=0,0,-PV(DiscountRate/12,$D$9,0,'Nominal Increments'!L122,0)))</f>
        <v>0</v>
      </c>
      <c r="M122" s="150">
        <f>IF($B122="NA","NA",IF($A$11=0,0,-PV(DiscountRate/12,$D$10,0,'Nominal Increments'!M122,0)))</f>
        <v>0</v>
      </c>
      <c r="N122" s="150">
        <f>IF($B122="NA","NA",IF($A$12=0,0,-PV(DiscountRate/12,$D$11,0,'Nominal Increments'!N122,0)))</f>
        <v>0</v>
      </c>
      <c r="O122" s="150">
        <f>IF($B122="NA","NA",IF($A$13=0,0,-PV(DiscountRate/12,$D$12,0,'Nominal Increments'!O122,0)))</f>
        <v>0</v>
      </c>
      <c r="P122" s="150">
        <f>IF($B122="NA","NA",IF($A$14=0,0,-PV(DiscountRate/12,$D$13,0,'Nominal Increments'!P122,0)))</f>
        <v>0</v>
      </c>
      <c r="Q122" s="150">
        <f>IF($B122="NA","NA",IF($A$15=0,0,-PV(DiscountRate/12,$D$14,0,'Nominal Increments'!Q122,0)))</f>
        <v>0</v>
      </c>
      <c r="R122" s="150">
        <f>IF($B122="NA","NA",IF($A$16=0,0,-PV(DiscountRate/12,$D$15,0,'Nominal Increments'!R122,0)))</f>
        <v>0</v>
      </c>
      <c r="S122" s="150">
        <f>IF($B122="NA","NA",IF($A$17=0,0,-PV(DiscountRate/12,$D$16,0,'Nominal Increments'!S122,0)))</f>
        <v>0</v>
      </c>
      <c r="T122" s="151">
        <f>IF($B122="NA","NA",IF($A$18=0,0,-PV(DiscountRate/12,$D$17,0,'Nominal Increments'!T122,0)))</f>
        <v>0</v>
      </c>
    </row>
    <row r="123" spans="1:20" x14ac:dyDescent="0.2">
      <c r="A123" s="86">
        <f t="shared" si="5"/>
        <v>3044</v>
      </c>
      <c r="B123" s="142">
        <f t="shared" si="6"/>
        <v>101</v>
      </c>
      <c r="C123" s="143">
        <f t="shared" si="7"/>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50">
        <f>IF(B123="NA","NA",IF(ISNUMBER(VLOOKUP($C123,'A4 Investment'!$A$24:$G$33,7,FALSE)),VLOOKUP($C123,'A4 Investment'!$A$24:$G$33,7,FALSE)*'A4 Investment'!G$18/12,0))</f>
        <v>0</v>
      </c>
      <c r="I123" s="151">
        <f t="shared" si="8"/>
        <v>8904.1666666666661</v>
      </c>
      <c r="J123" s="159">
        <f t="shared" si="9"/>
        <v>8904.1666666666661</v>
      </c>
      <c r="K123" s="150">
        <f>IF($B123="NA","NA",-PV(DiscountRate/12,0,0,'Nominal Increments'!K123,0))</f>
        <v>8904.1666666666661</v>
      </c>
      <c r="L123" s="150">
        <f>IF($B123="NA","NA",IF($A$10=0,0,-PV(DiscountRate/12,$D$9,0,'Nominal Increments'!L123,0)))</f>
        <v>0</v>
      </c>
      <c r="M123" s="150">
        <f>IF($B123="NA","NA",IF($A$11=0,0,-PV(DiscountRate/12,$D$10,0,'Nominal Increments'!M123,0)))</f>
        <v>0</v>
      </c>
      <c r="N123" s="150">
        <f>IF($B123="NA","NA",IF($A$12=0,0,-PV(DiscountRate/12,$D$11,0,'Nominal Increments'!N123,0)))</f>
        <v>0</v>
      </c>
      <c r="O123" s="150">
        <f>IF($B123="NA","NA",IF($A$13=0,0,-PV(DiscountRate/12,$D$12,0,'Nominal Increments'!O123,0)))</f>
        <v>0</v>
      </c>
      <c r="P123" s="150">
        <f>IF($B123="NA","NA",IF($A$14=0,0,-PV(DiscountRate/12,$D$13,0,'Nominal Increments'!P123,0)))</f>
        <v>0</v>
      </c>
      <c r="Q123" s="150">
        <f>IF($B123="NA","NA",IF($A$15=0,0,-PV(DiscountRate/12,$D$14,0,'Nominal Increments'!Q123,0)))</f>
        <v>0</v>
      </c>
      <c r="R123" s="150">
        <f>IF($B123="NA","NA",IF($A$16=0,0,-PV(DiscountRate/12,$D$15,0,'Nominal Increments'!R123,0)))</f>
        <v>0</v>
      </c>
      <c r="S123" s="150">
        <f>IF($B123="NA","NA",IF($A$17=0,0,-PV(DiscountRate/12,$D$16,0,'Nominal Increments'!S123,0)))</f>
        <v>0</v>
      </c>
      <c r="T123" s="151">
        <f>IF($B123="NA","NA",IF($A$18=0,0,-PV(DiscountRate/12,$D$17,0,'Nominal Increments'!T123,0)))</f>
        <v>0</v>
      </c>
    </row>
    <row r="124" spans="1:20" x14ac:dyDescent="0.2">
      <c r="A124" s="86">
        <f t="shared" si="5"/>
        <v>3075</v>
      </c>
      <c r="B124" s="142">
        <f t="shared" si="6"/>
        <v>102</v>
      </c>
      <c r="C124" s="143">
        <f t="shared" si="7"/>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50">
        <f>IF(B124="NA","NA",IF(ISNUMBER(VLOOKUP($C124,'A4 Investment'!$A$24:$G$33,7,FALSE)),VLOOKUP($C124,'A4 Investment'!$A$24:$G$33,7,FALSE)*'A4 Investment'!G$18/12,0))</f>
        <v>0</v>
      </c>
      <c r="I124" s="151">
        <f t="shared" si="8"/>
        <v>8904.1666666666661</v>
      </c>
      <c r="J124" s="159">
        <f t="shared" si="9"/>
        <v>8904.1666666666661</v>
      </c>
      <c r="K124" s="150">
        <f>IF($B124="NA","NA",-PV(DiscountRate/12,0,0,'Nominal Increments'!K124,0))</f>
        <v>8904.1666666666661</v>
      </c>
      <c r="L124" s="150">
        <f>IF($B124="NA","NA",IF($A$10=0,0,-PV(DiscountRate/12,$D$9,0,'Nominal Increments'!L124,0)))</f>
        <v>0</v>
      </c>
      <c r="M124" s="150">
        <f>IF($B124="NA","NA",IF($A$11=0,0,-PV(DiscountRate/12,$D$10,0,'Nominal Increments'!M124,0)))</f>
        <v>0</v>
      </c>
      <c r="N124" s="150">
        <f>IF($B124="NA","NA",IF($A$12=0,0,-PV(DiscountRate/12,$D$11,0,'Nominal Increments'!N124,0)))</f>
        <v>0</v>
      </c>
      <c r="O124" s="150">
        <f>IF($B124="NA","NA",IF($A$13=0,0,-PV(DiscountRate/12,$D$12,0,'Nominal Increments'!O124,0)))</f>
        <v>0</v>
      </c>
      <c r="P124" s="150">
        <f>IF($B124="NA","NA",IF($A$14=0,0,-PV(DiscountRate/12,$D$13,0,'Nominal Increments'!P124,0)))</f>
        <v>0</v>
      </c>
      <c r="Q124" s="150">
        <f>IF($B124="NA","NA",IF($A$15=0,0,-PV(DiscountRate/12,$D$14,0,'Nominal Increments'!Q124,0)))</f>
        <v>0</v>
      </c>
      <c r="R124" s="150">
        <f>IF($B124="NA","NA",IF($A$16=0,0,-PV(DiscountRate/12,$D$15,0,'Nominal Increments'!R124,0)))</f>
        <v>0</v>
      </c>
      <c r="S124" s="150">
        <f>IF($B124="NA","NA",IF($A$17=0,0,-PV(DiscountRate/12,$D$16,0,'Nominal Increments'!S124,0)))</f>
        <v>0</v>
      </c>
      <c r="T124" s="151">
        <f>IF($B124="NA","NA",IF($A$18=0,0,-PV(DiscountRate/12,$D$17,0,'Nominal Increments'!T124,0)))</f>
        <v>0</v>
      </c>
    </row>
    <row r="125" spans="1:20" x14ac:dyDescent="0.2">
      <c r="A125" s="86">
        <f t="shared" si="5"/>
        <v>3105</v>
      </c>
      <c r="B125" s="142">
        <f t="shared" si="6"/>
        <v>103</v>
      </c>
      <c r="C125" s="143">
        <f t="shared" si="7"/>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50">
        <f>IF(B125="NA","NA",IF(ISNUMBER(VLOOKUP($C125,'A4 Investment'!$A$24:$G$33,7,FALSE)),VLOOKUP($C125,'A4 Investment'!$A$24:$G$33,7,FALSE)*'A4 Investment'!G$18/12,0))</f>
        <v>0</v>
      </c>
      <c r="I125" s="151">
        <f t="shared" si="8"/>
        <v>8904.1666666666661</v>
      </c>
      <c r="J125" s="159">
        <f t="shared" si="9"/>
        <v>8904.1666666666661</v>
      </c>
      <c r="K125" s="150">
        <f>IF($B125="NA","NA",-PV(DiscountRate/12,0,0,'Nominal Increments'!K125,0))</f>
        <v>8904.1666666666661</v>
      </c>
      <c r="L125" s="150">
        <f>IF($B125="NA","NA",IF($A$10=0,0,-PV(DiscountRate/12,$D$9,0,'Nominal Increments'!L125,0)))</f>
        <v>0</v>
      </c>
      <c r="M125" s="150">
        <f>IF($B125="NA","NA",IF($A$11=0,0,-PV(DiscountRate/12,$D$10,0,'Nominal Increments'!M125,0)))</f>
        <v>0</v>
      </c>
      <c r="N125" s="150">
        <f>IF($B125="NA","NA",IF($A$12=0,0,-PV(DiscountRate/12,$D$11,0,'Nominal Increments'!N125,0)))</f>
        <v>0</v>
      </c>
      <c r="O125" s="150">
        <f>IF($B125="NA","NA",IF($A$13=0,0,-PV(DiscountRate/12,$D$12,0,'Nominal Increments'!O125,0)))</f>
        <v>0</v>
      </c>
      <c r="P125" s="150">
        <f>IF($B125="NA","NA",IF($A$14=0,0,-PV(DiscountRate/12,$D$13,0,'Nominal Increments'!P125,0)))</f>
        <v>0</v>
      </c>
      <c r="Q125" s="150">
        <f>IF($B125="NA","NA",IF($A$15=0,0,-PV(DiscountRate/12,$D$14,0,'Nominal Increments'!Q125,0)))</f>
        <v>0</v>
      </c>
      <c r="R125" s="150">
        <f>IF($B125="NA","NA",IF($A$16=0,0,-PV(DiscountRate/12,$D$15,0,'Nominal Increments'!R125,0)))</f>
        <v>0</v>
      </c>
      <c r="S125" s="150">
        <f>IF($B125="NA","NA",IF($A$17=0,0,-PV(DiscountRate/12,$D$16,0,'Nominal Increments'!S125,0)))</f>
        <v>0</v>
      </c>
      <c r="T125" s="151">
        <f>IF($B125="NA","NA",IF($A$18=0,0,-PV(DiscountRate/12,$D$17,0,'Nominal Increments'!T125,0)))</f>
        <v>0</v>
      </c>
    </row>
    <row r="126" spans="1:20" x14ac:dyDescent="0.2">
      <c r="A126" s="86">
        <f t="shared" si="5"/>
        <v>3136</v>
      </c>
      <c r="B126" s="142">
        <f t="shared" si="6"/>
        <v>104</v>
      </c>
      <c r="C126" s="143">
        <f t="shared" si="7"/>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50">
        <f>IF(B126="NA","NA",IF(ISNUMBER(VLOOKUP($C126,'A4 Investment'!$A$24:$G$33,7,FALSE)),VLOOKUP($C126,'A4 Investment'!$A$24:$G$33,7,FALSE)*'A4 Investment'!G$18/12,0))</f>
        <v>0</v>
      </c>
      <c r="I126" s="151">
        <f t="shared" si="8"/>
        <v>8904.1666666666661</v>
      </c>
      <c r="J126" s="159">
        <f t="shared" si="9"/>
        <v>8904.1666666666661</v>
      </c>
      <c r="K126" s="150">
        <f>IF($B126="NA","NA",-PV(DiscountRate/12,0,0,'Nominal Increments'!K126,0))</f>
        <v>8904.1666666666661</v>
      </c>
      <c r="L126" s="150">
        <f>IF($B126="NA","NA",IF($A$10=0,0,-PV(DiscountRate/12,$D$9,0,'Nominal Increments'!L126,0)))</f>
        <v>0</v>
      </c>
      <c r="M126" s="150">
        <f>IF($B126="NA","NA",IF($A$11=0,0,-PV(DiscountRate/12,$D$10,0,'Nominal Increments'!M126,0)))</f>
        <v>0</v>
      </c>
      <c r="N126" s="150">
        <f>IF($B126="NA","NA",IF($A$12=0,0,-PV(DiscountRate/12,$D$11,0,'Nominal Increments'!N126,0)))</f>
        <v>0</v>
      </c>
      <c r="O126" s="150">
        <f>IF($B126="NA","NA",IF($A$13=0,0,-PV(DiscountRate/12,$D$12,0,'Nominal Increments'!O126,0)))</f>
        <v>0</v>
      </c>
      <c r="P126" s="150">
        <f>IF($B126="NA","NA",IF($A$14=0,0,-PV(DiscountRate/12,$D$13,0,'Nominal Increments'!P126,0)))</f>
        <v>0</v>
      </c>
      <c r="Q126" s="150">
        <f>IF($B126="NA","NA",IF($A$15=0,0,-PV(DiscountRate/12,$D$14,0,'Nominal Increments'!Q126,0)))</f>
        <v>0</v>
      </c>
      <c r="R126" s="150">
        <f>IF($B126="NA","NA",IF($A$16=0,0,-PV(DiscountRate/12,$D$15,0,'Nominal Increments'!R126,0)))</f>
        <v>0</v>
      </c>
      <c r="S126" s="150">
        <f>IF($B126="NA","NA",IF($A$17=0,0,-PV(DiscountRate/12,$D$16,0,'Nominal Increments'!S126,0)))</f>
        <v>0</v>
      </c>
      <c r="T126" s="151">
        <f>IF($B126="NA","NA",IF($A$18=0,0,-PV(DiscountRate/12,$D$17,0,'Nominal Increments'!T126,0)))</f>
        <v>0</v>
      </c>
    </row>
    <row r="127" spans="1:20" x14ac:dyDescent="0.2">
      <c r="A127" s="86">
        <f t="shared" si="5"/>
        <v>3167</v>
      </c>
      <c r="B127" s="142">
        <f t="shared" si="6"/>
        <v>105</v>
      </c>
      <c r="C127" s="143">
        <f t="shared" si="7"/>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50">
        <f>IF(B127="NA","NA",IF(ISNUMBER(VLOOKUP($C127,'A4 Investment'!$A$24:$G$33,7,FALSE)),VLOOKUP($C127,'A4 Investment'!$A$24:$G$33,7,FALSE)*'A4 Investment'!G$18/12,0))</f>
        <v>0</v>
      </c>
      <c r="I127" s="151">
        <f t="shared" si="8"/>
        <v>8904.1666666666661</v>
      </c>
      <c r="J127" s="159">
        <f t="shared" si="9"/>
        <v>8904.1666666666661</v>
      </c>
      <c r="K127" s="150">
        <f>IF($B127="NA","NA",-PV(DiscountRate/12,0,0,'Nominal Increments'!K127,0))</f>
        <v>8904.1666666666661</v>
      </c>
      <c r="L127" s="150">
        <f>IF($B127="NA","NA",IF($A$10=0,0,-PV(DiscountRate/12,$D$9,0,'Nominal Increments'!L127,0)))</f>
        <v>0</v>
      </c>
      <c r="M127" s="150">
        <f>IF($B127="NA","NA",IF($A$11=0,0,-PV(DiscountRate/12,$D$10,0,'Nominal Increments'!M127,0)))</f>
        <v>0</v>
      </c>
      <c r="N127" s="150">
        <f>IF($B127="NA","NA",IF($A$12=0,0,-PV(DiscountRate/12,$D$11,0,'Nominal Increments'!N127,0)))</f>
        <v>0</v>
      </c>
      <c r="O127" s="150">
        <f>IF($B127="NA","NA",IF($A$13=0,0,-PV(DiscountRate/12,$D$12,0,'Nominal Increments'!O127,0)))</f>
        <v>0</v>
      </c>
      <c r="P127" s="150">
        <f>IF($B127="NA","NA",IF($A$14=0,0,-PV(DiscountRate/12,$D$13,0,'Nominal Increments'!P127,0)))</f>
        <v>0</v>
      </c>
      <c r="Q127" s="150">
        <f>IF($B127="NA","NA",IF($A$15=0,0,-PV(DiscountRate/12,$D$14,0,'Nominal Increments'!Q127,0)))</f>
        <v>0</v>
      </c>
      <c r="R127" s="150">
        <f>IF($B127="NA","NA",IF($A$16=0,0,-PV(DiscountRate/12,$D$15,0,'Nominal Increments'!R127,0)))</f>
        <v>0</v>
      </c>
      <c r="S127" s="150">
        <f>IF($B127="NA","NA",IF($A$17=0,0,-PV(DiscountRate/12,$D$16,0,'Nominal Increments'!S127,0)))</f>
        <v>0</v>
      </c>
      <c r="T127" s="151">
        <f>IF($B127="NA","NA",IF($A$18=0,0,-PV(DiscountRate/12,$D$17,0,'Nominal Increments'!T127,0)))</f>
        <v>0</v>
      </c>
    </row>
    <row r="128" spans="1:20" x14ac:dyDescent="0.2">
      <c r="A128" s="86">
        <f t="shared" si="5"/>
        <v>3197</v>
      </c>
      <c r="B128" s="142">
        <f t="shared" si="6"/>
        <v>106</v>
      </c>
      <c r="C128" s="143">
        <f t="shared" si="7"/>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50">
        <f>IF(B128="NA","NA",IF(ISNUMBER(VLOOKUP($C128,'A4 Investment'!$A$24:$G$33,7,FALSE)),VLOOKUP($C128,'A4 Investment'!$A$24:$G$33,7,FALSE)*'A4 Investment'!G$18/12,0))</f>
        <v>0</v>
      </c>
      <c r="I128" s="151">
        <f t="shared" si="8"/>
        <v>8904.1666666666661</v>
      </c>
      <c r="J128" s="159">
        <f t="shared" si="9"/>
        <v>8904.1666666666661</v>
      </c>
      <c r="K128" s="150">
        <f>IF($B128="NA","NA",-PV(DiscountRate/12,0,0,'Nominal Increments'!K128,0))</f>
        <v>8904.1666666666661</v>
      </c>
      <c r="L128" s="150">
        <f>IF($B128="NA","NA",IF($A$10=0,0,-PV(DiscountRate/12,$D$9,0,'Nominal Increments'!L128,0)))</f>
        <v>0</v>
      </c>
      <c r="M128" s="150">
        <f>IF($B128="NA","NA",IF($A$11=0,0,-PV(DiscountRate/12,$D$10,0,'Nominal Increments'!M128,0)))</f>
        <v>0</v>
      </c>
      <c r="N128" s="150">
        <f>IF($B128="NA","NA",IF($A$12=0,0,-PV(DiscountRate/12,$D$11,0,'Nominal Increments'!N128,0)))</f>
        <v>0</v>
      </c>
      <c r="O128" s="150">
        <f>IF($B128="NA","NA",IF($A$13=0,0,-PV(DiscountRate/12,$D$12,0,'Nominal Increments'!O128,0)))</f>
        <v>0</v>
      </c>
      <c r="P128" s="150">
        <f>IF($B128="NA","NA",IF($A$14=0,0,-PV(DiscountRate/12,$D$13,0,'Nominal Increments'!P128,0)))</f>
        <v>0</v>
      </c>
      <c r="Q128" s="150">
        <f>IF($B128="NA","NA",IF($A$15=0,0,-PV(DiscountRate/12,$D$14,0,'Nominal Increments'!Q128,0)))</f>
        <v>0</v>
      </c>
      <c r="R128" s="150">
        <f>IF($B128="NA","NA",IF($A$16=0,0,-PV(DiscountRate/12,$D$15,0,'Nominal Increments'!R128,0)))</f>
        <v>0</v>
      </c>
      <c r="S128" s="150">
        <f>IF($B128="NA","NA",IF($A$17=0,0,-PV(DiscountRate/12,$D$16,0,'Nominal Increments'!S128,0)))</f>
        <v>0</v>
      </c>
      <c r="T128" s="151">
        <f>IF($B128="NA","NA",IF($A$18=0,0,-PV(DiscountRate/12,$D$17,0,'Nominal Increments'!T128,0)))</f>
        <v>0</v>
      </c>
    </row>
    <row r="129" spans="1:20" x14ac:dyDescent="0.2">
      <c r="A129" s="86">
        <f t="shared" si="5"/>
        <v>3228</v>
      </c>
      <c r="B129" s="142">
        <f t="shared" si="6"/>
        <v>107</v>
      </c>
      <c r="C129" s="143">
        <f t="shared" si="7"/>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50">
        <f>IF(B129="NA","NA",IF(ISNUMBER(VLOOKUP($C129,'A4 Investment'!$A$24:$G$33,7,FALSE)),VLOOKUP($C129,'A4 Investment'!$A$24:$G$33,7,FALSE)*'A4 Investment'!G$18/12,0))</f>
        <v>0</v>
      </c>
      <c r="I129" s="151">
        <f t="shared" si="8"/>
        <v>8904.1666666666661</v>
      </c>
      <c r="J129" s="159">
        <f t="shared" si="9"/>
        <v>8904.1666666666661</v>
      </c>
      <c r="K129" s="150">
        <f>IF($B129="NA","NA",-PV(DiscountRate/12,0,0,'Nominal Increments'!K129,0))</f>
        <v>8904.1666666666661</v>
      </c>
      <c r="L129" s="150">
        <f>IF($B129="NA","NA",IF($A$10=0,0,-PV(DiscountRate/12,$D$9,0,'Nominal Increments'!L129,0)))</f>
        <v>0</v>
      </c>
      <c r="M129" s="150">
        <f>IF($B129="NA","NA",IF($A$11=0,0,-PV(DiscountRate/12,$D$10,0,'Nominal Increments'!M129,0)))</f>
        <v>0</v>
      </c>
      <c r="N129" s="150">
        <f>IF($B129="NA","NA",IF($A$12=0,0,-PV(DiscountRate/12,$D$11,0,'Nominal Increments'!N129,0)))</f>
        <v>0</v>
      </c>
      <c r="O129" s="150">
        <f>IF($B129="NA","NA",IF($A$13=0,0,-PV(DiscountRate/12,$D$12,0,'Nominal Increments'!O129,0)))</f>
        <v>0</v>
      </c>
      <c r="P129" s="150">
        <f>IF($B129="NA","NA",IF($A$14=0,0,-PV(DiscountRate/12,$D$13,0,'Nominal Increments'!P129,0)))</f>
        <v>0</v>
      </c>
      <c r="Q129" s="150">
        <f>IF($B129="NA","NA",IF($A$15=0,0,-PV(DiscountRate/12,$D$14,0,'Nominal Increments'!Q129,0)))</f>
        <v>0</v>
      </c>
      <c r="R129" s="150">
        <f>IF($B129="NA","NA",IF($A$16=0,0,-PV(DiscountRate/12,$D$15,0,'Nominal Increments'!R129,0)))</f>
        <v>0</v>
      </c>
      <c r="S129" s="150">
        <f>IF($B129="NA","NA",IF($A$17=0,0,-PV(DiscountRate/12,$D$16,0,'Nominal Increments'!S129,0)))</f>
        <v>0</v>
      </c>
      <c r="T129" s="151">
        <f>IF($B129="NA","NA",IF($A$18=0,0,-PV(DiscountRate/12,$D$17,0,'Nominal Increments'!T129,0)))</f>
        <v>0</v>
      </c>
    </row>
    <row r="130" spans="1:20" x14ac:dyDescent="0.2">
      <c r="A130" s="86">
        <f t="shared" si="5"/>
        <v>3258</v>
      </c>
      <c r="B130" s="142">
        <f t="shared" si="6"/>
        <v>108</v>
      </c>
      <c r="C130" s="143">
        <f t="shared" si="7"/>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50">
        <f>IF(B130="NA","NA",IF(ISNUMBER(VLOOKUP($C130,'A4 Investment'!$A$24:$G$33,7,FALSE)),VLOOKUP($C130,'A4 Investment'!$A$24:$G$33,7,FALSE)*'A4 Investment'!G$18/12,0))</f>
        <v>0</v>
      </c>
      <c r="I130" s="151">
        <f t="shared" si="8"/>
        <v>8904.1666666666661</v>
      </c>
      <c r="J130" s="159">
        <f t="shared" si="9"/>
        <v>8904.1666666666661</v>
      </c>
      <c r="K130" s="150">
        <f>IF($B130="NA","NA",-PV(DiscountRate/12,0,0,'Nominal Increments'!K130,0))</f>
        <v>8904.1666666666661</v>
      </c>
      <c r="L130" s="150">
        <f>IF($B130="NA","NA",IF($A$10=0,0,-PV(DiscountRate/12,$D$9,0,'Nominal Increments'!L130,0)))</f>
        <v>0</v>
      </c>
      <c r="M130" s="150">
        <f>IF($B130="NA","NA",IF($A$11=0,0,-PV(DiscountRate/12,$D$10,0,'Nominal Increments'!M130,0)))</f>
        <v>0</v>
      </c>
      <c r="N130" s="150">
        <f>IF($B130="NA","NA",IF($A$12=0,0,-PV(DiscountRate/12,$D$11,0,'Nominal Increments'!N130,0)))</f>
        <v>0</v>
      </c>
      <c r="O130" s="150">
        <f>IF($B130="NA","NA",IF($A$13=0,0,-PV(DiscountRate/12,$D$12,0,'Nominal Increments'!O130,0)))</f>
        <v>0</v>
      </c>
      <c r="P130" s="150">
        <f>IF($B130="NA","NA",IF($A$14=0,0,-PV(DiscountRate/12,$D$13,0,'Nominal Increments'!P130,0)))</f>
        <v>0</v>
      </c>
      <c r="Q130" s="150">
        <f>IF($B130="NA","NA",IF($A$15=0,0,-PV(DiscountRate/12,$D$14,0,'Nominal Increments'!Q130,0)))</f>
        <v>0</v>
      </c>
      <c r="R130" s="150">
        <f>IF($B130="NA","NA",IF($A$16=0,0,-PV(DiscountRate/12,$D$15,0,'Nominal Increments'!R130,0)))</f>
        <v>0</v>
      </c>
      <c r="S130" s="150">
        <f>IF($B130="NA","NA",IF($A$17=0,0,-PV(DiscountRate/12,$D$16,0,'Nominal Increments'!S130,0)))</f>
        <v>0</v>
      </c>
      <c r="T130" s="151">
        <f>IF($B130="NA","NA",IF($A$18=0,0,-PV(DiscountRate/12,$D$17,0,'Nominal Increments'!T130,0)))</f>
        <v>0</v>
      </c>
    </row>
    <row r="131" spans="1:20" x14ac:dyDescent="0.2">
      <c r="A131" s="86">
        <f t="shared" si="5"/>
        <v>3289</v>
      </c>
      <c r="B131" s="142">
        <f t="shared" si="6"/>
        <v>109</v>
      </c>
      <c r="C131" s="143">
        <f t="shared" si="7"/>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50">
        <f>IF(B131="NA","NA",IF(ISNUMBER(VLOOKUP($C131,'A4 Investment'!$A$24:$G$33,7,FALSE)),VLOOKUP($C131,'A4 Investment'!$A$24:$G$33,7,FALSE)*'A4 Investment'!G$18/12,0))</f>
        <v>0</v>
      </c>
      <c r="I131" s="151">
        <f t="shared" si="8"/>
        <v>8904.1666666666661</v>
      </c>
      <c r="J131" s="159">
        <f t="shared" si="9"/>
        <v>8904.1666666666661</v>
      </c>
      <c r="K131" s="150">
        <f>IF($B131="NA","NA",-PV(DiscountRate/12,0,0,'Nominal Increments'!K131,0))</f>
        <v>8904.1666666666661</v>
      </c>
      <c r="L131" s="150">
        <f>IF($B131="NA","NA",IF($A$10=0,0,-PV(DiscountRate/12,$D$9,0,'Nominal Increments'!L131,0)))</f>
        <v>0</v>
      </c>
      <c r="M131" s="150">
        <f>IF($B131="NA","NA",IF($A$11=0,0,-PV(DiscountRate/12,$D$10,0,'Nominal Increments'!M131,0)))</f>
        <v>0</v>
      </c>
      <c r="N131" s="150">
        <f>IF($B131="NA","NA",IF($A$12=0,0,-PV(DiscountRate/12,$D$11,0,'Nominal Increments'!N131,0)))</f>
        <v>0</v>
      </c>
      <c r="O131" s="150">
        <f>IF($B131="NA","NA",IF($A$13=0,0,-PV(DiscountRate/12,$D$12,0,'Nominal Increments'!O131,0)))</f>
        <v>0</v>
      </c>
      <c r="P131" s="150">
        <f>IF($B131="NA","NA",IF($A$14=0,0,-PV(DiscountRate/12,$D$13,0,'Nominal Increments'!P131,0)))</f>
        <v>0</v>
      </c>
      <c r="Q131" s="150">
        <f>IF($B131="NA","NA",IF($A$15=0,0,-PV(DiscountRate/12,$D$14,0,'Nominal Increments'!Q131,0)))</f>
        <v>0</v>
      </c>
      <c r="R131" s="150">
        <f>IF($B131="NA","NA",IF($A$16=0,0,-PV(DiscountRate/12,$D$15,0,'Nominal Increments'!R131,0)))</f>
        <v>0</v>
      </c>
      <c r="S131" s="150">
        <f>IF($B131="NA","NA",IF($A$17=0,0,-PV(DiscountRate/12,$D$16,0,'Nominal Increments'!S131,0)))</f>
        <v>0</v>
      </c>
      <c r="T131" s="151">
        <f>IF($B131="NA","NA",IF($A$18=0,0,-PV(DiscountRate/12,$D$17,0,'Nominal Increments'!T131,0)))</f>
        <v>0</v>
      </c>
    </row>
    <row r="132" spans="1:20" x14ac:dyDescent="0.2">
      <c r="A132" s="86">
        <f t="shared" si="5"/>
        <v>3320</v>
      </c>
      <c r="B132" s="142">
        <f t="shared" si="6"/>
        <v>110</v>
      </c>
      <c r="C132" s="143">
        <f t="shared" si="7"/>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50">
        <f>IF(B132="NA","NA",IF(ISNUMBER(VLOOKUP($C132,'A4 Investment'!$A$24:$G$33,7,FALSE)),VLOOKUP($C132,'A4 Investment'!$A$24:$G$33,7,FALSE)*'A4 Investment'!G$18/12,0))</f>
        <v>0</v>
      </c>
      <c r="I132" s="151">
        <f t="shared" si="8"/>
        <v>8904.1666666666661</v>
      </c>
      <c r="J132" s="159">
        <f t="shared" si="9"/>
        <v>8904.1666666666661</v>
      </c>
      <c r="K132" s="150">
        <f>IF($B132="NA","NA",-PV(DiscountRate/12,0,0,'Nominal Increments'!K132,0))</f>
        <v>8904.1666666666661</v>
      </c>
      <c r="L132" s="150">
        <f>IF($B132="NA","NA",IF($A$10=0,0,-PV(DiscountRate/12,$D$9,0,'Nominal Increments'!L132,0)))</f>
        <v>0</v>
      </c>
      <c r="M132" s="150">
        <f>IF($B132="NA","NA",IF($A$11=0,0,-PV(DiscountRate/12,$D$10,0,'Nominal Increments'!M132,0)))</f>
        <v>0</v>
      </c>
      <c r="N132" s="150">
        <f>IF($B132="NA","NA",IF($A$12=0,0,-PV(DiscountRate/12,$D$11,0,'Nominal Increments'!N132,0)))</f>
        <v>0</v>
      </c>
      <c r="O132" s="150">
        <f>IF($B132="NA","NA",IF($A$13=0,0,-PV(DiscountRate/12,$D$12,0,'Nominal Increments'!O132,0)))</f>
        <v>0</v>
      </c>
      <c r="P132" s="150">
        <f>IF($B132="NA","NA",IF($A$14=0,0,-PV(DiscountRate/12,$D$13,0,'Nominal Increments'!P132,0)))</f>
        <v>0</v>
      </c>
      <c r="Q132" s="150">
        <f>IF($B132="NA","NA",IF($A$15=0,0,-PV(DiscountRate/12,$D$14,0,'Nominal Increments'!Q132,0)))</f>
        <v>0</v>
      </c>
      <c r="R132" s="150">
        <f>IF($B132="NA","NA",IF($A$16=0,0,-PV(DiscountRate/12,$D$15,0,'Nominal Increments'!R132,0)))</f>
        <v>0</v>
      </c>
      <c r="S132" s="150">
        <f>IF($B132="NA","NA",IF($A$17=0,0,-PV(DiscountRate/12,$D$16,0,'Nominal Increments'!S132,0)))</f>
        <v>0</v>
      </c>
      <c r="T132" s="151">
        <f>IF($B132="NA","NA",IF($A$18=0,0,-PV(DiscountRate/12,$D$17,0,'Nominal Increments'!T132,0)))</f>
        <v>0</v>
      </c>
    </row>
    <row r="133" spans="1:20" x14ac:dyDescent="0.2">
      <c r="A133" s="86">
        <f t="shared" si="5"/>
        <v>3348</v>
      </c>
      <c r="B133" s="142">
        <f t="shared" si="6"/>
        <v>111</v>
      </c>
      <c r="C133" s="143">
        <f t="shared" si="7"/>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50">
        <f>IF(B133="NA","NA",IF(ISNUMBER(VLOOKUP($C133,'A4 Investment'!$A$24:$G$33,7,FALSE)),VLOOKUP($C133,'A4 Investment'!$A$24:$G$33,7,FALSE)*'A4 Investment'!G$18/12,0))</f>
        <v>0</v>
      </c>
      <c r="I133" s="151">
        <f t="shared" si="8"/>
        <v>8904.1666666666661</v>
      </c>
      <c r="J133" s="159">
        <f t="shared" si="9"/>
        <v>8904.1666666666661</v>
      </c>
      <c r="K133" s="150">
        <f>IF($B133="NA","NA",-PV(DiscountRate/12,0,0,'Nominal Increments'!K133,0))</f>
        <v>8904.1666666666661</v>
      </c>
      <c r="L133" s="150">
        <f>IF($B133="NA","NA",IF($A$10=0,0,-PV(DiscountRate/12,$D$9,0,'Nominal Increments'!L133,0)))</f>
        <v>0</v>
      </c>
      <c r="M133" s="150">
        <f>IF($B133="NA","NA",IF($A$11=0,0,-PV(DiscountRate/12,$D$10,0,'Nominal Increments'!M133,0)))</f>
        <v>0</v>
      </c>
      <c r="N133" s="150">
        <f>IF($B133="NA","NA",IF($A$12=0,0,-PV(DiscountRate/12,$D$11,0,'Nominal Increments'!N133,0)))</f>
        <v>0</v>
      </c>
      <c r="O133" s="150">
        <f>IF($B133="NA","NA",IF($A$13=0,0,-PV(DiscountRate/12,$D$12,0,'Nominal Increments'!O133,0)))</f>
        <v>0</v>
      </c>
      <c r="P133" s="150">
        <f>IF($B133="NA","NA",IF($A$14=0,0,-PV(DiscountRate/12,$D$13,0,'Nominal Increments'!P133,0)))</f>
        <v>0</v>
      </c>
      <c r="Q133" s="150">
        <f>IF($B133="NA","NA",IF($A$15=0,0,-PV(DiscountRate/12,$D$14,0,'Nominal Increments'!Q133,0)))</f>
        <v>0</v>
      </c>
      <c r="R133" s="150">
        <f>IF($B133="NA","NA",IF($A$16=0,0,-PV(DiscountRate/12,$D$15,0,'Nominal Increments'!R133,0)))</f>
        <v>0</v>
      </c>
      <c r="S133" s="150">
        <f>IF($B133="NA","NA",IF($A$17=0,0,-PV(DiscountRate/12,$D$16,0,'Nominal Increments'!S133,0)))</f>
        <v>0</v>
      </c>
      <c r="T133" s="151">
        <f>IF($B133="NA","NA",IF($A$18=0,0,-PV(DiscountRate/12,$D$17,0,'Nominal Increments'!T133,0)))</f>
        <v>0</v>
      </c>
    </row>
    <row r="134" spans="1:20" x14ac:dyDescent="0.2">
      <c r="A134" s="86">
        <f t="shared" si="5"/>
        <v>3379</v>
      </c>
      <c r="B134" s="142">
        <f t="shared" si="6"/>
        <v>112</v>
      </c>
      <c r="C134" s="143">
        <f t="shared" si="7"/>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50">
        <f>IF(B134="NA","NA",IF(ISNUMBER(VLOOKUP($C134,'A4 Investment'!$A$24:$G$33,7,FALSE)),VLOOKUP($C134,'A4 Investment'!$A$24:$G$33,7,FALSE)*'A4 Investment'!G$18/12,0))</f>
        <v>0</v>
      </c>
      <c r="I134" s="151">
        <f t="shared" si="8"/>
        <v>8904.1666666666661</v>
      </c>
      <c r="J134" s="159">
        <f t="shared" si="9"/>
        <v>8904.1666666666661</v>
      </c>
      <c r="K134" s="150">
        <f>IF($B134="NA","NA",-PV(DiscountRate/12,0,0,'Nominal Increments'!K134,0))</f>
        <v>8904.1666666666661</v>
      </c>
      <c r="L134" s="150">
        <f>IF($B134="NA","NA",IF($A$10=0,0,-PV(DiscountRate/12,$D$9,0,'Nominal Increments'!L134,0)))</f>
        <v>0</v>
      </c>
      <c r="M134" s="150">
        <f>IF($B134="NA","NA",IF($A$11=0,0,-PV(DiscountRate/12,$D$10,0,'Nominal Increments'!M134,0)))</f>
        <v>0</v>
      </c>
      <c r="N134" s="150">
        <f>IF($B134="NA","NA",IF($A$12=0,0,-PV(DiscountRate/12,$D$11,0,'Nominal Increments'!N134,0)))</f>
        <v>0</v>
      </c>
      <c r="O134" s="150">
        <f>IF($B134="NA","NA",IF($A$13=0,0,-PV(DiscountRate/12,$D$12,0,'Nominal Increments'!O134,0)))</f>
        <v>0</v>
      </c>
      <c r="P134" s="150">
        <f>IF($B134="NA","NA",IF($A$14=0,0,-PV(DiscountRate/12,$D$13,0,'Nominal Increments'!P134,0)))</f>
        <v>0</v>
      </c>
      <c r="Q134" s="150">
        <f>IF($B134="NA","NA",IF($A$15=0,0,-PV(DiscountRate/12,$D$14,0,'Nominal Increments'!Q134,0)))</f>
        <v>0</v>
      </c>
      <c r="R134" s="150">
        <f>IF($B134="NA","NA",IF($A$16=0,0,-PV(DiscountRate/12,$D$15,0,'Nominal Increments'!R134,0)))</f>
        <v>0</v>
      </c>
      <c r="S134" s="150">
        <f>IF($B134="NA","NA",IF($A$17=0,0,-PV(DiscountRate/12,$D$16,0,'Nominal Increments'!S134,0)))</f>
        <v>0</v>
      </c>
      <c r="T134" s="151">
        <f>IF($B134="NA","NA",IF($A$18=0,0,-PV(DiscountRate/12,$D$17,0,'Nominal Increments'!T134,0)))</f>
        <v>0</v>
      </c>
    </row>
    <row r="135" spans="1:20" x14ac:dyDescent="0.2">
      <c r="A135" s="86">
        <f t="shared" si="5"/>
        <v>3409</v>
      </c>
      <c r="B135" s="142">
        <f t="shared" si="6"/>
        <v>113</v>
      </c>
      <c r="C135" s="143">
        <f t="shared" si="7"/>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50">
        <f>IF(B135="NA","NA",IF(ISNUMBER(VLOOKUP($C135,'A4 Investment'!$A$24:$G$33,7,FALSE)),VLOOKUP($C135,'A4 Investment'!$A$24:$G$33,7,FALSE)*'A4 Investment'!G$18/12,0))</f>
        <v>0</v>
      </c>
      <c r="I135" s="151">
        <f t="shared" si="8"/>
        <v>8904.1666666666661</v>
      </c>
      <c r="J135" s="159">
        <f t="shared" si="9"/>
        <v>8904.1666666666661</v>
      </c>
      <c r="K135" s="150">
        <f>IF($B135="NA","NA",-PV(DiscountRate/12,0,0,'Nominal Increments'!K135,0))</f>
        <v>8904.1666666666661</v>
      </c>
      <c r="L135" s="150">
        <f>IF($B135="NA","NA",IF($A$10=0,0,-PV(DiscountRate/12,$D$9,0,'Nominal Increments'!L135,0)))</f>
        <v>0</v>
      </c>
      <c r="M135" s="150">
        <f>IF($B135="NA","NA",IF($A$11=0,0,-PV(DiscountRate/12,$D$10,0,'Nominal Increments'!M135,0)))</f>
        <v>0</v>
      </c>
      <c r="N135" s="150">
        <f>IF($B135="NA","NA",IF($A$12=0,0,-PV(DiscountRate/12,$D$11,0,'Nominal Increments'!N135,0)))</f>
        <v>0</v>
      </c>
      <c r="O135" s="150">
        <f>IF($B135="NA","NA",IF($A$13=0,0,-PV(DiscountRate/12,$D$12,0,'Nominal Increments'!O135,0)))</f>
        <v>0</v>
      </c>
      <c r="P135" s="150">
        <f>IF($B135="NA","NA",IF($A$14=0,0,-PV(DiscountRate/12,$D$13,0,'Nominal Increments'!P135,0)))</f>
        <v>0</v>
      </c>
      <c r="Q135" s="150">
        <f>IF($B135="NA","NA",IF($A$15=0,0,-PV(DiscountRate/12,$D$14,0,'Nominal Increments'!Q135,0)))</f>
        <v>0</v>
      </c>
      <c r="R135" s="150">
        <f>IF($B135="NA","NA",IF($A$16=0,0,-PV(DiscountRate/12,$D$15,0,'Nominal Increments'!R135,0)))</f>
        <v>0</v>
      </c>
      <c r="S135" s="150">
        <f>IF($B135="NA","NA",IF($A$17=0,0,-PV(DiscountRate/12,$D$16,0,'Nominal Increments'!S135,0)))</f>
        <v>0</v>
      </c>
      <c r="T135" s="151">
        <f>IF($B135="NA","NA",IF($A$18=0,0,-PV(DiscountRate/12,$D$17,0,'Nominal Increments'!T135,0)))</f>
        <v>0</v>
      </c>
    </row>
    <row r="136" spans="1:20" x14ac:dyDescent="0.2">
      <c r="A136" s="86">
        <f t="shared" si="5"/>
        <v>3440</v>
      </c>
      <c r="B136" s="142">
        <f t="shared" si="6"/>
        <v>114</v>
      </c>
      <c r="C136" s="143">
        <f t="shared" si="7"/>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50">
        <f>IF(B136="NA","NA",IF(ISNUMBER(VLOOKUP($C136,'A4 Investment'!$A$24:$G$33,7,FALSE)),VLOOKUP($C136,'A4 Investment'!$A$24:$G$33,7,FALSE)*'A4 Investment'!G$18/12,0))</f>
        <v>0</v>
      </c>
      <c r="I136" s="151">
        <f t="shared" si="8"/>
        <v>8904.1666666666661</v>
      </c>
      <c r="J136" s="159">
        <f t="shared" si="9"/>
        <v>8904.1666666666661</v>
      </c>
      <c r="K136" s="150">
        <f>IF($B136="NA","NA",-PV(DiscountRate/12,0,0,'Nominal Increments'!K136,0))</f>
        <v>8904.1666666666661</v>
      </c>
      <c r="L136" s="150">
        <f>IF($B136="NA","NA",IF($A$10=0,0,-PV(DiscountRate/12,$D$9,0,'Nominal Increments'!L136,0)))</f>
        <v>0</v>
      </c>
      <c r="M136" s="150">
        <f>IF($B136="NA","NA",IF($A$11=0,0,-PV(DiscountRate/12,$D$10,0,'Nominal Increments'!M136,0)))</f>
        <v>0</v>
      </c>
      <c r="N136" s="150">
        <f>IF($B136="NA","NA",IF($A$12=0,0,-PV(DiscountRate/12,$D$11,0,'Nominal Increments'!N136,0)))</f>
        <v>0</v>
      </c>
      <c r="O136" s="150">
        <f>IF($B136="NA","NA",IF($A$13=0,0,-PV(DiscountRate/12,$D$12,0,'Nominal Increments'!O136,0)))</f>
        <v>0</v>
      </c>
      <c r="P136" s="150">
        <f>IF($B136="NA","NA",IF($A$14=0,0,-PV(DiscountRate/12,$D$13,0,'Nominal Increments'!P136,0)))</f>
        <v>0</v>
      </c>
      <c r="Q136" s="150">
        <f>IF($B136="NA","NA",IF($A$15=0,0,-PV(DiscountRate/12,$D$14,0,'Nominal Increments'!Q136,0)))</f>
        <v>0</v>
      </c>
      <c r="R136" s="150">
        <f>IF($B136="NA","NA",IF($A$16=0,0,-PV(DiscountRate/12,$D$15,0,'Nominal Increments'!R136,0)))</f>
        <v>0</v>
      </c>
      <c r="S136" s="150">
        <f>IF($B136="NA","NA",IF($A$17=0,0,-PV(DiscountRate/12,$D$16,0,'Nominal Increments'!S136,0)))</f>
        <v>0</v>
      </c>
      <c r="T136" s="151">
        <f>IF($B136="NA","NA",IF($A$18=0,0,-PV(DiscountRate/12,$D$17,0,'Nominal Increments'!T136,0)))</f>
        <v>0</v>
      </c>
    </row>
    <row r="137" spans="1:20" x14ac:dyDescent="0.2">
      <c r="A137" s="86">
        <f t="shared" si="5"/>
        <v>3470</v>
      </c>
      <c r="B137" s="142">
        <f t="shared" si="6"/>
        <v>115</v>
      </c>
      <c r="C137" s="143">
        <f t="shared" si="7"/>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50">
        <f>IF(B137="NA","NA",IF(ISNUMBER(VLOOKUP($C137,'A4 Investment'!$A$24:$G$33,7,FALSE)),VLOOKUP($C137,'A4 Investment'!$A$24:$G$33,7,FALSE)*'A4 Investment'!G$18/12,0))</f>
        <v>0</v>
      </c>
      <c r="I137" s="151">
        <f t="shared" si="8"/>
        <v>8904.1666666666661</v>
      </c>
      <c r="J137" s="159">
        <f t="shared" si="9"/>
        <v>8904.1666666666661</v>
      </c>
      <c r="K137" s="150">
        <f>IF($B137="NA","NA",-PV(DiscountRate/12,0,0,'Nominal Increments'!K137,0))</f>
        <v>8904.1666666666661</v>
      </c>
      <c r="L137" s="150">
        <f>IF($B137="NA","NA",IF($A$10=0,0,-PV(DiscountRate/12,$D$9,0,'Nominal Increments'!L137,0)))</f>
        <v>0</v>
      </c>
      <c r="M137" s="150">
        <f>IF($B137="NA","NA",IF($A$11=0,0,-PV(DiscountRate/12,$D$10,0,'Nominal Increments'!M137,0)))</f>
        <v>0</v>
      </c>
      <c r="N137" s="150">
        <f>IF($B137="NA","NA",IF($A$12=0,0,-PV(DiscountRate/12,$D$11,0,'Nominal Increments'!N137,0)))</f>
        <v>0</v>
      </c>
      <c r="O137" s="150">
        <f>IF($B137="NA","NA",IF($A$13=0,0,-PV(DiscountRate/12,$D$12,0,'Nominal Increments'!O137,0)))</f>
        <v>0</v>
      </c>
      <c r="P137" s="150">
        <f>IF($B137="NA","NA",IF($A$14=0,0,-PV(DiscountRate/12,$D$13,0,'Nominal Increments'!P137,0)))</f>
        <v>0</v>
      </c>
      <c r="Q137" s="150">
        <f>IF($B137="NA","NA",IF($A$15=0,0,-PV(DiscountRate/12,$D$14,0,'Nominal Increments'!Q137,0)))</f>
        <v>0</v>
      </c>
      <c r="R137" s="150">
        <f>IF($B137="NA","NA",IF($A$16=0,0,-PV(DiscountRate/12,$D$15,0,'Nominal Increments'!R137,0)))</f>
        <v>0</v>
      </c>
      <c r="S137" s="150">
        <f>IF($B137="NA","NA",IF($A$17=0,0,-PV(DiscountRate/12,$D$16,0,'Nominal Increments'!S137,0)))</f>
        <v>0</v>
      </c>
      <c r="T137" s="151">
        <f>IF($B137="NA","NA",IF($A$18=0,0,-PV(DiscountRate/12,$D$17,0,'Nominal Increments'!T137,0)))</f>
        <v>0</v>
      </c>
    </row>
    <row r="138" spans="1:20" x14ac:dyDescent="0.2">
      <c r="A138" s="86">
        <f t="shared" si="5"/>
        <v>3501</v>
      </c>
      <c r="B138" s="142">
        <f t="shared" si="6"/>
        <v>116</v>
      </c>
      <c r="C138" s="143">
        <f t="shared" si="7"/>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50">
        <f>IF(B138="NA","NA",IF(ISNUMBER(VLOOKUP($C138,'A4 Investment'!$A$24:$G$33,7,FALSE)),VLOOKUP($C138,'A4 Investment'!$A$24:$G$33,7,FALSE)*'A4 Investment'!G$18/12,0))</f>
        <v>0</v>
      </c>
      <c r="I138" s="151">
        <f t="shared" si="8"/>
        <v>8904.1666666666661</v>
      </c>
      <c r="J138" s="159">
        <f t="shared" si="9"/>
        <v>8904.1666666666661</v>
      </c>
      <c r="K138" s="150">
        <f>IF($B138="NA","NA",-PV(DiscountRate/12,0,0,'Nominal Increments'!K138,0))</f>
        <v>8904.1666666666661</v>
      </c>
      <c r="L138" s="150">
        <f>IF($B138="NA","NA",IF($A$10=0,0,-PV(DiscountRate/12,$D$9,0,'Nominal Increments'!L138,0)))</f>
        <v>0</v>
      </c>
      <c r="M138" s="150">
        <f>IF($B138="NA","NA",IF($A$11=0,0,-PV(DiscountRate/12,$D$10,0,'Nominal Increments'!M138,0)))</f>
        <v>0</v>
      </c>
      <c r="N138" s="150">
        <f>IF($B138="NA","NA",IF($A$12=0,0,-PV(DiscountRate/12,$D$11,0,'Nominal Increments'!N138,0)))</f>
        <v>0</v>
      </c>
      <c r="O138" s="150">
        <f>IF($B138="NA","NA",IF($A$13=0,0,-PV(DiscountRate/12,$D$12,0,'Nominal Increments'!O138,0)))</f>
        <v>0</v>
      </c>
      <c r="P138" s="150">
        <f>IF($B138="NA","NA",IF($A$14=0,0,-PV(DiscountRate/12,$D$13,0,'Nominal Increments'!P138,0)))</f>
        <v>0</v>
      </c>
      <c r="Q138" s="150">
        <f>IF($B138="NA","NA",IF($A$15=0,0,-PV(DiscountRate/12,$D$14,0,'Nominal Increments'!Q138,0)))</f>
        <v>0</v>
      </c>
      <c r="R138" s="150">
        <f>IF($B138="NA","NA",IF($A$16=0,0,-PV(DiscountRate/12,$D$15,0,'Nominal Increments'!R138,0)))</f>
        <v>0</v>
      </c>
      <c r="S138" s="150">
        <f>IF($B138="NA","NA",IF($A$17=0,0,-PV(DiscountRate/12,$D$16,0,'Nominal Increments'!S138,0)))</f>
        <v>0</v>
      </c>
      <c r="T138" s="151">
        <f>IF($B138="NA","NA",IF($A$18=0,0,-PV(DiscountRate/12,$D$17,0,'Nominal Increments'!T138,0)))</f>
        <v>0</v>
      </c>
    </row>
    <row r="139" spans="1:20" x14ac:dyDescent="0.2">
      <c r="A139" s="86">
        <f t="shared" si="5"/>
        <v>3532</v>
      </c>
      <c r="B139" s="142">
        <f t="shared" si="6"/>
        <v>117</v>
      </c>
      <c r="C139" s="143">
        <f t="shared" si="7"/>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50">
        <f>IF(B139="NA","NA",IF(ISNUMBER(VLOOKUP($C139,'A4 Investment'!$A$24:$G$33,7,FALSE)),VLOOKUP($C139,'A4 Investment'!$A$24:$G$33,7,FALSE)*'A4 Investment'!G$18/12,0))</f>
        <v>0</v>
      </c>
      <c r="I139" s="151">
        <f t="shared" si="8"/>
        <v>8904.1666666666661</v>
      </c>
      <c r="J139" s="159">
        <f t="shared" si="9"/>
        <v>8904.1666666666661</v>
      </c>
      <c r="K139" s="150">
        <f>IF($B139="NA","NA",-PV(DiscountRate/12,0,0,'Nominal Increments'!K139,0))</f>
        <v>8904.1666666666661</v>
      </c>
      <c r="L139" s="150">
        <f>IF($B139="NA","NA",IF($A$10=0,0,-PV(DiscountRate/12,$D$9,0,'Nominal Increments'!L139,0)))</f>
        <v>0</v>
      </c>
      <c r="M139" s="150">
        <f>IF($B139="NA","NA",IF($A$11=0,0,-PV(DiscountRate/12,$D$10,0,'Nominal Increments'!M139,0)))</f>
        <v>0</v>
      </c>
      <c r="N139" s="150">
        <f>IF($B139="NA","NA",IF($A$12=0,0,-PV(DiscountRate/12,$D$11,0,'Nominal Increments'!N139,0)))</f>
        <v>0</v>
      </c>
      <c r="O139" s="150">
        <f>IF($B139="NA","NA",IF($A$13=0,0,-PV(DiscountRate/12,$D$12,0,'Nominal Increments'!O139,0)))</f>
        <v>0</v>
      </c>
      <c r="P139" s="150">
        <f>IF($B139="NA","NA",IF($A$14=0,0,-PV(DiscountRate/12,$D$13,0,'Nominal Increments'!P139,0)))</f>
        <v>0</v>
      </c>
      <c r="Q139" s="150">
        <f>IF($B139="NA","NA",IF($A$15=0,0,-PV(DiscountRate/12,$D$14,0,'Nominal Increments'!Q139,0)))</f>
        <v>0</v>
      </c>
      <c r="R139" s="150">
        <f>IF($B139="NA","NA",IF($A$16=0,0,-PV(DiscountRate/12,$D$15,0,'Nominal Increments'!R139,0)))</f>
        <v>0</v>
      </c>
      <c r="S139" s="150">
        <f>IF($B139="NA","NA",IF($A$17=0,0,-PV(DiscountRate/12,$D$16,0,'Nominal Increments'!S139,0)))</f>
        <v>0</v>
      </c>
      <c r="T139" s="151">
        <f>IF($B139="NA","NA",IF($A$18=0,0,-PV(DiscountRate/12,$D$17,0,'Nominal Increments'!T139,0)))</f>
        <v>0</v>
      </c>
    </row>
    <row r="140" spans="1:20" x14ac:dyDescent="0.2">
      <c r="A140" s="86">
        <f t="shared" si="5"/>
        <v>3562</v>
      </c>
      <c r="B140" s="142">
        <f t="shared" si="6"/>
        <v>118</v>
      </c>
      <c r="C140" s="143">
        <f t="shared" si="7"/>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50">
        <f>IF(B140="NA","NA",IF(ISNUMBER(VLOOKUP($C140,'A4 Investment'!$A$24:$G$33,7,FALSE)),VLOOKUP($C140,'A4 Investment'!$A$24:$G$33,7,FALSE)*'A4 Investment'!G$18/12,0))</f>
        <v>0</v>
      </c>
      <c r="I140" s="151">
        <f t="shared" si="8"/>
        <v>8904.1666666666661</v>
      </c>
      <c r="J140" s="159">
        <f t="shared" si="9"/>
        <v>8904.1666666666661</v>
      </c>
      <c r="K140" s="150">
        <f>IF($B140="NA","NA",-PV(DiscountRate/12,0,0,'Nominal Increments'!K140,0))</f>
        <v>8904.1666666666661</v>
      </c>
      <c r="L140" s="150">
        <f>IF($B140="NA","NA",IF($A$10=0,0,-PV(DiscountRate/12,$D$9,0,'Nominal Increments'!L140,0)))</f>
        <v>0</v>
      </c>
      <c r="M140" s="150">
        <f>IF($B140="NA","NA",IF($A$11=0,0,-PV(DiscountRate/12,$D$10,0,'Nominal Increments'!M140,0)))</f>
        <v>0</v>
      </c>
      <c r="N140" s="150">
        <f>IF($B140="NA","NA",IF($A$12=0,0,-PV(DiscountRate/12,$D$11,0,'Nominal Increments'!N140,0)))</f>
        <v>0</v>
      </c>
      <c r="O140" s="150">
        <f>IF($B140="NA","NA",IF($A$13=0,0,-PV(DiscountRate/12,$D$12,0,'Nominal Increments'!O140,0)))</f>
        <v>0</v>
      </c>
      <c r="P140" s="150">
        <f>IF($B140="NA","NA",IF($A$14=0,0,-PV(DiscountRate/12,$D$13,0,'Nominal Increments'!P140,0)))</f>
        <v>0</v>
      </c>
      <c r="Q140" s="150">
        <f>IF($B140="NA","NA",IF($A$15=0,0,-PV(DiscountRate/12,$D$14,0,'Nominal Increments'!Q140,0)))</f>
        <v>0</v>
      </c>
      <c r="R140" s="150">
        <f>IF($B140="NA","NA",IF($A$16=0,0,-PV(DiscountRate/12,$D$15,0,'Nominal Increments'!R140,0)))</f>
        <v>0</v>
      </c>
      <c r="S140" s="150">
        <f>IF($B140="NA","NA",IF($A$17=0,0,-PV(DiscountRate/12,$D$16,0,'Nominal Increments'!S140,0)))</f>
        <v>0</v>
      </c>
      <c r="T140" s="151">
        <f>IF($B140="NA","NA",IF($A$18=0,0,-PV(DiscountRate/12,$D$17,0,'Nominal Increments'!T140,0)))</f>
        <v>0</v>
      </c>
    </row>
    <row r="141" spans="1:20" x14ac:dyDescent="0.2">
      <c r="A141" s="86">
        <f t="shared" si="5"/>
        <v>3593</v>
      </c>
      <c r="B141" s="142">
        <f t="shared" si="6"/>
        <v>119</v>
      </c>
      <c r="C141" s="143">
        <f t="shared" si="7"/>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50">
        <f>IF(B141="NA","NA",IF(ISNUMBER(VLOOKUP($C141,'A4 Investment'!$A$24:$G$33,7,FALSE)),VLOOKUP($C141,'A4 Investment'!$A$24:$G$33,7,FALSE)*'A4 Investment'!G$18/12,0))</f>
        <v>0</v>
      </c>
      <c r="I141" s="151">
        <f t="shared" si="8"/>
        <v>8904.1666666666661</v>
      </c>
      <c r="J141" s="159">
        <f t="shared" si="9"/>
        <v>8904.1666666666661</v>
      </c>
      <c r="K141" s="150">
        <f>IF($B141="NA","NA",-PV(DiscountRate/12,0,0,'Nominal Increments'!K141,0))</f>
        <v>8904.1666666666661</v>
      </c>
      <c r="L141" s="150">
        <f>IF($B141="NA","NA",IF($A$10=0,0,-PV(DiscountRate/12,$D$9,0,'Nominal Increments'!L141,0)))</f>
        <v>0</v>
      </c>
      <c r="M141" s="150">
        <f>IF($B141="NA","NA",IF($A$11=0,0,-PV(DiscountRate/12,$D$10,0,'Nominal Increments'!M141,0)))</f>
        <v>0</v>
      </c>
      <c r="N141" s="150">
        <f>IF($B141="NA","NA",IF($A$12=0,0,-PV(DiscountRate/12,$D$11,0,'Nominal Increments'!N141,0)))</f>
        <v>0</v>
      </c>
      <c r="O141" s="150">
        <f>IF($B141="NA","NA",IF($A$13=0,0,-PV(DiscountRate/12,$D$12,0,'Nominal Increments'!O141,0)))</f>
        <v>0</v>
      </c>
      <c r="P141" s="150">
        <f>IF($B141="NA","NA",IF($A$14=0,0,-PV(DiscountRate/12,$D$13,0,'Nominal Increments'!P141,0)))</f>
        <v>0</v>
      </c>
      <c r="Q141" s="150">
        <f>IF($B141="NA","NA",IF($A$15=0,0,-PV(DiscountRate/12,$D$14,0,'Nominal Increments'!Q141,0)))</f>
        <v>0</v>
      </c>
      <c r="R141" s="150">
        <f>IF($B141="NA","NA",IF($A$16=0,0,-PV(DiscountRate/12,$D$15,0,'Nominal Increments'!R141,0)))</f>
        <v>0</v>
      </c>
      <c r="S141" s="150">
        <f>IF($B141="NA","NA",IF($A$17=0,0,-PV(DiscountRate/12,$D$16,0,'Nominal Increments'!S141,0)))</f>
        <v>0</v>
      </c>
      <c r="T141" s="151">
        <f>IF($B141="NA","NA",IF($A$18=0,0,-PV(DiscountRate/12,$D$17,0,'Nominal Increments'!T141,0)))</f>
        <v>0</v>
      </c>
    </row>
    <row r="142" spans="1:20" x14ac:dyDescent="0.2">
      <c r="A142" s="86">
        <f t="shared" si="5"/>
        <v>3623</v>
      </c>
      <c r="B142" s="142">
        <f t="shared" si="6"/>
        <v>120</v>
      </c>
      <c r="C142" s="143">
        <f t="shared" si="7"/>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50">
        <f>IF(B142="NA","NA",IF(ISNUMBER(VLOOKUP($C142,'A4 Investment'!$A$24:$G$33,7,FALSE)),VLOOKUP($C142,'A4 Investment'!$A$24:$G$33,7,FALSE)*'A4 Investment'!G$18/12,0))</f>
        <v>0</v>
      </c>
      <c r="I142" s="151">
        <f t="shared" si="8"/>
        <v>8904.1666666666661</v>
      </c>
      <c r="J142" s="159">
        <f t="shared" si="9"/>
        <v>8904.1666666666661</v>
      </c>
      <c r="K142" s="150">
        <f>IF($B142="NA","NA",-PV(DiscountRate/12,0,0,'Nominal Increments'!K142,0))</f>
        <v>8904.1666666666661</v>
      </c>
      <c r="L142" s="150">
        <f>IF($B142="NA","NA",IF($A$10=0,0,-PV(DiscountRate/12,$D$9,0,'Nominal Increments'!L142,0)))</f>
        <v>0</v>
      </c>
      <c r="M142" s="150">
        <f>IF($B142="NA","NA",IF($A$11=0,0,-PV(DiscountRate/12,$D$10,0,'Nominal Increments'!M142,0)))</f>
        <v>0</v>
      </c>
      <c r="N142" s="150">
        <f>IF($B142="NA","NA",IF($A$12=0,0,-PV(DiscountRate/12,$D$11,0,'Nominal Increments'!N142,0)))</f>
        <v>0</v>
      </c>
      <c r="O142" s="150">
        <f>IF($B142="NA","NA",IF($A$13=0,0,-PV(DiscountRate/12,$D$12,0,'Nominal Increments'!O142,0)))</f>
        <v>0</v>
      </c>
      <c r="P142" s="150">
        <f>IF($B142="NA","NA",IF($A$14=0,0,-PV(DiscountRate/12,$D$13,0,'Nominal Increments'!P142,0)))</f>
        <v>0</v>
      </c>
      <c r="Q142" s="150">
        <f>IF($B142="NA","NA",IF($A$15=0,0,-PV(DiscountRate/12,$D$14,0,'Nominal Increments'!Q142,0)))</f>
        <v>0</v>
      </c>
      <c r="R142" s="150">
        <f>IF($B142="NA","NA",IF($A$16=0,0,-PV(DiscountRate/12,$D$15,0,'Nominal Increments'!R142,0)))</f>
        <v>0</v>
      </c>
      <c r="S142" s="150">
        <f>IF($B142="NA","NA",IF($A$17=0,0,-PV(DiscountRate/12,$D$16,0,'Nominal Increments'!S142,0)))</f>
        <v>0</v>
      </c>
      <c r="T142" s="151">
        <f>IF($B142="NA","NA",IF($A$18=0,0,-PV(DiscountRate/12,$D$17,0,'Nominal Increments'!T142,0)))</f>
        <v>0</v>
      </c>
    </row>
    <row r="143" spans="1:20" x14ac:dyDescent="0.2">
      <c r="A143" s="86">
        <f t="shared" si="5"/>
        <v>3654</v>
      </c>
      <c r="B143" s="142">
        <f t="shared" si="6"/>
        <v>121</v>
      </c>
      <c r="C143" s="143">
        <f t="shared" si="7"/>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50">
        <f>IF(B143="NA","NA",IF(ISNUMBER(VLOOKUP($C143,'A4 Investment'!$A$24:$G$33,7,FALSE)),VLOOKUP($C143,'A4 Investment'!$A$24:$G$33,7,FALSE)*'A4 Investment'!G$18/12,0))</f>
        <v>0</v>
      </c>
      <c r="I143" s="151">
        <f t="shared" si="8"/>
        <v>8904.1666666666661</v>
      </c>
      <c r="J143" s="159">
        <f t="shared" si="9"/>
        <v>8904.1666666666661</v>
      </c>
      <c r="K143" s="150">
        <f>IF($B143="NA","NA",-PV(DiscountRate/12,0,0,'Nominal Increments'!K143,0))</f>
        <v>8904.1666666666661</v>
      </c>
      <c r="L143" s="150">
        <f>IF($B143="NA","NA",IF($A$10=0,0,-PV(DiscountRate/12,$D$9,0,'Nominal Increments'!L143,0)))</f>
        <v>0</v>
      </c>
      <c r="M143" s="150">
        <f>IF($B143="NA","NA",IF($A$11=0,0,-PV(DiscountRate/12,$D$10,0,'Nominal Increments'!M143,0)))</f>
        <v>0</v>
      </c>
      <c r="N143" s="150">
        <f>IF($B143="NA","NA",IF($A$12=0,0,-PV(DiscountRate/12,$D$11,0,'Nominal Increments'!N143,0)))</f>
        <v>0</v>
      </c>
      <c r="O143" s="150">
        <f>IF($B143="NA","NA",IF($A$13=0,0,-PV(DiscountRate/12,$D$12,0,'Nominal Increments'!O143,0)))</f>
        <v>0</v>
      </c>
      <c r="P143" s="150">
        <f>IF($B143="NA","NA",IF($A$14=0,0,-PV(DiscountRate/12,$D$13,0,'Nominal Increments'!P143,0)))</f>
        <v>0</v>
      </c>
      <c r="Q143" s="150">
        <f>IF($B143="NA","NA",IF($A$15=0,0,-PV(DiscountRate/12,$D$14,0,'Nominal Increments'!Q143,0)))</f>
        <v>0</v>
      </c>
      <c r="R143" s="150">
        <f>IF($B143="NA","NA",IF($A$16=0,0,-PV(DiscountRate/12,$D$15,0,'Nominal Increments'!R143,0)))</f>
        <v>0</v>
      </c>
      <c r="S143" s="150">
        <f>IF($B143="NA","NA",IF($A$17=0,0,-PV(DiscountRate/12,$D$16,0,'Nominal Increments'!S143,0)))</f>
        <v>0</v>
      </c>
      <c r="T143" s="151">
        <f>IF($B143="NA","NA",IF($A$18=0,0,-PV(DiscountRate/12,$D$17,0,'Nominal Increments'!T143,0)))</f>
        <v>0</v>
      </c>
    </row>
    <row r="144" spans="1:20" x14ac:dyDescent="0.2">
      <c r="A144" s="86">
        <f t="shared" si="5"/>
        <v>3685</v>
      </c>
      <c r="B144" s="142">
        <f t="shared" si="6"/>
        <v>122</v>
      </c>
      <c r="C144" s="143">
        <f t="shared" si="7"/>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50">
        <f>IF(B144="NA","NA",IF(ISNUMBER(VLOOKUP($C144,'A4 Investment'!$A$24:$G$33,7,FALSE)),VLOOKUP($C144,'A4 Investment'!$A$24:$G$33,7,FALSE)*'A4 Investment'!G$18/12,0))</f>
        <v>0</v>
      </c>
      <c r="I144" s="151">
        <f t="shared" si="8"/>
        <v>8904.1666666666661</v>
      </c>
      <c r="J144" s="159">
        <f t="shared" si="9"/>
        <v>8904.1666666666661</v>
      </c>
      <c r="K144" s="150">
        <f>IF($B144="NA","NA",-PV(DiscountRate/12,0,0,'Nominal Increments'!K144,0))</f>
        <v>8904.1666666666661</v>
      </c>
      <c r="L144" s="150">
        <f>IF($B144="NA","NA",IF($A$10=0,0,-PV(DiscountRate/12,$D$9,0,'Nominal Increments'!L144,0)))</f>
        <v>0</v>
      </c>
      <c r="M144" s="150">
        <f>IF($B144="NA","NA",IF($A$11=0,0,-PV(DiscountRate/12,$D$10,0,'Nominal Increments'!M144,0)))</f>
        <v>0</v>
      </c>
      <c r="N144" s="150">
        <f>IF($B144="NA","NA",IF($A$12=0,0,-PV(DiscountRate/12,$D$11,0,'Nominal Increments'!N144,0)))</f>
        <v>0</v>
      </c>
      <c r="O144" s="150">
        <f>IF($B144="NA","NA",IF($A$13=0,0,-PV(DiscountRate/12,$D$12,0,'Nominal Increments'!O144,0)))</f>
        <v>0</v>
      </c>
      <c r="P144" s="150">
        <f>IF($B144="NA","NA",IF($A$14=0,0,-PV(DiscountRate/12,$D$13,0,'Nominal Increments'!P144,0)))</f>
        <v>0</v>
      </c>
      <c r="Q144" s="150">
        <f>IF($B144="NA","NA",IF($A$15=0,0,-PV(DiscountRate/12,$D$14,0,'Nominal Increments'!Q144,0)))</f>
        <v>0</v>
      </c>
      <c r="R144" s="150">
        <f>IF($B144="NA","NA",IF($A$16=0,0,-PV(DiscountRate/12,$D$15,0,'Nominal Increments'!R144,0)))</f>
        <v>0</v>
      </c>
      <c r="S144" s="150">
        <f>IF($B144="NA","NA",IF($A$17=0,0,-PV(DiscountRate/12,$D$16,0,'Nominal Increments'!S144,0)))</f>
        <v>0</v>
      </c>
      <c r="T144" s="151">
        <f>IF($B144="NA","NA",IF($A$18=0,0,-PV(DiscountRate/12,$D$17,0,'Nominal Increments'!T144,0)))</f>
        <v>0</v>
      </c>
    </row>
    <row r="145" spans="1:20" x14ac:dyDescent="0.2">
      <c r="A145" s="86">
        <f t="shared" si="5"/>
        <v>3713</v>
      </c>
      <c r="B145" s="142">
        <f t="shared" si="6"/>
        <v>123</v>
      </c>
      <c r="C145" s="143">
        <f t="shared" si="7"/>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50">
        <f>IF(B145="NA","NA",IF(ISNUMBER(VLOOKUP($C145,'A4 Investment'!$A$24:$G$33,7,FALSE)),VLOOKUP($C145,'A4 Investment'!$A$24:$G$33,7,FALSE)*'A4 Investment'!G$18/12,0))</f>
        <v>0</v>
      </c>
      <c r="I145" s="151">
        <f t="shared" si="8"/>
        <v>8904.1666666666661</v>
      </c>
      <c r="J145" s="159">
        <f t="shared" si="9"/>
        <v>8904.1666666666661</v>
      </c>
      <c r="K145" s="150">
        <f>IF($B145="NA","NA",-PV(DiscountRate/12,0,0,'Nominal Increments'!K145,0))</f>
        <v>8904.1666666666661</v>
      </c>
      <c r="L145" s="150">
        <f>IF($B145="NA","NA",IF($A$10=0,0,-PV(DiscountRate/12,$D$9,0,'Nominal Increments'!L145,0)))</f>
        <v>0</v>
      </c>
      <c r="M145" s="150">
        <f>IF($B145="NA","NA",IF($A$11=0,0,-PV(DiscountRate/12,$D$10,0,'Nominal Increments'!M145,0)))</f>
        <v>0</v>
      </c>
      <c r="N145" s="150">
        <f>IF($B145="NA","NA",IF($A$12=0,0,-PV(DiscountRate/12,$D$11,0,'Nominal Increments'!N145,0)))</f>
        <v>0</v>
      </c>
      <c r="O145" s="150">
        <f>IF($B145="NA","NA",IF($A$13=0,0,-PV(DiscountRate/12,$D$12,0,'Nominal Increments'!O145,0)))</f>
        <v>0</v>
      </c>
      <c r="P145" s="150">
        <f>IF($B145="NA","NA",IF($A$14=0,0,-PV(DiscountRate/12,$D$13,0,'Nominal Increments'!P145,0)))</f>
        <v>0</v>
      </c>
      <c r="Q145" s="150">
        <f>IF($B145="NA","NA",IF($A$15=0,0,-PV(DiscountRate/12,$D$14,0,'Nominal Increments'!Q145,0)))</f>
        <v>0</v>
      </c>
      <c r="R145" s="150">
        <f>IF($B145="NA","NA",IF($A$16=0,0,-PV(DiscountRate/12,$D$15,0,'Nominal Increments'!R145,0)))</f>
        <v>0</v>
      </c>
      <c r="S145" s="150">
        <f>IF($B145="NA","NA",IF($A$17=0,0,-PV(DiscountRate/12,$D$16,0,'Nominal Increments'!S145,0)))</f>
        <v>0</v>
      </c>
      <c r="T145" s="151">
        <f>IF($B145="NA","NA",IF($A$18=0,0,-PV(DiscountRate/12,$D$17,0,'Nominal Increments'!T145,0)))</f>
        <v>0</v>
      </c>
    </row>
    <row r="146" spans="1:20" x14ac:dyDescent="0.2">
      <c r="A146" s="86">
        <f t="shared" si="5"/>
        <v>3744</v>
      </c>
      <c r="B146" s="142">
        <f t="shared" si="6"/>
        <v>124</v>
      </c>
      <c r="C146" s="143">
        <f t="shared" si="7"/>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50">
        <f>IF(B146="NA","NA",IF(ISNUMBER(VLOOKUP($C146,'A4 Investment'!$A$24:$G$33,7,FALSE)),VLOOKUP($C146,'A4 Investment'!$A$24:$G$33,7,FALSE)*'A4 Investment'!G$18/12,0))</f>
        <v>0</v>
      </c>
      <c r="I146" s="151">
        <f t="shared" si="8"/>
        <v>8904.1666666666661</v>
      </c>
      <c r="J146" s="159">
        <f t="shared" si="9"/>
        <v>8904.1666666666661</v>
      </c>
      <c r="K146" s="150">
        <f>IF($B146="NA","NA",-PV(DiscountRate/12,0,0,'Nominal Increments'!K146,0))</f>
        <v>8904.1666666666661</v>
      </c>
      <c r="L146" s="150">
        <f>IF($B146="NA","NA",IF($A$10=0,0,-PV(DiscountRate/12,$D$9,0,'Nominal Increments'!L146,0)))</f>
        <v>0</v>
      </c>
      <c r="M146" s="150">
        <f>IF($B146="NA","NA",IF($A$11=0,0,-PV(DiscountRate/12,$D$10,0,'Nominal Increments'!M146,0)))</f>
        <v>0</v>
      </c>
      <c r="N146" s="150">
        <f>IF($B146="NA","NA",IF($A$12=0,0,-PV(DiscountRate/12,$D$11,0,'Nominal Increments'!N146,0)))</f>
        <v>0</v>
      </c>
      <c r="O146" s="150">
        <f>IF($B146="NA","NA",IF($A$13=0,0,-PV(DiscountRate/12,$D$12,0,'Nominal Increments'!O146,0)))</f>
        <v>0</v>
      </c>
      <c r="P146" s="150">
        <f>IF($B146="NA","NA",IF($A$14=0,0,-PV(DiscountRate/12,$D$13,0,'Nominal Increments'!P146,0)))</f>
        <v>0</v>
      </c>
      <c r="Q146" s="150">
        <f>IF($B146="NA","NA",IF($A$15=0,0,-PV(DiscountRate/12,$D$14,0,'Nominal Increments'!Q146,0)))</f>
        <v>0</v>
      </c>
      <c r="R146" s="150">
        <f>IF($B146="NA","NA",IF($A$16=0,0,-PV(DiscountRate/12,$D$15,0,'Nominal Increments'!R146,0)))</f>
        <v>0</v>
      </c>
      <c r="S146" s="150">
        <f>IF($B146="NA","NA",IF($A$17=0,0,-PV(DiscountRate/12,$D$16,0,'Nominal Increments'!S146,0)))</f>
        <v>0</v>
      </c>
      <c r="T146" s="151">
        <f>IF($B146="NA","NA",IF($A$18=0,0,-PV(DiscountRate/12,$D$17,0,'Nominal Increments'!T146,0)))</f>
        <v>0</v>
      </c>
    </row>
    <row r="147" spans="1:20" x14ac:dyDescent="0.2">
      <c r="A147" s="86">
        <f t="shared" si="5"/>
        <v>3774</v>
      </c>
      <c r="B147" s="142">
        <f t="shared" si="6"/>
        <v>125</v>
      </c>
      <c r="C147" s="143">
        <f t="shared" si="7"/>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50">
        <f>IF(B147="NA","NA",IF(ISNUMBER(VLOOKUP($C147,'A4 Investment'!$A$24:$G$33,7,FALSE)),VLOOKUP($C147,'A4 Investment'!$A$24:$G$33,7,FALSE)*'A4 Investment'!G$18/12,0))</f>
        <v>0</v>
      </c>
      <c r="I147" s="151">
        <f t="shared" si="8"/>
        <v>8904.1666666666661</v>
      </c>
      <c r="J147" s="159">
        <f t="shared" si="9"/>
        <v>8904.1666666666661</v>
      </c>
      <c r="K147" s="150">
        <f>IF($B147="NA","NA",-PV(DiscountRate/12,0,0,'Nominal Increments'!K147,0))</f>
        <v>8904.1666666666661</v>
      </c>
      <c r="L147" s="150">
        <f>IF($B147="NA","NA",IF($A$10=0,0,-PV(DiscountRate/12,$D$9,0,'Nominal Increments'!L147,0)))</f>
        <v>0</v>
      </c>
      <c r="M147" s="150">
        <f>IF($B147="NA","NA",IF($A$11=0,0,-PV(DiscountRate/12,$D$10,0,'Nominal Increments'!M147,0)))</f>
        <v>0</v>
      </c>
      <c r="N147" s="150">
        <f>IF($B147="NA","NA",IF($A$12=0,0,-PV(DiscountRate/12,$D$11,0,'Nominal Increments'!N147,0)))</f>
        <v>0</v>
      </c>
      <c r="O147" s="150">
        <f>IF($B147="NA","NA",IF($A$13=0,0,-PV(DiscountRate/12,$D$12,0,'Nominal Increments'!O147,0)))</f>
        <v>0</v>
      </c>
      <c r="P147" s="150">
        <f>IF($B147="NA","NA",IF($A$14=0,0,-PV(DiscountRate/12,$D$13,0,'Nominal Increments'!P147,0)))</f>
        <v>0</v>
      </c>
      <c r="Q147" s="150">
        <f>IF($B147="NA","NA",IF($A$15=0,0,-PV(DiscountRate/12,$D$14,0,'Nominal Increments'!Q147,0)))</f>
        <v>0</v>
      </c>
      <c r="R147" s="150">
        <f>IF($B147="NA","NA",IF($A$16=0,0,-PV(DiscountRate/12,$D$15,0,'Nominal Increments'!R147,0)))</f>
        <v>0</v>
      </c>
      <c r="S147" s="150">
        <f>IF($B147="NA","NA",IF($A$17=0,0,-PV(DiscountRate/12,$D$16,0,'Nominal Increments'!S147,0)))</f>
        <v>0</v>
      </c>
      <c r="T147" s="151">
        <f>IF($B147="NA","NA",IF($A$18=0,0,-PV(DiscountRate/12,$D$17,0,'Nominal Increments'!T147,0)))</f>
        <v>0</v>
      </c>
    </row>
    <row r="148" spans="1:20" x14ac:dyDescent="0.2">
      <c r="A148" s="86">
        <f t="shared" ref="A148:A211" si="10">IF(B148="NA","NA",DATE(YEAR(A147),MONTH(A147)+1,1))</f>
        <v>3805</v>
      </c>
      <c r="B148" s="142">
        <f t="shared" ref="B148:B211" si="11">IF(B147="NA","NA",IF((B147+1)&gt;MAX($D$9:$D$18),"NA",B147+1))</f>
        <v>126</v>
      </c>
      <c r="C148" s="143">
        <f t="shared" ref="C148:C211" si="12">IF(B148="NA","NA",MATCH(B148-1,$D$8:$D$18,1))</f>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50">
        <f>IF(B148="NA","NA",IF(ISNUMBER(VLOOKUP($C148,'A4 Investment'!$A$24:$G$33,7,FALSE)),VLOOKUP($C148,'A4 Investment'!$A$24:$G$33,7,FALSE)*'A4 Investment'!G$18/12,0))</f>
        <v>0</v>
      </c>
      <c r="I148" s="151">
        <f t="shared" ref="I148:I211" si="13">IF(B148="NA","NA",SUM(D148:H148))</f>
        <v>8904.1666666666661</v>
      </c>
      <c r="J148" s="159">
        <f t="shared" si="9"/>
        <v>8904.1666666666661</v>
      </c>
      <c r="K148" s="150">
        <f>IF($B148="NA","NA",-PV(DiscountRate/12,0,0,'Nominal Increments'!K148,0))</f>
        <v>8904.1666666666661</v>
      </c>
      <c r="L148" s="150">
        <f>IF($B148="NA","NA",IF($A$10=0,0,-PV(DiscountRate/12,$D$9,0,'Nominal Increments'!L148,0)))</f>
        <v>0</v>
      </c>
      <c r="M148" s="150">
        <f>IF($B148="NA","NA",IF($A$11=0,0,-PV(DiscountRate/12,$D$10,0,'Nominal Increments'!M148,0)))</f>
        <v>0</v>
      </c>
      <c r="N148" s="150">
        <f>IF($B148="NA","NA",IF($A$12=0,0,-PV(DiscountRate/12,$D$11,0,'Nominal Increments'!N148,0)))</f>
        <v>0</v>
      </c>
      <c r="O148" s="150">
        <f>IF($B148="NA","NA",IF($A$13=0,0,-PV(DiscountRate/12,$D$12,0,'Nominal Increments'!O148,0)))</f>
        <v>0</v>
      </c>
      <c r="P148" s="150">
        <f>IF($B148="NA","NA",IF($A$14=0,0,-PV(DiscountRate/12,$D$13,0,'Nominal Increments'!P148,0)))</f>
        <v>0</v>
      </c>
      <c r="Q148" s="150">
        <f>IF($B148="NA","NA",IF($A$15=0,0,-PV(DiscountRate/12,$D$14,0,'Nominal Increments'!Q148,0)))</f>
        <v>0</v>
      </c>
      <c r="R148" s="150">
        <f>IF($B148="NA","NA",IF($A$16=0,0,-PV(DiscountRate/12,$D$15,0,'Nominal Increments'!R148,0)))</f>
        <v>0</v>
      </c>
      <c r="S148" s="150">
        <f>IF($B148="NA","NA",IF($A$17=0,0,-PV(DiscountRate/12,$D$16,0,'Nominal Increments'!S148,0)))</f>
        <v>0</v>
      </c>
      <c r="T148" s="151">
        <f>IF($B148="NA","NA",IF($A$18=0,0,-PV(DiscountRate/12,$D$17,0,'Nominal Increments'!T148,0)))</f>
        <v>0</v>
      </c>
    </row>
    <row r="149" spans="1:20" x14ac:dyDescent="0.2">
      <c r="A149" s="86">
        <f t="shared" si="10"/>
        <v>3835</v>
      </c>
      <c r="B149" s="142">
        <f t="shared" si="11"/>
        <v>127</v>
      </c>
      <c r="C149" s="143">
        <f t="shared" si="12"/>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50">
        <f>IF(B149="NA","NA",IF(ISNUMBER(VLOOKUP($C149,'A4 Investment'!$A$24:$G$33,7,FALSE)),VLOOKUP($C149,'A4 Investment'!$A$24:$G$33,7,FALSE)*'A4 Investment'!G$18/12,0))</f>
        <v>0</v>
      </c>
      <c r="I149" s="151">
        <f t="shared" si="13"/>
        <v>8904.1666666666661</v>
      </c>
      <c r="J149" s="159">
        <f t="shared" si="9"/>
        <v>8904.1666666666661</v>
      </c>
      <c r="K149" s="150">
        <f>IF($B149="NA","NA",-PV(DiscountRate/12,0,0,'Nominal Increments'!K149,0))</f>
        <v>8904.1666666666661</v>
      </c>
      <c r="L149" s="150">
        <f>IF($B149="NA","NA",IF($A$10=0,0,-PV(DiscountRate/12,$D$9,0,'Nominal Increments'!L149,0)))</f>
        <v>0</v>
      </c>
      <c r="M149" s="150">
        <f>IF($B149="NA","NA",IF($A$11=0,0,-PV(DiscountRate/12,$D$10,0,'Nominal Increments'!M149,0)))</f>
        <v>0</v>
      </c>
      <c r="N149" s="150">
        <f>IF($B149="NA","NA",IF($A$12=0,0,-PV(DiscountRate/12,$D$11,0,'Nominal Increments'!N149,0)))</f>
        <v>0</v>
      </c>
      <c r="O149" s="150">
        <f>IF($B149="NA","NA",IF($A$13=0,0,-PV(DiscountRate/12,$D$12,0,'Nominal Increments'!O149,0)))</f>
        <v>0</v>
      </c>
      <c r="P149" s="150">
        <f>IF($B149="NA","NA",IF($A$14=0,0,-PV(DiscountRate/12,$D$13,0,'Nominal Increments'!P149,0)))</f>
        <v>0</v>
      </c>
      <c r="Q149" s="150">
        <f>IF($B149="NA","NA",IF($A$15=0,0,-PV(DiscountRate/12,$D$14,0,'Nominal Increments'!Q149,0)))</f>
        <v>0</v>
      </c>
      <c r="R149" s="150">
        <f>IF($B149="NA","NA",IF($A$16=0,0,-PV(DiscountRate/12,$D$15,0,'Nominal Increments'!R149,0)))</f>
        <v>0</v>
      </c>
      <c r="S149" s="150">
        <f>IF($B149="NA","NA",IF($A$17=0,0,-PV(DiscountRate/12,$D$16,0,'Nominal Increments'!S149,0)))</f>
        <v>0</v>
      </c>
      <c r="T149" s="151">
        <f>IF($B149="NA","NA",IF($A$18=0,0,-PV(DiscountRate/12,$D$17,0,'Nominal Increments'!T149,0)))</f>
        <v>0</v>
      </c>
    </row>
    <row r="150" spans="1:20" x14ac:dyDescent="0.2">
      <c r="A150" s="86">
        <f t="shared" si="10"/>
        <v>3866</v>
      </c>
      <c r="B150" s="142">
        <f t="shared" si="11"/>
        <v>128</v>
      </c>
      <c r="C150" s="143">
        <f t="shared" si="12"/>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50">
        <f>IF(B150="NA","NA",IF(ISNUMBER(VLOOKUP($C150,'A4 Investment'!$A$24:$G$33,7,FALSE)),VLOOKUP($C150,'A4 Investment'!$A$24:$G$33,7,FALSE)*'A4 Investment'!G$18/12,0))</f>
        <v>0</v>
      </c>
      <c r="I150" s="151">
        <f t="shared" si="13"/>
        <v>8904.1666666666661</v>
      </c>
      <c r="J150" s="159">
        <f t="shared" si="9"/>
        <v>8904.1666666666661</v>
      </c>
      <c r="K150" s="150">
        <f>IF($B150="NA","NA",-PV(DiscountRate/12,0,0,'Nominal Increments'!K150,0))</f>
        <v>8904.1666666666661</v>
      </c>
      <c r="L150" s="150">
        <f>IF($B150="NA","NA",IF($A$10=0,0,-PV(DiscountRate/12,$D$9,0,'Nominal Increments'!L150,0)))</f>
        <v>0</v>
      </c>
      <c r="M150" s="150">
        <f>IF($B150="NA","NA",IF($A$11=0,0,-PV(DiscountRate/12,$D$10,0,'Nominal Increments'!M150,0)))</f>
        <v>0</v>
      </c>
      <c r="N150" s="150">
        <f>IF($B150="NA","NA",IF($A$12=0,0,-PV(DiscountRate/12,$D$11,0,'Nominal Increments'!N150,0)))</f>
        <v>0</v>
      </c>
      <c r="O150" s="150">
        <f>IF($B150="NA","NA",IF($A$13=0,0,-PV(DiscountRate/12,$D$12,0,'Nominal Increments'!O150,0)))</f>
        <v>0</v>
      </c>
      <c r="P150" s="150">
        <f>IF($B150="NA","NA",IF($A$14=0,0,-PV(DiscountRate/12,$D$13,0,'Nominal Increments'!P150,0)))</f>
        <v>0</v>
      </c>
      <c r="Q150" s="150">
        <f>IF($B150="NA","NA",IF($A$15=0,0,-PV(DiscountRate/12,$D$14,0,'Nominal Increments'!Q150,0)))</f>
        <v>0</v>
      </c>
      <c r="R150" s="150">
        <f>IF($B150="NA","NA",IF($A$16=0,0,-PV(DiscountRate/12,$D$15,0,'Nominal Increments'!R150,0)))</f>
        <v>0</v>
      </c>
      <c r="S150" s="150">
        <f>IF($B150="NA","NA",IF($A$17=0,0,-PV(DiscountRate/12,$D$16,0,'Nominal Increments'!S150,0)))</f>
        <v>0</v>
      </c>
      <c r="T150" s="151">
        <f>IF($B150="NA","NA",IF($A$18=0,0,-PV(DiscountRate/12,$D$17,0,'Nominal Increments'!T150,0)))</f>
        <v>0</v>
      </c>
    </row>
    <row r="151" spans="1:20" x14ac:dyDescent="0.2">
      <c r="A151" s="86">
        <f t="shared" si="10"/>
        <v>3897</v>
      </c>
      <c r="B151" s="142">
        <f t="shared" si="11"/>
        <v>129</v>
      </c>
      <c r="C151" s="143">
        <f t="shared" si="12"/>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50">
        <f>IF(B151="NA","NA",IF(ISNUMBER(VLOOKUP($C151,'A4 Investment'!$A$24:$G$33,7,FALSE)),VLOOKUP($C151,'A4 Investment'!$A$24:$G$33,7,FALSE)*'A4 Investment'!G$18/12,0))</f>
        <v>0</v>
      </c>
      <c r="I151" s="151">
        <f t="shared" si="13"/>
        <v>8904.1666666666661</v>
      </c>
      <c r="J151" s="159">
        <f t="shared" si="9"/>
        <v>8904.1666666666661</v>
      </c>
      <c r="K151" s="150">
        <f>IF($B151="NA","NA",-PV(DiscountRate/12,0,0,'Nominal Increments'!K151,0))</f>
        <v>8904.1666666666661</v>
      </c>
      <c r="L151" s="150">
        <f>IF($B151="NA","NA",IF($A$10=0,0,-PV(DiscountRate/12,$D$9,0,'Nominal Increments'!L151,0)))</f>
        <v>0</v>
      </c>
      <c r="M151" s="150">
        <f>IF($B151="NA","NA",IF($A$11=0,0,-PV(DiscountRate/12,$D$10,0,'Nominal Increments'!M151,0)))</f>
        <v>0</v>
      </c>
      <c r="N151" s="150">
        <f>IF($B151="NA","NA",IF($A$12=0,0,-PV(DiscountRate/12,$D$11,0,'Nominal Increments'!N151,0)))</f>
        <v>0</v>
      </c>
      <c r="O151" s="150">
        <f>IF($B151="NA","NA",IF($A$13=0,0,-PV(DiscountRate/12,$D$12,0,'Nominal Increments'!O151,0)))</f>
        <v>0</v>
      </c>
      <c r="P151" s="150">
        <f>IF($B151="NA","NA",IF($A$14=0,0,-PV(DiscountRate/12,$D$13,0,'Nominal Increments'!P151,0)))</f>
        <v>0</v>
      </c>
      <c r="Q151" s="150">
        <f>IF($B151="NA","NA",IF($A$15=0,0,-PV(DiscountRate/12,$D$14,0,'Nominal Increments'!Q151,0)))</f>
        <v>0</v>
      </c>
      <c r="R151" s="150">
        <f>IF($B151="NA","NA",IF($A$16=0,0,-PV(DiscountRate/12,$D$15,0,'Nominal Increments'!R151,0)))</f>
        <v>0</v>
      </c>
      <c r="S151" s="150">
        <f>IF($B151="NA","NA",IF($A$17=0,0,-PV(DiscountRate/12,$D$16,0,'Nominal Increments'!S151,0)))</f>
        <v>0</v>
      </c>
      <c r="T151" s="151">
        <f>IF($B151="NA","NA",IF($A$18=0,0,-PV(DiscountRate/12,$D$17,0,'Nominal Increments'!T151,0)))</f>
        <v>0</v>
      </c>
    </row>
    <row r="152" spans="1:20" x14ac:dyDescent="0.2">
      <c r="A152" s="86">
        <f t="shared" si="10"/>
        <v>3927</v>
      </c>
      <c r="B152" s="142">
        <f t="shared" si="11"/>
        <v>130</v>
      </c>
      <c r="C152" s="143">
        <f t="shared" si="12"/>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50">
        <f>IF(B152="NA","NA",IF(ISNUMBER(VLOOKUP($C152,'A4 Investment'!$A$24:$G$33,7,FALSE)),VLOOKUP($C152,'A4 Investment'!$A$24:$G$33,7,FALSE)*'A4 Investment'!G$18/12,0))</f>
        <v>0</v>
      </c>
      <c r="I152" s="151">
        <f t="shared" si="13"/>
        <v>8904.1666666666661</v>
      </c>
      <c r="J152" s="159">
        <f t="shared" ref="J152:J215" si="14">IF($B152="NA","NA",SUM(K152:T152))</f>
        <v>8904.1666666666661</v>
      </c>
      <c r="K152" s="150">
        <f>IF($B152="NA","NA",-PV(DiscountRate/12,0,0,'Nominal Increments'!K152,0))</f>
        <v>8904.1666666666661</v>
      </c>
      <c r="L152" s="150">
        <f>IF($B152="NA","NA",IF($A$10=0,0,-PV(DiscountRate/12,$D$9,0,'Nominal Increments'!L152,0)))</f>
        <v>0</v>
      </c>
      <c r="M152" s="150">
        <f>IF($B152="NA","NA",IF($A$11=0,0,-PV(DiscountRate/12,$D$10,0,'Nominal Increments'!M152,0)))</f>
        <v>0</v>
      </c>
      <c r="N152" s="150">
        <f>IF($B152="NA","NA",IF($A$12=0,0,-PV(DiscountRate/12,$D$11,0,'Nominal Increments'!N152,0)))</f>
        <v>0</v>
      </c>
      <c r="O152" s="150">
        <f>IF($B152="NA","NA",IF($A$13=0,0,-PV(DiscountRate/12,$D$12,0,'Nominal Increments'!O152,0)))</f>
        <v>0</v>
      </c>
      <c r="P152" s="150">
        <f>IF($B152="NA","NA",IF($A$14=0,0,-PV(DiscountRate/12,$D$13,0,'Nominal Increments'!P152,0)))</f>
        <v>0</v>
      </c>
      <c r="Q152" s="150">
        <f>IF($B152="NA","NA",IF($A$15=0,0,-PV(DiscountRate/12,$D$14,0,'Nominal Increments'!Q152,0)))</f>
        <v>0</v>
      </c>
      <c r="R152" s="150">
        <f>IF($B152="NA","NA",IF($A$16=0,0,-PV(DiscountRate/12,$D$15,0,'Nominal Increments'!R152,0)))</f>
        <v>0</v>
      </c>
      <c r="S152" s="150">
        <f>IF($B152="NA","NA",IF($A$17=0,0,-PV(DiscountRate/12,$D$16,0,'Nominal Increments'!S152,0)))</f>
        <v>0</v>
      </c>
      <c r="T152" s="151">
        <f>IF($B152="NA","NA",IF($A$18=0,0,-PV(DiscountRate/12,$D$17,0,'Nominal Increments'!T152,0)))</f>
        <v>0</v>
      </c>
    </row>
    <row r="153" spans="1:20" x14ac:dyDescent="0.2">
      <c r="A153" s="86">
        <f t="shared" si="10"/>
        <v>3958</v>
      </c>
      <c r="B153" s="142">
        <f t="shared" si="11"/>
        <v>131</v>
      </c>
      <c r="C153" s="143">
        <f t="shared" si="12"/>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50">
        <f>IF(B153="NA","NA",IF(ISNUMBER(VLOOKUP($C153,'A4 Investment'!$A$24:$G$33,7,FALSE)),VLOOKUP($C153,'A4 Investment'!$A$24:$G$33,7,FALSE)*'A4 Investment'!G$18/12,0))</f>
        <v>0</v>
      </c>
      <c r="I153" s="151">
        <f t="shared" si="13"/>
        <v>8904.1666666666661</v>
      </c>
      <c r="J153" s="159">
        <f t="shared" si="14"/>
        <v>8904.1666666666661</v>
      </c>
      <c r="K153" s="150">
        <f>IF($B153="NA","NA",-PV(DiscountRate/12,0,0,'Nominal Increments'!K153,0))</f>
        <v>8904.1666666666661</v>
      </c>
      <c r="L153" s="150">
        <f>IF($B153="NA","NA",IF($A$10=0,0,-PV(DiscountRate/12,$D$9,0,'Nominal Increments'!L153,0)))</f>
        <v>0</v>
      </c>
      <c r="M153" s="150">
        <f>IF($B153="NA","NA",IF($A$11=0,0,-PV(DiscountRate/12,$D$10,0,'Nominal Increments'!M153,0)))</f>
        <v>0</v>
      </c>
      <c r="N153" s="150">
        <f>IF($B153="NA","NA",IF($A$12=0,0,-PV(DiscountRate/12,$D$11,0,'Nominal Increments'!N153,0)))</f>
        <v>0</v>
      </c>
      <c r="O153" s="150">
        <f>IF($B153="NA","NA",IF($A$13=0,0,-PV(DiscountRate/12,$D$12,0,'Nominal Increments'!O153,0)))</f>
        <v>0</v>
      </c>
      <c r="P153" s="150">
        <f>IF($B153="NA","NA",IF($A$14=0,0,-PV(DiscountRate/12,$D$13,0,'Nominal Increments'!P153,0)))</f>
        <v>0</v>
      </c>
      <c r="Q153" s="150">
        <f>IF($B153="NA","NA",IF($A$15=0,0,-PV(DiscountRate/12,$D$14,0,'Nominal Increments'!Q153,0)))</f>
        <v>0</v>
      </c>
      <c r="R153" s="150">
        <f>IF($B153="NA","NA",IF($A$16=0,0,-PV(DiscountRate/12,$D$15,0,'Nominal Increments'!R153,0)))</f>
        <v>0</v>
      </c>
      <c r="S153" s="150">
        <f>IF($B153="NA","NA",IF($A$17=0,0,-PV(DiscountRate/12,$D$16,0,'Nominal Increments'!S153,0)))</f>
        <v>0</v>
      </c>
      <c r="T153" s="151">
        <f>IF($B153="NA","NA",IF($A$18=0,0,-PV(DiscountRate/12,$D$17,0,'Nominal Increments'!T153,0)))</f>
        <v>0</v>
      </c>
    </row>
    <row r="154" spans="1:20" x14ac:dyDescent="0.2">
      <c r="A154" s="86">
        <f t="shared" si="10"/>
        <v>3988</v>
      </c>
      <c r="B154" s="142">
        <f t="shared" si="11"/>
        <v>132</v>
      </c>
      <c r="C154" s="143">
        <f t="shared" si="12"/>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50">
        <f>IF(B154="NA","NA",IF(ISNUMBER(VLOOKUP($C154,'A4 Investment'!$A$24:$G$33,7,FALSE)),VLOOKUP($C154,'A4 Investment'!$A$24:$G$33,7,FALSE)*'A4 Investment'!G$18/12,0))</f>
        <v>0</v>
      </c>
      <c r="I154" s="151">
        <f t="shared" si="13"/>
        <v>8904.1666666666661</v>
      </c>
      <c r="J154" s="159">
        <f t="shared" si="14"/>
        <v>8904.1666666666661</v>
      </c>
      <c r="K154" s="150">
        <f>IF($B154="NA","NA",-PV(DiscountRate/12,0,0,'Nominal Increments'!K154,0))</f>
        <v>8904.1666666666661</v>
      </c>
      <c r="L154" s="150">
        <f>IF($B154="NA","NA",IF($A$10=0,0,-PV(DiscountRate/12,$D$9,0,'Nominal Increments'!L154,0)))</f>
        <v>0</v>
      </c>
      <c r="M154" s="150">
        <f>IF($B154="NA","NA",IF($A$11=0,0,-PV(DiscountRate/12,$D$10,0,'Nominal Increments'!M154,0)))</f>
        <v>0</v>
      </c>
      <c r="N154" s="150">
        <f>IF($B154="NA","NA",IF($A$12=0,0,-PV(DiscountRate/12,$D$11,0,'Nominal Increments'!N154,0)))</f>
        <v>0</v>
      </c>
      <c r="O154" s="150">
        <f>IF($B154="NA","NA",IF($A$13=0,0,-PV(DiscountRate/12,$D$12,0,'Nominal Increments'!O154,0)))</f>
        <v>0</v>
      </c>
      <c r="P154" s="150">
        <f>IF($B154="NA","NA",IF($A$14=0,0,-PV(DiscountRate/12,$D$13,0,'Nominal Increments'!P154,0)))</f>
        <v>0</v>
      </c>
      <c r="Q154" s="150">
        <f>IF($B154="NA","NA",IF($A$15=0,0,-PV(DiscountRate/12,$D$14,0,'Nominal Increments'!Q154,0)))</f>
        <v>0</v>
      </c>
      <c r="R154" s="150">
        <f>IF($B154="NA","NA",IF($A$16=0,0,-PV(DiscountRate/12,$D$15,0,'Nominal Increments'!R154,0)))</f>
        <v>0</v>
      </c>
      <c r="S154" s="150">
        <f>IF($B154="NA","NA",IF($A$17=0,0,-PV(DiscountRate/12,$D$16,0,'Nominal Increments'!S154,0)))</f>
        <v>0</v>
      </c>
      <c r="T154" s="151">
        <f>IF($B154="NA","NA",IF($A$18=0,0,-PV(DiscountRate/12,$D$17,0,'Nominal Increments'!T154,0)))</f>
        <v>0</v>
      </c>
    </row>
    <row r="155" spans="1:20" x14ac:dyDescent="0.2">
      <c r="A155" s="86">
        <f t="shared" si="10"/>
        <v>4019</v>
      </c>
      <c r="B155" s="142">
        <f t="shared" si="11"/>
        <v>133</v>
      </c>
      <c r="C155" s="143">
        <f t="shared" si="12"/>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50">
        <f>IF(B155="NA","NA",IF(ISNUMBER(VLOOKUP($C155,'A4 Investment'!$A$24:$G$33,7,FALSE)),VLOOKUP($C155,'A4 Investment'!$A$24:$G$33,7,FALSE)*'A4 Investment'!G$18/12,0))</f>
        <v>0</v>
      </c>
      <c r="I155" s="151">
        <f t="shared" si="13"/>
        <v>8904.1666666666661</v>
      </c>
      <c r="J155" s="159">
        <f t="shared" si="14"/>
        <v>8904.1666666666661</v>
      </c>
      <c r="K155" s="150">
        <f>IF($B155="NA","NA",-PV(DiscountRate/12,0,0,'Nominal Increments'!K155,0))</f>
        <v>8904.1666666666661</v>
      </c>
      <c r="L155" s="150">
        <f>IF($B155="NA","NA",IF($A$10=0,0,-PV(DiscountRate/12,$D$9,0,'Nominal Increments'!L155,0)))</f>
        <v>0</v>
      </c>
      <c r="M155" s="150">
        <f>IF($B155="NA","NA",IF($A$11=0,0,-PV(DiscountRate/12,$D$10,0,'Nominal Increments'!M155,0)))</f>
        <v>0</v>
      </c>
      <c r="N155" s="150">
        <f>IF($B155="NA","NA",IF($A$12=0,0,-PV(DiscountRate/12,$D$11,0,'Nominal Increments'!N155,0)))</f>
        <v>0</v>
      </c>
      <c r="O155" s="150">
        <f>IF($B155="NA","NA",IF($A$13=0,0,-PV(DiscountRate/12,$D$12,0,'Nominal Increments'!O155,0)))</f>
        <v>0</v>
      </c>
      <c r="P155" s="150">
        <f>IF($B155="NA","NA",IF($A$14=0,0,-PV(DiscountRate/12,$D$13,0,'Nominal Increments'!P155,0)))</f>
        <v>0</v>
      </c>
      <c r="Q155" s="150">
        <f>IF($B155="NA","NA",IF($A$15=0,0,-PV(DiscountRate/12,$D$14,0,'Nominal Increments'!Q155,0)))</f>
        <v>0</v>
      </c>
      <c r="R155" s="150">
        <f>IF($B155="NA","NA",IF($A$16=0,0,-PV(DiscountRate/12,$D$15,0,'Nominal Increments'!R155,0)))</f>
        <v>0</v>
      </c>
      <c r="S155" s="150">
        <f>IF($B155="NA","NA",IF($A$17=0,0,-PV(DiscountRate/12,$D$16,0,'Nominal Increments'!S155,0)))</f>
        <v>0</v>
      </c>
      <c r="T155" s="151">
        <f>IF($B155="NA","NA",IF($A$18=0,0,-PV(DiscountRate/12,$D$17,0,'Nominal Increments'!T155,0)))</f>
        <v>0</v>
      </c>
    </row>
    <row r="156" spans="1:20" x14ac:dyDescent="0.2">
      <c r="A156" s="86">
        <f t="shared" si="10"/>
        <v>4050</v>
      </c>
      <c r="B156" s="142">
        <f t="shared" si="11"/>
        <v>134</v>
      </c>
      <c r="C156" s="143">
        <f t="shared" si="12"/>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50">
        <f>IF(B156="NA","NA",IF(ISNUMBER(VLOOKUP($C156,'A4 Investment'!$A$24:$G$33,7,FALSE)),VLOOKUP($C156,'A4 Investment'!$A$24:$G$33,7,FALSE)*'A4 Investment'!G$18/12,0))</f>
        <v>0</v>
      </c>
      <c r="I156" s="151">
        <f t="shared" si="13"/>
        <v>8904.1666666666661</v>
      </c>
      <c r="J156" s="159">
        <f t="shared" si="14"/>
        <v>8904.1666666666661</v>
      </c>
      <c r="K156" s="150">
        <f>IF($B156="NA","NA",-PV(DiscountRate/12,0,0,'Nominal Increments'!K156,0))</f>
        <v>8904.1666666666661</v>
      </c>
      <c r="L156" s="150">
        <f>IF($B156="NA","NA",IF($A$10=0,0,-PV(DiscountRate/12,$D$9,0,'Nominal Increments'!L156,0)))</f>
        <v>0</v>
      </c>
      <c r="M156" s="150">
        <f>IF($B156="NA","NA",IF($A$11=0,0,-PV(DiscountRate/12,$D$10,0,'Nominal Increments'!M156,0)))</f>
        <v>0</v>
      </c>
      <c r="N156" s="150">
        <f>IF($B156="NA","NA",IF($A$12=0,0,-PV(DiscountRate/12,$D$11,0,'Nominal Increments'!N156,0)))</f>
        <v>0</v>
      </c>
      <c r="O156" s="150">
        <f>IF($B156="NA","NA",IF($A$13=0,0,-PV(DiscountRate/12,$D$12,0,'Nominal Increments'!O156,0)))</f>
        <v>0</v>
      </c>
      <c r="P156" s="150">
        <f>IF($B156="NA","NA",IF($A$14=0,0,-PV(DiscountRate/12,$D$13,0,'Nominal Increments'!P156,0)))</f>
        <v>0</v>
      </c>
      <c r="Q156" s="150">
        <f>IF($B156="NA","NA",IF($A$15=0,0,-PV(DiscountRate/12,$D$14,0,'Nominal Increments'!Q156,0)))</f>
        <v>0</v>
      </c>
      <c r="R156" s="150">
        <f>IF($B156="NA","NA",IF($A$16=0,0,-PV(DiscountRate/12,$D$15,0,'Nominal Increments'!R156,0)))</f>
        <v>0</v>
      </c>
      <c r="S156" s="150">
        <f>IF($B156="NA","NA",IF($A$17=0,0,-PV(DiscountRate/12,$D$16,0,'Nominal Increments'!S156,0)))</f>
        <v>0</v>
      </c>
      <c r="T156" s="151">
        <f>IF($B156="NA","NA",IF($A$18=0,0,-PV(DiscountRate/12,$D$17,0,'Nominal Increments'!T156,0)))</f>
        <v>0</v>
      </c>
    </row>
    <row r="157" spans="1:20" x14ac:dyDescent="0.2">
      <c r="A157" s="86">
        <f t="shared" si="10"/>
        <v>4078</v>
      </c>
      <c r="B157" s="142">
        <f t="shared" si="11"/>
        <v>135</v>
      </c>
      <c r="C157" s="143">
        <f t="shared" si="12"/>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50">
        <f>IF(B157="NA","NA",IF(ISNUMBER(VLOOKUP($C157,'A4 Investment'!$A$24:$G$33,7,FALSE)),VLOOKUP($C157,'A4 Investment'!$A$24:$G$33,7,FALSE)*'A4 Investment'!G$18/12,0))</f>
        <v>0</v>
      </c>
      <c r="I157" s="151">
        <f t="shared" si="13"/>
        <v>8904.1666666666661</v>
      </c>
      <c r="J157" s="159">
        <f t="shared" si="14"/>
        <v>8904.1666666666661</v>
      </c>
      <c r="K157" s="150">
        <f>IF($B157="NA","NA",-PV(DiscountRate/12,0,0,'Nominal Increments'!K157,0))</f>
        <v>8904.1666666666661</v>
      </c>
      <c r="L157" s="150">
        <f>IF($B157="NA","NA",IF($A$10=0,0,-PV(DiscountRate/12,$D$9,0,'Nominal Increments'!L157,0)))</f>
        <v>0</v>
      </c>
      <c r="M157" s="150">
        <f>IF($B157="NA","NA",IF($A$11=0,0,-PV(DiscountRate/12,$D$10,0,'Nominal Increments'!M157,0)))</f>
        <v>0</v>
      </c>
      <c r="N157" s="150">
        <f>IF($B157="NA","NA",IF($A$12=0,0,-PV(DiscountRate/12,$D$11,0,'Nominal Increments'!N157,0)))</f>
        <v>0</v>
      </c>
      <c r="O157" s="150">
        <f>IF($B157="NA","NA",IF($A$13=0,0,-PV(DiscountRate/12,$D$12,0,'Nominal Increments'!O157,0)))</f>
        <v>0</v>
      </c>
      <c r="P157" s="150">
        <f>IF($B157="NA","NA",IF($A$14=0,0,-PV(DiscountRate/12,$D$13,0,'Nominal Increments'!P157,0)))</f>
        <v>0</v>
      </c>
      <c r="Q157" s="150">
        <f>IF($B157="NA","NA",IF($A$15=0,0,-PV(DiscountRate/12,$D$14,0,'Nominal Increments'!Q157,0)))</f>
        <v>0</v>
      </c>
      <c r="R157" s="150">
        <f>IF($B157="NA","NA",IF($A$16=0,0,-PV(DiscountRate/12,$D$15,0,'Nominal Increments'!R157,0)))</f>
        <v>0</v>
      </c>
      <c r="S157" s="150">
        <f>IF($B157="NA","NA",IF($A$17=0,0,-PV(DiscountRate/12,$D$16,0,'Nominal Increments'!S157,0)))</f>
        <v>0</v>
      </c>
      <c r="T157" s="151">
        <f>IF($B157="NA","NA",IF($A$18=0,0,-PV(DiscountRate/12,$D$17,0,'Nominal Increments'!T157,0)))</f>
        <v>0</v>
      </c>
    </row>
    <row r="158" spans="1:20" x14ac:dyDescent="0.2">
      <c r="A158" s="86">
        <f t="shared" si="10"/>
        <v>4109</v>
      </c>
      <c r="B158" s="142">
        <f t="shared" si="11"/>
        <v>136</v>
      </c>
      <c r="C158" s="143">
        <f t="shared" si="12"/>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50">
        <f>IF(B158="NA","NA",IF(ISNUMBER(VLOOKUP($C158,'A4 Investment'!$A$24:$G$33,7,FALSE)),VLOOKUP($C158,'A4 Investment'!$A$24:$G$33,7,FALSE)*'A4 Investment'!G$18/12,0))</f>
        <v>0</v>
      </c>
      <c r="I158" s="151">
        <f t="shared" si="13"/>
        <v>8904.1666666666661</v>
      </c>
      <c r="J158" s="159">
        <f t="shared" si="14"/>
        <v>8904.1666666666661</v>
      </c>
      <c r="K158" s="150">
        <f>IF($B158="NA","NA",-PV(DiscountRate/12,0,0,'Nominal Increments'!K158,0))</f>
        <v>8904.1666666666661</v>
      </c>
      <c r="L158" s="150">
        <f>IF($B158="NA","NA",IF($A$10=0,0,-PV(DiscountRate/12,$D$9,0,'Nominal Increments'!L158,0)))</f>
        <v>0</v>
      </c>
      <c r="M158" s="150">
        <f>IF($B158="NA","NA",IF($A$11=0,0,-PV(DiscountRate/12,$D$10,0,'Nominal Increments'!M158,0)))</f>
        <v>0</v>
      </c>
      <c r="N158" s="150">
        <f>IF($B158="NA","NA",IF($A$12=0,0,-PV(DiscountRate/12,$D$11,0,'Nominal Increments'!N158,0)))</f>
        <v>0</v>
      </c>
      <c r="O158" s="150">
        <f>IF($B158="NA","NA",IF($A$13=0,0,-PV(DiscountRate/12,$D$12,0,'Nominal Increments'!O158,0)))</f>
        <v>0</v>
      </c>
      <c r="P158" s="150">
        <f>IF($B158="NA","NA",IF($A$14=0,0,-PV(DiscountRate/12,$D$13,0,'Nominal Increments'!P158,0)))</f>
        <v>0</v>
      </c>
      <c r="Q158" s="150">
        <f>IF($B158="NA","NA",IF($A$15=0,0,-PV(DiscountRate/12,$D$14,0,'Nominal Increments'!Q158,0)))</f>
        <v>0</v>
      </c>
      <c r="R158" s="150">
        <f>IF($B158="NA","NA",IF($A$16=0,0,-PV(DiscountRate/12,$D$15,0,'Nominal Increments'!R158,0)))</f>
        <v>0</v>
      </c>
      <c r="S158" s="150">
        <f>IF($B158="NA","NA",IF($A$17=0,0,-PV(DiscountRate/12,$D$16,0,'Nominal Increments'!S158,0)))</f>
        <v>0</v>
      </c>
      <c r="T158" s="151">
        <f>IF($B158="NA","NA",IF($A$18=0,0,-PV(DiscountRate/12,$D$17,0,'Nominal Increments'!T158,0)))</f>
        <v>0</v>
      </c>
    </row>
    <row r="159" spans="1:20" x14ac:dyDescent="0.2">
      <c r="A159" s="86">
        <f t="shared" si="10"/>
        <v>4139</v>
      </c>
      <c r="B159" s="142">
        <f t="shared" si="11"/>
        <v>137</v>
      </c>
      <c r="C159" s="143">
        <f t="shared" si="12"/>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50">
        <f>IF(B159="NA","NA",IF(ISNUMBER(VLOOKUP($C159,'A4 Investment'!$A$24:$G$33,7,FALSE)),VLOOKUP($C159,'A4 Investment'!$A$24:$G$33,7,FALSE)*'A4 Investment'!G$18/12,0))</f>
        <v>0</v>
      </c>
      <c r="I159" s="151">
        <f t="shared" si="13"/>
        <v>8904.1666666666661</v>
      </c>
      <c r="J159" s="159">
        <f t="shared" si="14"/>
        <v>8904.1666666666661</v>
      </c>
      <c r="K159" s="150">
        <f>IF($B159="NA","NA",-PV(DiscountRate/12,0,0,'Nominal Increments'!K159,0))</f>
        <v>8904.1666666666661</v>
      </c>
      <c r="L159" s="150">
        <f>IF($B159="NA","NA",IF($A$10=0,0,-PV(DiscountRate/12,$D$9,0,'Nominal Increments'!L159,0)))</f>
        <v>0</v>
      </c>
      <c r="M159" s="150">
        <f>IF($B159="NA","NA",IF($A$11=0,0,-PV(DiscountRate/12,$D$10,0,'Nominal Increments'!M159,0)))</f>
        <v>0</v>
      </c>
      <c r="N159" s="150">
        <f>IF($B159="NA","NA",IF($A$12=0,0,-PV(DiscountRate/12,$D$11,0,'Nominal Increments'!N159,0)))</f>
        <v>0</v>
      </c>
      <c r="O159" s="150">
        <f>IF($B159="NA","NA",IF($A$13=0,0,-PV(DiscountRate/12,$D$12,0,'Nominal Increments'!O159,0)))</f>
        <v>0</v>
      </c>
      <c r="P159" s="150">
        <f>IF($B159="NA","NA",IF($A$14=0,0,-PV(DiscountRate/12,$D$13,0,'Nominal Increments'!P159,0)))</f>
        <v>0</v>
      </c>
      <c r="Q159" s="150">
        <f>IF($B159="NA","NA",IF($A$15=0,0,-PV(DiscountRate/12,$D$14,0,'Nominal Increments'!Q159,0)))</f>
        <v>0</v>
      </c>
      <c r="R159" s="150">
        <f>IF($B159="NA","NA",IF($A$16=0,0,-PV(DiscountRate/12,$D$15,0,'Nominal Increments'!R159,0)))</f>
        <v>0</v>
      </c>
      <c r="S159" s="150">
        <f>IF($B159="NA","NA",IF($A$17=0,0,-PV(DiscountRate/12,$D$16,0,'Nominal Increments'!S159,0)))</f>
        <v>0</v>
      </c>
      <c r="T159" s="151">
        <f>IF($B159="NA","NA",IF($A$18=0,0,-PV(DiscountRate/12,$D$17,0,'Nominal Increments'!T159,0)))</f>
        <v>0</v>
      </c>
    </row>
    <row r="160" spans="1:20" x14ac:dyDescent="0.2">
      <c r="A160" s="86">
        <f t="shared" si="10"/>
        <v>4170</v>
      </c>
      <c r="B160" s="142">
        <f t="shared" si="11"/>
        <v>138</v>
      </c>
      <c r="C160" s="143">
        <f t="shared" si="12"/>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50">
        <f>IF(B160="NA","NA",IF(ISNUMBER(VLOOKUP($C160,'A4 Investment'!$A$24:$G$33,7,FALSE)),VLOOKUP($C160,'A4 Investment'!$A$24:$G$33,7,FALSE)*'A4 Investment'!G$18/12,0))</f>
        <v>0</v>
      </c>
      <c r="I160" s="151">
        <f t="shared" si="13"/>
        <v>8904.1666666666661</v>
      </c>
      <c r="J160" s="159">
        <f t="shared" si="14"/>
        <v>8904.1666666666661</v>
      </c>
      <c r="K160" s="150">
        <f>IF($B160="NA","NA",-PV(DiscountRate/12,0,0,'Nominal Increments'!K160,0))</f>
        <v>8904.1666666666661</v>
      </c>
      <c r="L160" s="150">
        <f>IF($B160="NA","NA",IF($A$10=0,0,-PV(DiscountRate/12,$D$9,0,'Nominal Increments'!L160,0)))</f>
        <v>0</v>
      </c>
      <c r="M160" s="150">
        <f>IF($B160="NA","NA",IF($A$11=0,0,-PV(DiscountRate/12,$D$10,0,'Nominal Increments'!M160,0)))</f>
        <v>0</v>
      </c>
      <c r="N160" s="150">
        <f>IF($B160="NA","NA",IF($A$12=0,0,-PV(DiscountRate/12,$D$11,0,'Nominal Increments'!N160,0)))</f>
        <v>0</v>
      </c>
      <c r="O160" s="150">
        <f>IF($B160="NA","NA",IF($A$13=0,0,-PV(DiscountRate/12,$D$12,0,'Nominal Increments'!O160,0)))</f>
        <v>0</v>
      </c>
      <c r="P160" s="150">
        <f>IF($B160="NA","NA",IF($A$14=0,0,-PV(DiscountRate/12,$D$13,0,'Nominal Increments'!P160,0)))</f>
        <v>0</v>
      </c>
      <c r="Q160" s="150">
        <f>IF($B160="NA","NA",IF($A$15=0,0,-PV(DiscountRate/12,$D$14,0,'Nominal Increments'!Q160,0)))</f>
        <v>0</v>
      </c>
      <c r="R160" s="150">
        <f>IF($B160="NA","NA",IF($A$16=0,0,-PV(DiscountRate/12,$D$15,0,'Nominal Increments'!R160,0)))</f>
        <v>0</v>
      </c>
      <c r="S160" s="150">
        <f>IF($B160="NA","NA",IF($A$17=0,0,-PV(DiscountRate/12,$D$16,0,'Nominal Increments'!S160,0)))</f>
        <v>0</v>
      </c>
      <c r="T160" s="151">
        <f>IF($B160="NA","NA",IF($A$18=0,0,-PV(DiscountRate/12,$D$17,0,'Nominal Increments'!T160,0)))</f>
        <v>0</v>
      </c>
    </row>
    <row r="161" spans="1:20" x14ac:dyDescent="0.2">
      <c r="A161" s="86">
        <f t="shared" si="10"/>
        <v>4200</v>
      </c>
      <c r="B161" s="142">
        <f t="shared" si="11"/>
        <v>139</v>
      </c>
      <c r="C161" s="143">
        <f t="shared" si="12"/>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50">
        <f>IF(B161="NA","NA",IF(ISNUMBER(VLOOKUP($C161,'A4 Investment'!$A$24:$G$33,7,FALSE)),VLOOKUP($C161,'A4 Investment'!$A$24:$G$33,7,FALSE)*'A4 Investment'!G$18/12,0))</f>
        <v>0</v>
      </c>
      <c r="I161" s="151">
        <f t="shared" si="13"/>
        <v>8904.1666666666661</v>
      </c>
      <c r="J161" s="159">
        <f t="shared" si="14"/>
        <v>8904.1666666666661</v>
      </c>
      <c r="K161" s="150">
        <f>IF($B161="NA","NA",-PV(DiscountRate/12,0,0,'Nominal Increments'!K161,0))</f>
        <v>8904.1666666666661</v>
      </c>
      <c r="L161" s="150">
        <f>IF($B161="NA","NA",IF($A$10=0,0,-PV(DiscountRate/12,$D$9,0,'Nominal Increments'!L161,0)))</f>
        <v>0</v>
      </c>
      <c r="M161" s="150">
        <f>IF($B161="NA","NA",IF($A$11=0,0,-PV(DiscountRate/12,$D$10,0,'Nominal Increments'!M161,0)))</f>
        <v>0</v>
      </c>
      <c r="N161" s="150">
        <f>IF($B161="NA","NA",IF($A$12=0,0,-PV(DiscountRate/12,$D$11,0,'Nominal Increments'!N161,0)))</f>
        <v>0</v>
      </c>
      <c r="O161" s="150">
        <f>IF($B161="NA","NA",IF($A$13=0,0,-PV(DiscountRate/12,$D$12,0,'Nominal Increments'!O161,0)))</f>
        <v>0</v>
      </c>
      <c r="P161" s="150">
        <f>IF($B161="NA","NA",IF($A$14=0,0,-PV(DiscountRate/12,$D$13,0,'Nominal Increments'!P161,0)))</f>
        <v>0</v>
      </c>
      <c r="Q161" s="150">
        <f>IF($B161="NA","NA",IF($A$15=0,0,-PV(DiscountRate/12,$D$14,0,'Nominal Increments'!Q161,0)))</f>
        <v>0</v>
      </c>
      <c r="R161" s="150">
        <f>IF($B161="NA","NA",IF($A$16=0,0,-PV(DiscountRate/12,$D$15,0,'Nominal Increments'!R161,0)))</f>
        <v>0</v>
      </c>
      <c r="S161" s="150">
        <f>IF($B161="NA","NA",IF($A$17=0,0,-PV(DiscountRate/12,$D$16,0,'Nominal Increments'!S161,0)))</f>
        <v>0</v>
      </c>
      <c r="T161" s="151">
        <f>IF($B161="NA","NA",IF($A$18=0,0,-PV(DiscountRate/12,$D$17,0,'Nominal Increments'!T161,0)))</f>
        <v>0</v>
      </c>
    </row>
    <row r="162" spans="1:20" x14ac:dyDescent="0.2">
      <c r="A162" s="86">
        <f t="shared" si="10"/>
        <v>4231</v>
      </c>
      <c r="B162" s="142">
        <f t="shared" si="11"/>
        <v>140</v>
      </c>
      <c r="C162" s="143">
        <f t="shared" si="12"/>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50">
        <f>IF(B162="NA","NA",IF(ISNUMBER(VLOOKUP($C162,'A4 Investment'!$A$24:$G$33,7,FALSE)),VLOOKUP($C162,'A4 Investment'!$A$24:$G$33,7,FALSE)*'A4 Investment'!G$18/12,0))</f>
        <v>0</v>
      </c>
      <c r="I162" s="151">
        <f t="shared" si="13"/>
        <v>8904.1666666666661</v>
      </c>
      <c r="J162" s="159">
        <f t="shared" si="14"/>
        <v>8904.1666666666661</v>
      </c>
      <c r="K162" s="150">
        <f>IF($B162="NA","NA",-PV(DiscountRate/12,0,0,'Nominal Increments'!K162,0))</f>
        <v>8904.1666666666661</v>
      </c>
      <c r="L162" s="150">
        <f>IF($B162="NA","NA",IF($A$10=0,0,-PV(DiscountRate/12,$D$9,0,'Nominal Increments'!L162,0)))</f>
        <v>0</v>
      </c>
      <c r="M162" s="150">
        <f>IF($B162="NA","NA",IF($A$11=0,0,-PV(DiscountRate/12,$D$10,0,'Nominal Increments'!M162,0)))</f>
        <v>0</v>
      </c>
      <c r="N162" s="150">
        <f>IF($B162="NA","NA",IF($A$12=0,0,-PV(DiscountRate/12,$D$11,0,'Nominal Increments'!N162,0)))</f>
        <v>0</v>
      </c>
      <c r="O162" s="150">
        <f>IF($B162="NA","NA",IF($A$13=0,0,-PV(DiscountRate/12,$D$12,0,'Nominal Increments'!O162,0)))</f>
        <v>0</v>
      </c>
      <c r="P162" s="150">
        <f>IF($B162="NA","NA",IF($A$14=0,0,-PV(DiscountRate/12,$D$13,0,'Nominal Increments'!P162,0)))</f>
        <v>0</v>
      </c>
      <c r="Q162" s="150">
        <f>IF($B162="NA","NA",IF($A$15=0,0,-PV(DiscountRate/12,$D$14,0,'Nominal Increments'!Q162,0)))</f>
        <v>0</v>
      </c>
      <c r="R162" s="150">
        <f>IF($B162="NA","NA",IF($A$16=0,0,-PV(DiscountRate/12,$D$15,0,'Nominal Increments'!R162,0)))</f>
        <v>0</v>
      </c>
      <c r="S162" s="150">
        <f>IF($B162="NA","NA",IF($A$17=0,0,-PV(DiscountRate/12,$D$16,0,'Nominal Increments'!S162,0)))</f>
        <v>0</v>
      </c>
      <c r="T162" s="151">
        <f>IF($B162="NA","NA",IF($A$18=0,0,-PV(DiscountRate/12,$D$17,0,'Nominal Increments'!T162,0)))</f>
        <v>0</v>
      </c>
    </row>
    <row r="163" spans="1:20" x14ac:dyDescent="0.2">
      <c r="A163" s="86">
        <f t="shared" si="10"/>
        <v>4262</v>
      </c>
      <c r="B163" s="142">
        <f t="shared" si="11"/>
        <v>141</v>
      </c>
      <c r="C163" s="143">
        <f t="shared" si="12"/>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50">
        <f>IF(B163="NA","NA",IF(ISNUMBER(VLOOKUP($C163,'A4 Investment'!$A$24:$G$33,7,FALSE)),VLOOKUP($C163,'A4 Investment'!$A$24:$G$33,7,FALSE)*'A4 Investment'!G$18/12,0))</f>
        <v>0</v>
      </c>
      <c r="I163" s="151">
        <f t="shared" si="13"/>
        <v>8904.1666666666661</v>
      </c>
      <c r="J163" s="159">
        <f t="shared" si="14"/>
        <v>8904.1666666666661</v>
      </c>
      <c r="K163" s="150">
        <f>IF($B163="NA","NA",-PV(DiscountRate/12,0,0,'Nominal Increments'!K163,0))</f>
        <v>8904.1666666666661</v>
      </c>
      <c r="L163" s="150">
        <f>IF($B163="NA","NA",IF($A$10=0,0,-PV(DiscountRate/12,$D$9,0,'Nominal Increments'!L163,0)))</f>
        <v>0</v>
      </c>
      <c r="M163" s="150">
        <f>IF($B163="NA","NA",IF($A$11=0,0,-PV(DiscountRate/12,$D$10,0,'Nominal Increments'!M163,0)))</f>
        <v>0</v>
      </c>
      <c r="N163" s="150">
        <f>IF($B163="NA","NA",IF($A$12=0,0,-PV(DiscountRate/12,$D$11,0,'Nominal Increments'!N163,0)))</f>
        <v>0</v>
      </c>
      <c r="O163" s="150">
        <f>IF($B163="NA","NA",IF($A$13=0,0,-PV(DiscountRate/12,$D$12,0,'Nominal Increments'!O163,0)))</f>
        <v>0</v>
      </c>
      <c r="P163" s="150">
        <f>IF($B163="NA","NA",IF($A$14=0,0,-PV(DiscountRate/12,$D$13,0,'Nominal Increments'!P163,0)))</f>
        <v>0</v>
      </c>
      <c r="Q163" s="150">
        <f>IF($B163="NA","NA",IF($A$15=0,0,-PV(DiscountRate/12,$D$14,0,'Nominal Increments'!Q163,0)))</f>
        <v>0</v>
      </c>
      <c r="R163" s="150">
        <f>IF($B163="NA","NA",IF($A$16=0,0,-PV(DiscountRate/12,$D$15,0,'Nominal Increments'!R163,0)))</f>
        <v>0</v>
      </c>
      <c r="S163" s="150">
        <f>IF($B163="NA","NA",IF($A$17=0,0,-PV(DiscountRate/12,$D$16,0,'Nominal Increments'!S163,0)))</f>
        <v>0</v>
      </c>
      <c r="T163" s="151">
        <f>IF($B163="NA","NA",IF($A$18=0,0,-PV(DiscountRate/12,$D$17,0,'Nominal Increments'!T163,0)))</f>
        <v>0</v>
      </c>
    </row>
    <row r="164" spans="1:20" x14ac:dyDescent="0.2">
      <c r="A164" s="86">
        <f t="shared" si="10"/>
        <v>4292</v>
      </c>
      <c r="B164" s="142">
        <f t="shared" si="11"/>
        <v>142</v>
      </c>
      <c r="C164" s="143">
        <f t="shared" si="12"/>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50">
        <f>IF(B164="NA","NA",IF(ISNUMBER(VLOOKUP($C164,'A4 Investment'!$A$24:$G$33,7,FALSE)),VLOOKUP($C164,'A4 Investment'!$A$24:$G$33,7,FALSE)*'A4 Investment'!G$18/12,0))</f>
        <v>0</v>
      </c>
      <c r="I164" s="151">
        <f t="shared" si="13"/>
        <v>8904.1666666666661</v>
      </c>
      <c r="J164" s="159">
        <f t="shared" si="14"/>
        <v>8904.1666666666661</v>
      </c>
      <c r="K164" s="150">
        <f>IF($B164="NA","NA",-PV(DiscountRate/12,0,0,'Nominal Increments'!K164,0))</f>
        <v>8904.1666666666661</v>
      </c>
      <c r="L164" s="150">
        <f>IF($B164="NA","NA",IF($A$10=0,0,-PV(DiscountRate/12,$D$9,0,'Nominal Increments'!L164,0)))</f>
        <v>0</v>
      </c>
      <c r="M164" s="150">
        <f>IF($B164="NA","NA",IF($A$11=0,0,-PV(DiscountRate/12,$D$10,0,'Nominal Increments'!M164,0)))</f>
        <v>0</v>
      </c>
      <c r="N164" s="150">
        <f>IF($B164="NA","NA",IF($A$12=0,0,-PV(DiscountRate/12,$D$11,0,'Nominal Increments'!N164,0)))</f>
        <v>0</v>
      </c>
      <c r="O164" s="150">
        <f>IF($B164="NA","NA",IF($A$13=0,0,-PV(DiscountRate/12,$D$12,0,'Nominal Increments'!O164,0)))</f>
        <v>0</v>
      </c>
      <c r="P164" s="150">
        <f>IF($B164="NA","NA",IF($A$14=0,0,-PV(DiscountRate/12,$D$13,0,'Nominal Increments'!P164,0)))</f>
        <v>0</v>
      </c>
      <c r="Q164" s="150">
        <f>IF($B164="NA","NA",IF($A$15=0,0,-PV(DiscountRate/12,$D$14,0,'Nominal Increments'!Q164,0)))</f>
        <v>0</v>
      </c>
      <c r="R164" s="150">
        <f>IF($B164="NA","NA",IF($A$16=0,0,-PV(DiscountRate/12,$D$15,0,'Nominal Increments'!R164,0)))</f>
        <v>0</v>
      </c>
      <c r="S164" s="150">
        <f>IF($B164="NA","NA",IF($A$17=0,0,-PV(DiscountRate/12,$D$16,0,'Nominal Increments'!S164,0)))</f>
        <v>0</v>
      </c>
      <c r="T164" s="151">
        <f>IF($B164="NA","NA",IF($A$18=0,0,-PV(DiscountRate/12,$D$17,0,'Nominal Increments'!T164,0)))</f>
        <v>0</v>
      </c>
    </row>
    <row r="165" spans="1:20" x14ac:dyDescent="0.2">
      <c r="A165" s="86">
        <f t="shared" si="10"/>
        <v>4323</v>
      </c>
      <c r="B165" s="142">
        <f t="shared" si="11"/>
        <v>143</v>
      </c>
      <c r="C165" s="143">
        <f t="shared" si="12"/>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50">
        <f>IF(B165="NA","NA",IF(ISNUMBER(VLOOKUP($C165,'A4 Investment'!$A$24:$G$33,7,FALSE)),VLOOKUP($C165,'A4 Investment'!$A$24:$G$33,7,FALSE)*'A4 Investment'!G$18/12,0))</f>
        <v>0</v>
      </c>
      <c r="I165" s="151">
        <f t="shared" si="13"/>
        <v>8904.1666666666661</v>
      </c>
      <c r="J165" s="159">
        <f t="shared" si="14"/>
        <v>8904.1666666666661</v>
      </c>
      <c r="K165" s="150">
        <f>IF($B165="NA","NA",-PV(DiscountRate/12,0,0,'Nominal Increments'!K165,0))</f>
        <v>8904.1666666666661</v>
      </c>
      <c r="L165" s="150">
        <f>IF($B165="NA","NA",IF($A$10=0,0,-PV(DiscountRate/12,$D$9,0,'Nominal Increments'!L165,0)))</f>
        <v>0</v>
      </c>
      <c r="M165" s="150">
        <f>IF($B165="NA","NA",IF($A$11=0,0,-PV(DiscountRate/12,$D$10,0,'Nominal Increments'!M165,0)))</f>
        <v>0</v>
      </c>
      <c r="N165" s="150">
        <f>IF($B165="NA","NA",IF($A$12=0,0,-PV(DiscountRate/12,$D$11,0,'Nominal Increments'!N165,0)))</f>
        <v>0</v>
      </c>
      <c r="O165" s="150">
        <f>IF($B165="NA","NA",IF($A$13=0,0,-PV(DiscountRate/12,$D$12,0,'Nominal Increments'!O165,0)))</f>
        <v>0</v>
      </c>
      <c r="P165" s="150">
        <f>IF($B165="NA","NA",IF($A$14=0,0,-PV(DiscountRate/12,$D$13,0,'Nominal Increments'!P165,0)))</f>
        <v>0</v>
      </c>
      <c r="Q165" s="150">
        <f>IF($B165="NA","NA",IF($A$15=0,0,-PV(DiscountRate/12,$D$14,0,'Nominal Increments'!Q165,0)))</f>
        <v>0</v>
      </c>
      <c r="R165" s="150">
        <f>IF($B165="NA","NA",IF($A$16=0,0,-PV(DiscountRate/12,$D$15,0,'Nominal Increments'!R165,0)))</f>
        <v>0</v>
      </c>
      <c r="S165" s="150">
        <f>IF($B165="NA","NA",IF($A$17=0,0,-PV(DiscountRate/12,$D$16,0,'Nominal Increments'!S165,0)))</f>
        <v>0</v>
      </c>
      <c r="T165" s="151">
        <f>IF($B165="NA","NA",IF($A$18=0,0,-PV(DiscountRate/12,$D$17,0,'Nominal Increments'!T165,0)))</f>
        <v>0</v>
      </c>
    </row>
    <row r="166" spans="1:20" x14ac:dyDescent="0.2">
      <c r="A166" s="86">
        <f t="shared" si="10"/>
        <v>4353</v>
      </c>
      <c r="B166" s="142">
        <f t="shared" si="11"/>
        <v>144</v>
      </c>
      <c r="C166" s="143">
        <f t="shared" si="12"/>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50">
        <f>IF(B166="NA","NA",IF(ISNUMBER(VLOOKUP($C166,'A4 Investment'!$A$24:$G$33,7,FALSE)),VLOOKUP($C166,'A4 Investment'!$A$24:$G$33,7,FALSE)*'A4 Investment'!G$18/12,0))</f>
        <v>0</v>
      </c>
      <c r="I166" s="151">
        <f t="shared" si="13"/>
        <v>8904.1666666666661</v>
      </c>
      <c r="J166" s="159">
        <f t="shared" si="14"/>
        <v>8904.1666666666661</v>
      </c>
      <c r="K166" s="150">
        <f>IF($B166="NA","NA",-PV(DiscountRate/12,0,0,'Nominal Increments'!K166,0))</f>
        <v>8904.1666666666661</v>
      </c>
      <c r="L166" s="150">
        <f>IF($B166="NA","NA",IF($A$10=0,0,-PV(DiscountRate/12,$D$9,0,'Nominal Increments'!L166,0)))</f>
        <v>0</v>
      </c>
      <c r="M166" s="150">
        <f>IF($B166="NA","NA",IF($A$11=0,0,-PV(DiscountRate/12,$D$10,0,'Nominal Increments'!M166,0)))</f>
        <v>0</v>
      </c>
      <c r="N166" s="150">
        <f>IF($B166="NA","NA",IF($A$12=0,0,-PV(DiscountRate/12,$D$11,0,'Nominal Increments'!N166,0)))</f>
        <v>0</v>
      </c>
      <c r="O166" s="150">
        <f>IF($B166="NA","NA",IF($A$13=0,0,-PV(DiscountRate/12,$D$12,0,'Nominal Increments'!O166,0)))</f>
        <v>0</v>
      </c>
      <c r="P166" s="150">
        <f>IF($B166="NA","NA",IF($A$14=0,0,-PV(DiscountRate/12,$D$13,0,'Nominal Increments'!P166,0)))</f>
        <v>0</v>
      </c>
      <c r="Q166" s="150">
        <f>IF($B166="NA","NA",IF($A$15=0,0,-PV(DiscountRate/12,$D$14,0,'Nominal Increments'!Q166,0)))</f>
        <v>0</v>
      </c>
      <c r="R166" s="150">
        <f>IF($B166="NA","NA",IF($A$16=0,0,-PV(DiscountRate/12,$D$15,0,'Nominal Increments'!R166,0)))</f>
        <v>0</v>
      </c>
      <c r="S166" s="150">
        <f>IF($B166="NA","NA",IF($A$17=0,0,-PV(DiscountRate/12,$D$16,0,'Nominal Increments'!S166,0)))</f>
        <v>0</v>
      </c>
      <c r="T166" s="151">
        <f>IF($B166="NA","NA",IF($A$18=0,0,-PV(DiscountRate/12,$D$17,0,'Nominal Increments'!T166,0)))</f>
        <v>0</v>
      </c>
    </row>
    <row r="167" spans="1:20" x14ac:dyDescent="0.2">
      <c r="A167" s="86">
        <f t="shared" si="10"/>
        <v>4384</v>
      </c>
      <c r="B167" s="142">
        <f t="shared" si="11"/>
        <v>145</v>
      </c>
      <c r="C167" s="143">
        <f t="shared" si="12"/>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50">
        <f>IF(B167="NA","NA",IF(ISNUMBER(VLOOKUP($C167,'A4 Investment'!$A$24:$G$33,7,FALSE)),VLOOKUP($C167,'A4 Investment'!$A$24:$G$33,7,FALSE)*'A4 Investment'!G$18/12,0))</f>
        <v>0</v>
      </c>
      <c r="I167" s="151">
        <f t="shared" si="13"/>
        <v>8904.1666666666661</v>
      </c>
      <c r="J167" s="159">
        <f t="shared" si="14"/>
        <v>8904.1666666666661</v>
      </c>
      <c r="K167" s="150">
        <f>IF($B167="NA","NA",-PV(DiscountRate/12,0,0,'Nominal Increments'!K167,0))</f>
        <v>8904.1666666666661</v>
      </c>
      <c r="L167" s="150">
        <f>IF($B167="NA","NA",IF($A$10=0,0,-PV(DiscountRate/12,$D$9,0,'Nominal Increments'!L167,0)))</f>
        <v>0</v>
      </c>
      <c r="M167" s="150">
        <f>IF($B167="NA","NA",IF($A$11=0,0,-PV(DiscountRate/12,$D$10,0,'Nominal Increments'!M167,0)))</f>
        <v>0</v>
      </c>
      <c r="N167" s="150">
        <f>IF($B167="NA","NA",IF($A$12=0,0,-PV(DiscountRate/12,$D$11,0,'Nominal Increments'!N167,0)))</f>
        <v>0</v>
      </c>
      <c r="O167" s="150">
        <f>IF($B167="NA","NA",IF($A$13=0,0,-PV(DiscountRate/12,$D$12,0,'Nominal Increments'!O167,0)))</f>
        <v>0</v>
      </c>
      <c r="P167" s="150">
        <f>IF($B167="NA","NA",IF($A$14=0,0,-PV(DiscountRate/12,$D$13,0,'Nominal Increments'!P167,0)))</f>
        <v>0</v>
      </c>
      <c r="Q167" s="150">
        <f>IF($B167="NA","NA",IF($A$15=0,0,-PV(DiscountRate/12,$D$14,0,'Nominal Increments'!Q167,0)))</f>
        <v>0</v>
      </c>
      <c r="R167" s="150">
        <f>IF($B167="NA","NA",IF($A$16=0,0,-PV(DiscountRate/12,$D$15,0,'Nominal Increments'!R167,0)))</f>
        <v>0</v>
      </c>
      <c r="S167" s="150">
        <f>IF($B167="NA","NA",IF($A$17=0,0,-PV(DiscountRate/12,$D$16,0,'Nominal Increments'!S167,0)))</f>
        <v>0</v>
      </c>
      <c r="T167" s="151">
        <f>IF($B167="NA","NA",IF($A$18=0,0,-PV(DiscountRate/12,$D$17,0,'Nominal Increments'!T167,0)))</f>
        <v>0</v>
      </c>
    </row>
    <row r="168" spans="1:20" x14ac:dyDescent="0.2">
      <c r="A168" s="86">
        <f t="shared" si="10"/>
        <v>4415</v>
      </c>
      <c r="B168" s="142">
        <f t="shared" si="11"/>
        <v>146</v>
      </c>
      <c r="C168" s="143">
        <f t="shared" si="12"/>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50">
        <f>IF(B168="NA","NA",IF(ISNUMBER(VLOOKUP($C168,'A4 Investment'!$A$24:$G$33,7,FALSE)),VLOOKUP($C168,'A4 Investment'!$A$24:$G$33,7,FALSE)*'A4 Investment'!G$18/12,0))</f>
        <v>0</v>
      </c>
      <c r="I168" s="151">
        <f t="shared" si="13"/>
        <v>8904.1666666666661</v>
      </c>
      <c r="J168" s="159">
        <f t="shared" si="14"/>
        <v>8904.1666666666661</v>
      </c>
      <c r="K168" s="150">
        <f>IF($B168="NA","NA",-PV(DiscountRate/12,0,0,'Nominal Increments'!K168,0))</f>
        <v>8904.1666666666661</v>
      </c>
      <c r="L168" s="150">
        <f>IF($B168="NA","NA",IF($A$10=0,0,-PV(DiscountRate/12,$D$9,0,'Nominal Increments'!L168,0)))</f>
        <v>0</v>
      </c>
      <c r="M168" s="150">
        <f>IF($B168="NA","NA",IF($A$11=0,0,-PV(DiscountRate/12,$D$10,0,'Nominal Increments'!M168,0)))</f>
        <v>0</v>
      </c>
      <c r="N168" s="150">
        <f>IF($B168="NA","NA",IF($A$12=0,0,-PV(DiscountRate/12,$D$11,0,'Nominal Increments'!N168,0)))</f>
        <v>0</v>
      </c>
      <c r="O168" s="150">
        <f>IF($B168="NA","NA",IF($A$13=0,0,-PV(DiscountRate/12,$D$12,0,'Nominal Increments'!O168,0)))</f>
        <v>0</v>
      </c>
      <c r="P168" s="150">
        <f>IF($B168="NA","NA",IF($A$14=0,0,-PV(DiscountRate/12,$D$13,0,'Nominal Increments'!P168,0)))</f>
        <v>0</v>
      </c>
      <c r="Q168" s="150">
        <f>IF($B168="NA","NA",IF($A$15=0,0,-PV(DiscountRate/12,$D$14,0,'Nominal Increments'!Q168,0)))</f>
        <v>0</v>
      </c>
      <c r="R168" s="150">
        <f>IF($B168="NA","NA",IF($A$16=0,0,-PV(DiscountRate/12,$D$15,0,'Nominal Increments'!R168,0)))</f>
        <v>0</v>
      </c>
      <c r="S168" s="150">
        <f>IF($B168="NA","NA",IF($A$17=0,0,-PV(DiscountRate/12,$D$16,0,'Nominal Increments'!S168,0)))</f>
        <v>0</v>
      </c>
      <c r="T168" s="151">
        <f>IF($B168="NA","NA",IF($A$18=0,0,-PV(DiscountRate/12,$D$17,0,'Nominal Increments'!T168,0)))</f>
        <v>0</v>
      </c>
    </row>
    <row r="169" spans="1:20" x14ac:dyDescent="0.2">
      <c r="A169" s="86">
        <f t="shared" si="10"/>
        <v>4444</v>
      </c>
      <c r="B169" s="142">
        <f t="shared" si="11"/>
        <v>147</v>
      </c>
      <c r="C169" s="143">
        <f t="shared" si="12"/>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50">
        <f>IF(B169="NA","NA",IF(ISNUMBER(VLOOKUP($C169,'A4 Investment'!$A$24:$G$33,7,FALSE)),VLOOKUP($C169,'A4 Investment'!$A$24:$G$33,7,FALSE)*'A4 Investment'!G$18/12,0))</f>
        <v>0</v>
      </c>
      <c r="I169" s="151">
        <f t="shared" si="13"/>
        <v>8904.1666666666661</v>
      </c>
      <c r="J169" s="159">
        <f t="shared" si="14"/>
        <v>8904.1666666666661</v>
      </c>
      <c r="K169" s="150">
        <f>IF($B169="NA","NA",-PV(DiscountRate/12,0,0,'Nominal Increments'!K169,0))</f>
        <v>8904.1666666666661</v>
      </c>
      <c r="L169" s="150">
        <f>IF($B169="NA","NA",IF($A$10=0,0,-PV(DiscountRate/12,$D$9,0,'Nominal Increments'!L169,0)))</f>
        <v>0</v>
      </c>
      <c r="M169" s="150">
        <f>IF($B169="NA","NA",IF($A$11=0,0,-PV(DiscountRate/12,$D$10,0,'Nominal Increments'!M169,0)))</f>
        <v>0</v>
      </c>
      <c r="N169" s="150">
        <f>IF($B169="NA","NA",IF($A$12=0,0,-PV(DiscountRate/12,$D$11,0,'Nominal Increments'!N169,0)))</f>
        <v>0</v>
      </c>
      <c r="O169" s="150">
        <f>IF($B169="NA","NA",IF($A$13=0,0,-PV(DiscountRate/12,$D$12,0,'Nominal Increments'!O169,0)))</f>
        <v>0</v>
      </c>
      <c r="P169" s="150">
        <f>IF($B169="NA","NA",IF($A$14=0,0,-PV(DiscountRate/12,$D$13,0,'Nominal Increments'!P169,0)))</f>
        <v>0</v>
      </c>
      <c r="Q169" s="150">
        <f>IF($B169="NA","NA",IF($A$15=0,0,-PV(DiscountRate/12,$D$14,0,'Nominal Increments'!Q169,0)))</f>
        <v>0</v>
      </c>
      <c r="R169" s="150">
        <f>IF($B169="NA","NA",IF($A$16=0,0,-PV(DiscountRate/12,$D$15,0,'Nominal Increments'!R169,0)))</f>
        <v>0</v>
      </c>
      <c r="S169" s="150">
        <f>IF($B169="NA","NA",IF($A$17=0,0,-PV(DiscountRate/12,$D$16,0,'Nominal Increments'!S169,0)))</f>
        <v>0</v>
      </c>
      <c r="T169" s="151">
        <f>IF($B169="NA","NA",IF($A$18=0,0,-PV(DiscountRate/12,$D$17,0,'Nominal Increments'!T169,0)))</f>
        <v>0</v>
      </c>
    </row>
    <row r="170" spans="1:20" x14ac:dyDescent="0.2">
      <c r="A170" s="86">
        <f t="shared" si="10"/>
        <v>4475</v>
      </c>
      <c r="B170" s="142">
        <f t="shared" si="11"/>
        <v>148</v>
      </c>
      <c r="C170" s="143">
        <f t="shared" si="12"/>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50">
        <f>IF(B170="NA","NA",IF(ISNUMBER(VLOOKUP($C170,'A4 Investment'!$A$24:$G$33,7,FALSE)),VLOOKUP($C170,'A4 Investment'!$A$24:$G$33,7,FALSE)*'A4 Investment'!G$18/12,0))</f>
        <v>0</v>
      </c>
      <c r="I170" s="151">
        <f t="shared" si="13"/>
        <v>8904.1666666666661</v>
      </c>
      <c r="J170" s="159">
        <f t="shared" si="14"/>
        <v>8904.1666666666661</v>
      </c>
      <c r="K170" s="150">
        <f>IF($B170="NA","NA",-PV(DiscountRate/12,0,0,'Nominal Increments'!K170,0))</f>
        <v>8904.1666666666661</v>
      </c>
      <c r="L170" s="150">
        <f>IF($B170="NA","NA",IF($A$10=0,0,-PV(DiscountRate/12,$D$9,0,'Nominal Increments'!L170,0)))</f>
        <v>0</v>
      </c>
      <c r="M170" s="150">
        <f>IF($B170="NA","NA",IF($A$11=0,0,-PV(DiscountRate/12,$D$10,0,'Nominal Increments'!M170,0)))</f>
        <v>0</v>
      </c>
      <c r="N170" s="150">
        <f>IF($B170="NA","NA",IF($A$12=0,0,-PV(DiscountRate/12,$D$11,0,'Nominal Increments'!N170,0)))</f>
        <v>0</v>
      </c>
      <c r="O170" s="150">
        <f>IF($B170="NA","NA",IF($A$13=0,0,-PV(DiscountRate/12,$D$12,0,'Nominal Increments'!O170,0)))</f>
        <v>0</v>
      </c>
      <c r="P170" s="150">
        <f>IF($B170="NA","NA",IF($A$14=0,0,-PV(DiscountRate/12,$D$13,0,'Nominal Increments'!P170,0)))</f>
        <v>0</v>
      </c>
      <c r="Q170" s="150">
        <f>IF($B170="NA","NA",IF($A$15=0,0,-PV(DiscountRate/12,$D$14,0,'Nominal Increments'!Q170,0)))</f>
        <v>0</v>
      </c>
      <c r="R170" s="150">
        <f>IF($B170="NA","NA",IF($A$16=0,0,-PV(DiscountRate/12,$D$15,0,'Nominal Increments'!R170,0)))</f>
        <v>0</v>
      </c>
      <c r="S170" s="150">
        <f>IF($B170="NA","NA",IF($A$17=0,0,-PV(DiscountRate/12,$D$16,0,'Nominal Increments'!S170,0)))</f>
        <v>0</v>
      </c>
      <c r="T170" s="151">
        <f>IF($B170="NA","NA",IF($A$18=0,0,-PV(DiscountRate/12,$D$17,0,'Nominal Increments'!T170,0)))</f>
        <v>0</v>
      </c>
    </row>
    <row r="171" spans="1:20" x14ac:dyDescent="0.2">
      <c r="A171" s="86">
        <f t="shared" si="10"/>
        <v>4505</v>
      </c>
      <c r="B171" s="142">
        <f t="shared" si="11"/>
        <v>149</v>
      </c>
      <c r="C171" s="143">
        <f t="shared" si="12"/>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50">
        <f>IF(B171="NA","NA",IF(ISNUMBER(VLOOKUP($C171,'A4 Investment'!$A$24:$G$33,7,FALSE)),VLOOKUP($C171,'A4 Investment'!$A$24:$G$33,7,FALSE)*'A4 Investment'!G$18/12,0))</f>
        <v>0</v>
      </c>
      <c r="I171" s="151">
        <f t="shared" si="13"/>
        <v>8904.1666666666661</v>
      </c>
      <c r="J171" s="159">
        <f t="shared" si="14"/>
        <v>8904.1666666666661</v>
      </c>
      <c r="K171" s="150">
        <f>IF($B171="NA","NA",-PV(DiscountRate/12,0,0,'Nominal Increments'!K171,0))</f>
        <v>8904.1666666666661</v>
      </c>
      <c r="L171" s="150">
        <f>IF($B171="NA","NA",IF($A$10=0,0,-PV(DiscountRate/12,$D$9,0,'Nominal Increments'!L171,0)))</f>
        <v>0</v>
      </c>
      <c r="M171" s="150">
        <f>IF($B171="NA","NA",IF($A$11=0,0,-PV(DiscountRate/12,$D$10,0,'Nominal Increments'!M171,0)))</f>
        <v>0</v>
      </c>
      <c r="N171" s="150">
        <f>IF($B171="NA","NA",IF($A$12=0,0,-PV(DiscountRate/12,$D$11,0,'Nominal Increments'!N171,0)))</f>
        <v>0</v>
      </c>
      <c r="O171" s="150">
        <f>IF($B171="NA","NA",IF($A$13=0,0,-PV(DiscountRate/12,$D$12,0,'Nominal Increments'!O171,0)))</f>
        <v>0</v>
      </c>
      <c r="P171" s="150">
        <f>IF($B171="NA","NA",IF($A$14=0,0,-PV(DiscountRate/12,$D$13,0,'Nominal Increments'!P171,0)))</f>
        <v>0</v>
      </c>
      <c r="Q171" s="150">
        <f>IF($B171="NA","NA",IF($A$15=0,0,-PV(DiscountRate/12,$D$14,0,'Nominal Increments'!Q171,0)))</f>
        <v>0</v>
      </c>
      <c r="R171" s="150">
        <f>IF($B171="NA","NA",IF($A$16=0,0,-PV(DiscountRate/12,$D$15,0,'Nominal Increments'!R171,0)))</f>
        <v>0</v>
      </c>
      <c r="S171" s="150">
        <f>IF($B171="NA","NA",IF($A$17=0,0,-PV(DiscountRate/12,$D$16,0,'Nominal Increments'!S171,0)))</f>
        <v>0</v>
      </c>
      <c r="T171" s="151">
        <f>IF($B171="NA","NA",IF($A$18=0,0,-PV(DiscountRate/12,$D$17,0,'Nominal Increments'!T171,0)))</f>
        <v>0</v>
      </c>
    </row>
    <row r="172" spans="1:20" x14ac:dyDescent="0.2">
      <c r="A172" s="86">
        <f t="shared" si="10"/>
        <v>4536</v>
      </c>
      <c r="B172" s="142">
        <f t="shared" si="11"/>
        <v>150</v>
      </c>
      <c r="C172" s="143">
        <f t="shared" si="12"/>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50">
        <f>IF(B172="NA","NA",IF(ISNUMBER(VLOOKUP($C172,'A4 Investment'!$A$24:$G$33,7,FALSE)),VLOOKUP($C172,'A4 Investment'!$A$24:$G$33,7,FALSE)*'A4 Investment'!G$18/12,0))</f>
        <v>0</v>
      </c>
      <c r="I172" s="151">
        <f t="shared" si="13"/>
        <v>8904.1666666666661</v>
      </c>
      <c r="J172" s="159">
        <f t="shared" si="14"/>
        <v>8904.1666666666661</v>
      </c>
      <c r="K172" s="150">
        <f>IF($B172="NA","NA",-PV(DiscountRate/12,0,0,'Nominal Increments'!K172,0))</f>
        <v>8904.1666666666661</v>
      </c>
      <c r="L172" s="150">
        <f>IF($B172="NA","NA",IF($A$10=0,0,-PV(DiscountRate/12,$D$9,0,'Nominal Increments'!L172,0)))</f>
        <v>0</v>
      </c>
      <c r="M172" s="150">
        <f>IF($B172="NA","NA",IF($A$11=0,0,-PV(DiscountRate/12,$D$10,0,'Nominal Increments'!M172,0)))</f>
        <v>0</v>
      </c>
      <c r="N172" s="150">
        <f>IF($B172="NA","NA",IF($A$12=0,0,-PV(DiscountRate/12,$D$11,0,'Nominal Increments'!N172,0)))</f>
        <v>0</v>
      </c>
      <c r="O172" s="150">
        <f>IF($B172="NA","NA",IF($A$13=0,0,-PV(DiscountRate/12,$D$12,0,'Nominal Increments'!O172,0)))</f>
        <v>0</v>
      </c>
      <c r="P172" s="150">
        <f>IF($B172="NA","NA",IF($A$14=0,0,-PV(DiscountRate/12,$D$13,0,'Nominal Increments'!P172,0)))</f>
        <v>0</v>
      </c>
      <c r="Q172" s="150">
        <f>IF($B172="NA","NA",IF($A$15=0,0,-PV(DiscountRate/12,$D$14,0,'Nominal Increments'!Q172,0)))</f>
        <v>0</v>
      </c>
      <c r="R172" s="150">
        <f>IF($B172="NA","NA",IF($A$16=0,0,-PV(DiscountRate/12,$D$15,0,'Nominal Increments'!R172,0)))</f>
        <v>0</v>
      </c>
      <c r="S172" s="150">
        <f>IF($B172="NA","NA",IF($A$17=0,0,-PV(DiscountRate/12,$D$16,0,'Nominal Increments'!S172,0)))</f>
        <v>0</v>
      </c>
      <c r="T172" s="151">
        <f>IF($B172="NA","NA",IF($A$18=0,0,-PV(DiscountRate/12,$D$17,0,'Nominal Increments'!T172,0)))</f>
        <v>0</v>
      </c>
    </row>
    <row r="173" spans="1:20" x14ac:dyDescent="0.2">
      <c r="A173" s="86">
        <f t="shared" si="10"/>
        <v>4566</v>
      </c>
      <c r="B173" s="142">
        <f t="shared" si="11"/>
        <v>151</v>
      </c>
      <c r="C173" s="143">
        <f t="shared" si="12"/>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50">
        <f>IF(B173="NA","NA",IF(ISNUMBER(VLOOKUP($C173,'A4 Investment'!$A$24:$G$33,7,FALSE)),VLOOKUP($C173,'A4 Investment'!$A$24:$G$33,7,FALSE)*'A4 Investment'!G$18/12,0))</f>
        <v>0</v>
      </c>
      <c r="I173" s="151">
        <f t="shared" si="13"/>
        <v>8904.1666666666661</v>
      </c>
      <c r="J173" s="159">
        <f t="shared" si="14"/>
        <v>8904.1666666666661</v>
      </c>
      <c r="K173" s="150">
        <f>IF($B173="NA","NA",-PV(DiscountRate/12,0,0,'Nominal Increments'!K173,0))</f>
        <v>8904.1666666666661</v>
      </c>
      <c r="L173" s="150">
        <f>IF($B173="NA","NA",IF($A$10=0,0,-PV(DiscountRate/12,$D$9,0,'Nominal Increments'!L173,0)))</f>
        <v>0</v>
      </c>
      <c r="M173" s="150">
        <f>IF($B173="NA","NA",IF($A$11=0,0,-PV(DiscountRate/12,$D$10,0,'Nominal Increments'!M173,0)))</f>
        <v>0</v>
      </c>
      <c r="N173" s="150">
        <f>IF($B173="NA","NA",IF($A$12=0,0,-PV(DiscountRate/12,$D$11,0,'Nominal Increments'!N173,0)))</f>
        <v>0</v>
      </c>
      <c r="O173" s="150">
        <f>IF($B173="NA","NA",IF($A$13=0,0,-PV(DiscountRate/12,$D$12,0,'Nominal Increments'!O173,0)))</f>
        <v>0</v>
      </c>
      <c r="P173" s="150">
        <f>IF($B173="NA","NA",IF($A$14=0,0,-PV(DiscountRate/12,$D$13,0,'Nominal Increments'!P173,0)))</f>
        <v>0</v>
      </c>
      <c r="Q173" s="150">
        <f>IF($B173="NA","NA",IF($A$15=0,0,-PV(DiscountRate/12,$D$14,0,'Nominal Increments'!Q173,0)))</f>
        <v>0</v>
      </c>
      <c r="R173" s="150">
        <f>IF($B173="NA","NA",IF($A$16=0,0,-PV(DiscountRate/12,$D$15,0,'Nominal Increments'!R173,0)))</f>
        <v>0</v>
      </c>
      <c r="S173" s="150">
        <f>IF($B173="NA","NA",IF($A$17=0,0,-PV(DiscountRate/12,$D$16,0,'Nominal Increments'!S173,0)))</f>
        <v>0</v>
      </c>
      <c r="T173" s="151">
        <f>IF($B173="NA","NA",IF($A$18=0,0,-PV(DiscountRate/12,$D$17,0,'Nominal Increments'!T173,0)))</f>
        <v>0</v>
      </c>
    </row>
    <row r="174" spans="1:20" x14ac:dyDescent="0.2">
      <c r="A174" s="86">
        <f t="shared" si="10"/>
        <v>4597</v>
      </c>
      <c r="B174" s="142">
        <f t="shared" si="11"/>
        <v>152</v>
      </c>
      <c r="C174" s="143">
        <f t="shared" si="12"/>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50">
        <f>IF(B174="NA","NA",IF(ISNUMBER(VLOOKUP($C174,'A4 Investment'!$A$24:$G$33,7,FALSE)),VLOOKUP($C174,'A4 Investment'!$A$24:$G$33,7,FALSE)*'A4 Investment'!G$18/12,0))</f>
        <v>0</v>
      </c>
      <c r="I174" s="151">
        <f t="shared" si="13"/>
        <v>8904.1666666666661</v>
      </c>
      <c r="J174" s="159">
        <f t="shared" si="14"/>
        <v>8904.1666666666661</v>
      </c>
      <c r="K174" s="150">
        <f>IF($B174="NA","NA",-PV(DiscountRate/12,0,0,'Nominal Increments'!K174,0))</f>
        <v>8904.1666666666661</v>
      </c>
      <c r="L174" s="150">
        <f>IF($B174="NA","NA",IF($A$10=0,0,-PV(DiscountRate/12,$D$9,0,'Nominal Increments'!L174,0)))</f>
        <v>0</v>
      </c>
      <c r="M174" s="150">
        <f>IF($B174="NA","NA",IF($A$11=0,0,-PV(DiscountRate/12,$D$10,0,'Nominal Increments'!M174,0)))</f>
        <v>0</v>
      </c>
      <c r="N174" s="150">
        <f>IF($B174="NA","NA",IF($A$12=0,0,-PV(DiscountRate/12,$D$11,0,'Nominal Increments'!N174,0)))</f>
        <v>0</v>
      </c>
      <c r="O174" s="150">
        <f>IF($B174="NA","NA",IF($A$13=0,0,-PV(DiscountRate/12,$D$12,0,'Nominal Increments'!O174,0)))</f>
        <v>0</v>
      </c>
      <c r="P174" s="150">
        <f>IF($B174="NA","NA",IF($A$14=0,0,-PV(DiscountRate/12,$D$13,0,'Nominal Increments'!P174,0)))</f>
        <v>0</v>
      </c>
      <c r="Q174" s="150">
        <f>IF($B174="NA","NA",IF($A$15=0,0,-PV(DiscountRate/12,$D$14,0,'Nominal Increments'!Q174,0)))</f>
        <v>0</v>
      </c>
      <c r="R174" s="150">
        <f>IF($B174="NA","NA",IF($A$16=0,0,-PV(DiscountRate/12,$D$15,0,'Nominal Increments'!R174,0)))</f>
        <v>0</v>
      </c>
      <c r="S174" s="150">
        <f>IF($B174="NA","NA",IF($A$17=0,0,-PV(DiscountRate/12,$D$16,0,'Nominal Increments'!S174,0)))</f>
        <v>0</v>
      </c>
      <c r="T174" s="151">
        <f>IF($B174="NA","NA",IF($A$18=0,0,-PV(DiscountRate/12,$D$17,0,'Nominal Increments'!T174,0)))</f>
        <v>0</v>
      </c>
    </row>
    <row r="175" spans="1:20" x14ac:dyDescent="0.2">
      <c r="A175" s="86">
        <f t="shared" si="10"/>
        <v>4628</v>
      </c>
      <c r="B175" s="142">
        <f t="shared" si="11"/>
        <v>153</v>
      </c>
      <c r="C175" s="143">
        <f t="shared" si="12"/>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50">
        <f>IF(B175="NA","NA",IF(ISNUMBER(VLOOKUP($C175,'A4 Investment'!$A$24:$G$33,7,FALSE)),VLOOKUP($C175,'A4 Investment'!$A$24:$G$33,7,FALSE)*'A4 Investment'!G$18/12,0))</f>
        <v>0</v>
      </c>
      <c r="I175" s="151">
        <f t="shared" si="13"/>
        <v>8904.1666666666661</v>
      </c>
      <c r="J175" s="159">
        <f t="shared" si="14"/>
        <v>8904.1666666666661</v>
      </c>
      <c r="K175" s="150">
        <f>IF($B175="NA","NA",-PV(DiscountRate/12,0,0,'Nominal Increments'!K175,0))</f>
        <v>8904.1666666666661</v>
      </c>
      <c r="L175" s="150">
        <f>IF($B175="NA","NA",IF($A$10=0,0,-PV(DiscountRate/12,$D$9,0,'Nominal Increments'!L175,0)))</f>
        <v>0</v>
      </c>
      <c r="M175" s="150">
        <f>IF($B175="NA","NA",IF($A$11=0,0,-PV(DiscountRate/12,$D$10,0,'Nominal Increments'!M175,0)))</f>
        <v>0</v>
      </c>
      <c r="N175" s="150">
        <f>IF($B175="NA","NA",IF($A$12=0,0,-PV(DiscountRate/12,$D$11,0,'Nominal Increments'!N175,0)))</f>
        <v>0</v>
      </c>
      <c r="O175" s="150">
        <f>IF($B175="NA","NA",IF($A$13=0,0,-PV(DiscountRate/12,$D$12,0,'Nominal Increments'!O175,0)))</f>
        <v>0</v>
      </c>
      <c r="P175" s="150">
        <f>IF($B175="NA","NA",IF($A$14=0,0,-PV(DiscountRate/12,$D$13,0,'Nominal Increments'!P175,0)))</f>
        <v>0</v>
      </c>
      <c r="Q175" s="150">
        <f>IF($B175="NA","NA",IF($A$15=0,0,-PV(DiscountRate/12,$D$14,0,'Nominal Increments'!Q175,0)))</f>
        <v>0</v>
      </c>
      <c r="R175" s="150">
        <f>IF($B175="NA","NA",IF($A$16=0,0,-PV(DiscountRate/12,$D$15,0,'Nominal Increments'!R175,0)))</f>
        <v>0</v>
      </c>
      <c r="S175" s="150">
        <f>IF($B175="NA","NA",IF($A$17=0,0,-PV(DiscountRate/12,$D$16,0,'Nominal Increments'!S175,0)))</f>
        <v>0</v>
      </c>
      <c r="T175" s="151">
        <f>IF($B175="NA","NA",IF($A$18=0,0,-PV(DiscountRate/12,$D$17,0,'Nominal Increments'!T175,0)))</f>
        <v>0</v>
      </c>
    </row>
    <row r="176" spans="1:20" x14ac:dyDescent="0.2">
      <c r="A176" s="86">
        <f t="shared" si="10"/>
        <v>4658</v>
      </c>
      <c r="B176" s="142">
        <f t="shared" si="11"/>
        <v>154</v>
      </c>
      <c r="C176" s="143">
        <f t="shared" si="12"/>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50">
        <f>IF(B176="NA","NA",IF(ISNUMBER(VLOOKUP($C176,'A4 Investment'!$A$24:$G$33,7,FALSE)),VLOOKUP($C176,'A4 Investment'!$A$24:$G$33,7,FALSE)*'A4 Investment'!G$18/12,0))</f>
        <v>0</v>
      </c>
      <c r="I176" s="151">
        <f t="shared" si="13"/>
        <v>8904.1666666666661</v>
      </c>
      <c r="J176" s="159">
        <f t="shared" si="14"/>
        <v>8904.1666666666661</v>
      </c>
      <c r="K176" s="150">
        <f>IF($B176="NA","NA",-PV(DiscountRate/12,0,0,'Nominal Increments'!K176,0))</f>
        <v>8904.1666666666661</v>
      </c>
      <c r="L176" s="150">
        <f>IF($B176="NA","NA",IF($A$10=0,0,-PV(DiscountRate/12,$D$9,0,'Nominal Increments'!L176,0)))</f>
        <v>0</v>
      </c>
      <c r="M176" s="150">
        <f>IF($B176="NA","NA",IF($A$11=0,0,-PV(DiscountRate/12,$D$10,0,'Nominal Increments'!M176,0)))</f>
        <v>0</v>
      </c>
      <c r="N176" s="150">
        <f>IF($B176="NA","NA",IF($A$12=0,0,-PV(DiscountRate/12,$D$11,0,'Nominal Increments'!N176,0)))</f>
        <v>0</v>
      </c>
      <c r="O176" s="150">
        <f>IF($B176="NA","NA",IF($A$13=0,0,-PV(DiscountRate/12,$D$12,0,'Nominal Increments'!O176,0)))</f>
        <v>0</v>
      </c>
      <c r="P176" s="150">
        <f>IF($B176="NA","NA",IF($A$14=0,0,-PV(DiscountRate/12,$D$13,0,'Nominal Increments'!P176,0)))</f>
        <v>0</v>
      </c>
      <c r="Q176" s="150">
        <f>IF($B176="NA","NA",IF($A$15=0,0,-PV(DiscountRate/12,$D$14,0,'Nominal Increments'!Q176,0)))</f>
        <v>0</v>
      </c>
      <c r="R176" s="150">
        <f>IF($B176="NA","NA",IF($A$16=0,0,-PV(DiscountRate/12,$D$15,0,'Nominal Increments'!R176,0)))</f>
        <v>0</v>
      </c>
      <c r="S176" s="150">
        <f>IF($B176="NA","NA",IF($A$17=0,0,-PV(DiscountRate/12,$D$16,0,'Nominal Increments'!S176,0)))</f>
        <v>0</v>
      </c>
      <c r="T176" s="151">
        <f>IF($B176="NA","NA",IF($A$18=0,0,-PV(DiscountRate/12,$D$17,0,'Nominal Increments'!T176,0)))</f>
        <v>0</v>
      </c>
    </row>
    <row r="177" spans="1:20" x14ac:dyDescent="0.2">
      <c r="A177" s="86">
        <f t="shared" si="10"/>
        <v>4689</v>
      </c>
      <c r="B177" s="142">
        <f t="shared" si="11"/>
        <v>155</v>
      </c>
      <c r="C177" s="143">
        <f t="shared" si="12"/>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50">
        <f>IF(B177="NA","NA",IF(ISNUMBER(VLOOKUP($C177,'A4 Investment'!$A$24:$G$33,7,FALSE)),VLOOKUP($C177,'A4 Investment'!$A$24:$G$33,7,FALSE)*'A4 Investment'!G$18/12,0))</f>
        <v>0</v>
      </c>
      <c r="I177" s="151">
        <f t="shared" si="13"/>
        <v>8904.1666666666661</v>
      </c>
      <c r="J177" s="159">
        <f t="shared" si="14"/>
        <v>8904.1666666666661</v>
      </c>
      <c r="K177" s="150">
        <f>IF($B177="NA","NA",-PV(DiscountRate/12,0,0,'Nominal Increments'!K177,0))</f>
        <v>8904.1666666666661</v>
      </c>
      <c r="L177" s="150">
        <f>IF($B177="NA","NA",IF($A$10=0,0,-PV(DiscountRate/12,$D$9,0,'Nominal Increments'!L177,0)))</f>
        <v>0</v>
      </c>
      <c r="M177" s="150">
        <f>IF($B177="NA","NA",IF($A$11=0,0,-PV(DiscountRate/12,$D$10,0,'Nominal Increments'!M177,0)))</f>
        <v>0</v>
      </c>
      <c r="N177" s="150">
        <f>IF($B177="NA","NA",IF($A$12=0,0,-PV(DiscountRate/12,$D$11,0,'Nominal Increments'!N177,0)))</f>
        <v>0</v>
      </c>
      <c r="O177" s="150">
        <f>IF($B177="NA","NA",IF($A$13=0,0,-PV(DiscountRate/12,$D$12,0,'Nominal Increments'!O177,0)))</f>
        <v>0</v>
      </c>
      <c r="P177" s="150">
        <f>IF($B177="NA","NA",IF($A$14=0,0,-PV(DiscountRate/12,$D$13,0,'Nominal Increments'!P177,0)))</f>
        <v>0</v>
      </c>
      <c r="Q177" s="150">
        <f>IF($B177="NA","NA",IF($A$15=0,0,-PV(DiscountRate/12,$D$14,0,'Nominal Increments'!Q177,0)))</f>
        <v>0</v>
      </c>
      <c r="R177" s="150">
        <f>IF($B177="NA","NA",IF($A$16=0,0,-PV(DiscountRate/12,$D$15,0,'Nominal Increments'!R177,0)))</f>
        <v>0</v>
      </c>
      <c r="S177" s="150">
        <f>IF($B177="NA","NA",IF($A$17=0,0,-PV(DiscountRate/12,$D$16,0,'Nominal Increments'!S177,0)))</f>
        <v>0</v>
      </c>
      <c r="T177" s="151">
        <f>IF($B177="NA","NA",IF($A$18=0,0,-PV(DiscountRate/12,$D$17,0,'Nominal Increments'!T177,0)))</f>
        <v>0</v>
      </c>
    </row>
    <row r="178" spans="1:20" x14ac:dyDescent="0.2">
      <c r="A178" s="86">
        <f t="shared" si="10"/>
        <v>4719</v>
      </c>
      <c r="B178" s="142">
        <f t="shared" si="11"/>
        <v>156</v>
      </c>
      <c r="C178" s="143">
        <f t="shared" si="12"/>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50">
        <f>IF(B178="NA","NA",IF(ISNUMBER(VLOOKUP($C178,'A4 Investment'!$A$24:$G$33,7,FALSE)),VLOOKUP($C178,'A4 Investment'!$A$24:$G$33,7,FALSE)*'A4 Investment'!G$18/12,0))</f>
        <v>0</v>
      </c>
      <c r="I178" s="151">
        <f t="shared" si="13"/>
        <v>8904.1666666666661</v>
      </c>
      <c r="J178" s="159">
        <f t="shared" si="14"/>
        <v>8904.1666666666661</v>
      </c>
      <c r="K178" s="150">
        <f>IF($B178="NA","NA",-PV(DiscountRate/12,0,0,'Nominal Increments'!K178,0))</f>
        <v>8904.1666666666661</v>
      </c>
      <c r="L178" s="150">
        <f>IF($B178="NA","NA",IF($A$10=0,0,-PV(DiscountRate/12,$D$9,0,'Nominal Increments'!L178,0)))</f>
        <v>0</v>
      </c>
      <c r="M178" s="150">
        <f>IF($B178="NA","NA",IF($A$11=0,0,-PV(DiscountRate/12,$D$10,0,'Nominal Increments'!M178,0)))</f>
        <v>0</v>
      </c>
      <c r="N178" s="150">
        <f>IF($B178="NA","NA",IF($A$12=0,0,-PV(DiscountRate/12,$D$11,0,'Nominal Increments'!N178,0)))</f>
        <v>0</v>
      </c>
      <c r="O178" s="150">
        <f>IF($B178="NA","NA",IF($A$13=0,0,-PV(DiscountRate/12,$D$12,0,'Nominal Increments'!O178,0)))</f>
        <v>0</v>
      </c>
      <c r="P178" s="150">
        <f>IF($B178="NA","NA",IF($A$14=0,0,-PV(DiscountRate/12,$D$13,0,'Nominal Increments'!P178,0)))</f>
        <v>0</v>
      </c>
      <c r="Q178" s="150">
        <f>IF($B178="NA","NA",IF($A$15=0,0,-PV(DiscountRate/12,$D$14,0,'Nominal Increments'!Q178,0)))</f>
        <v>0</v>
      </c>
      <c r="R178" s="150">
        <f>IF($B178="NA","NA",IF($A$16=0,0,-PV(DiscountRate/12,$D$15,0,'Nominal Increments'!R178,0)))</f>
        <v>0</v>
      </c>
      <c r="S178" s="150">
        <f>IF($B178="NA","NA",IF($A$17=0,0,-PV(DiscountRate/12,$D$16,0,'Nominal Increments'!S178,0)))</f>
        <v>0</v>
      </c>
      <c r="T178" s="151">
        <f>IF($B178="NA","NA",IF($A$18=0,0,-PV(DiscountRate/12,$D$17,0,'Nominal Increments'!T178,0)))</f>
        <v>0</v>
      </c>
    </row>
    <row r="179" spans="1:20" x14ac:dyDescent="0.2">
      <c r="A179" s="86">
        <f t="shared" si="10"/>
        <v>4750</v>
      </c>
      <c r="B179" s="142">
        <f t="shared" si="11"/>
        <v>157</v>
      </c>
      <c r="C179" s="143">
        <f t="shared" si="12"/>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50">
        <f>IF(B179="NA","NA",IF(ISNUMBER(VLOOKUP($C179,'A4 Investment'!$A$24:$G$33,7,FALSE)),VLOOKUP($C179,'A4 Investment'!$A$24:$G$33,7,FALSE)*'A4 Investment'!G$18/12,0))</f>
        <v>0</v>
      </c>
      <c r="I179" s="151">
        <f t="shared" si="13"/>
        <v>8904.1666666666661</v>
      </c>
      <c r="J179" s="159">
        <f t="shared" si="14"/>
        <v>8904.1666666666661</v>
      </c>
      <c r="K179" s="150">
        <f>IF($B179="NA","NA",-PV(DiscountRate/12,0,0,'Nominal Increments'!K179,0))</f>
        <v>8904.1666666666661</v>
      </c>
      <c r="L179" s="150">
        <f>IF($B179="NA","NA",IF($A$10=0,0,-PV(DiscountRate/12,$D$9,0,'Nominal Increments'!L179,0)))</f>
        <v>0</v>
      </c>
      <c r="M179" s="150">
        <f>IF($B179="NA","NA",IF($A$11=0,0,-PV(DiscountRate/12,$D$10,0,'Nominal Increments'!M179,0)))</f>
        <v>0</v>
      </c>
      <c r="N179" s="150">
        <f>IF($B179="NA","NA",IF($A$12=0,0,-PV(DiscountRate/12,$D$11,0,'Nominal Increments'!N179,0)))</f>
        <v>0</v>
      </c>
      <c r="O179" s="150">
        <f>IF($B179="NA","NA",IF($A$13=0,0,-PV(DiscountRate/12,$D$12,0,'Nominal Increments'!O179,0)))</f>
        <v>0</v>
      </c>
      <c r="P179" s="150">
        <f>IF($B179="NA","NA",IF($A$14=0,0,-PV(DiscountRate/12,$D$13,0,'Nominal Increments'!P179,0)))</f>
        <v>0</v>
      </c>
      <c r="Q179" s="150">
        <f>IF($B179="NA","NA",IF($A$15=0,0,-PV(DiscountRate/12,$D$14,0,'Nominal Increments'!Q179,0)))</f>
        <v>0</v>
      </c>
      <c r="R179" s="150">
        <f>IF($B179="NA","NA",IF($A$16=0,0,-PV(DiscountRate/12,$D$15,0,'Nominal Increments'!R179,0)))</f>
        <v>0</v>
      </c>
      <c r="S179" s="150">
        <f>IF($B179="NA","NA",IF($A$17=0,0,-PV(DiscountRate/12,$D$16,0,'Nominal Increments'!S179,0)))</f>
        <v>0</v>
      </c>
      <c r="T179" s="151">
        <f>IF($B179="NA","NA",IF($A$18=0,0,-PV(DiscountRate/12,$D$17,0,'Nominal Increments'!T179,0)))</f>
        <v>0</v>
      </c>
    </row>
    <row r="180" spans="1:20" x14ac:dyDescent="0.2">
      <c r="A180" s="86">
        <f t="shared" si="10"/>
        <v>4781</v>
      </c>
      <c r="B180" s="142">
        <f t="shared" si="11"/>
        <v>158</v>
      </c>
      <c r="C180" s="143">
        <f t="shared" si="12"/>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50">
        <f>IF(B180="NA","NA",IF(ISNUMBER(VLOOKUP($C180,'A4 Investment'!$A$24:$G$33,7,FALSE)),VLOOKUP($C180,'A4 Investment'!$A$24:$G$33,7,FALSE)*'A4 Investment'!G$18/12,0))</f>
        <v>0</v>
      </c>
      <c r="I180" s="151">
        <f t="shared" si="13"/>
        <v>8904.1666666666661</v>
      </c>
      <c r="J180" s="159">
        <f t="shared" si="14"/>
        <v>8904.1666666666661</v>
      </c>
      <c r="K180" s="150">
        <f>IF($B180="NA","NA",-PV(DiscountRate/12,0,0,'Nominal Increments'!K180,0))</f>
        <v>8904.1666666666661</v>
      </c>
      <c r="L180" s="150">
        <f>IF($B180="NA","NA",IF($A$10=0,0,-PV(DiscountRate/12,$D$9,0,'Nominal Increments'!L180,0)))</f>
        <v>0</v>
      </c>
      <c r="M180" s="150">
        <f>IF($B180="NA","NA",IF($A$11=0,0,-PV(DiscountRate/12,$D$10,0,'Nominal Increments'!M180,0)))</f>
        <v>0</v>
      </c>
      <c r="N180" s="150">
        <f>IF($B180="NA","NA",IF($A$12=0,0,-PV(DiscountRate/12,$D$11,0,'Nominal Increments'!N180,0)))</f>
        <v>0</v>
      </c>
      <c r="O180" s="150">
        <f>IF($B180="NA","NA",IF($A$13=0,0,-PV(DiscountRate/12,$D$12,0,'Nominal Increments'!O180,0)))</f>
        <v>0</v>
      </c>
      <c r="P180" s="150">
        <f>IF($B180="NA","NA",IF($A$14=0,0,-PV(DiscountRate/12,$D$13,0,'Nominal Increments'!P180,0)))</f>
        <v>0</v>
      </c>
      <c r="Q180" s="150">
        <f>IF($B180="NA","NA",IF($A$15=0,0,-PV(DiscountRate/12,$D$14,0,'Nominal Increments'!Q180,0)))</f>
        <v>0</v>
      </c>
      <c r="R180" s="150">
        <f>IF($B180="NA","NA",IF($A$16=0,0,-PV(DiscountRate/12,$D$15,0,'Nominal Increments'!R180,0)))</f>
        <v>0</v>
      </c>
      <c r="S180" s="150">
        <f>IF($B180="NA","NA",IF($A$17=0,0,-PV(DiscountRate/12,$D$16,0,'Nominal Increments'!S180,0)))</f>
        <v>0</v>
      </c>
      <c r="T180" s="151">
        <f>IF($B180="NA","NA",IF($A$18=0,0,-PV(DiscountRate/12,$D$17,0,'Nominal Increments'!T180,0)))</f>
        <v>0</v>
      </c>
    </row>
    <row r="181" spans="1:20" x14ac:dyDescent="0.2">
      <c r="A181" s="86">
        <f t="shared" si="10"/>
        <v>4809</v>
      </c>
      <c r="B181" s="142">
        <f t="shared" si="11"/>
        <v>159</v>
      </c>
      <c r="C181" s="143">
        <f t="shared" si="12"/>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50">
        <f>IF(B181="NA","NA",IF(ISNUMBER(VLOOKUP($C181,'A4 Investment'!$A$24:$G$33,7,FALSE)),VLOOKUP($C181,'A4 Investment'!$A$24:$G$33,7,FALSE)*'A4 Investment'!G$18/12,0))</f>
        <v>0</v>
      </c>
      <c r="I181" s="151">
        <f t="shared" si="13"/>
        <v>8904.1666666666661</v>
      </c>
      <c r="J181" s="159">
        <f t="shared" si="14"/>
        <v>8904.1666666666661</v>
      </c>
      <c r="K181" s="150">
        <f>IF($B181="NA","NA",-PV(DiscountRate/12,0,0,'Nominal Increments'!K181,0))</f>
        <v>8904.1666666666661</v>
      </c>
      <c r="L181" s="150">
        <f>IF($B181="NA","NA",IF($A$10=0,0,-PV(DiscountRate/12,$D$9,0,'Nominal Increments'!L181,0)))</f>
        <v>0</v>
      </c>
      <c r="M181" s="150">
        <f>IF($B181="NA","NA",IF($A$11=0,0,-PV(DiscountRate/12,$D$10,0,'Nominal Increments'!M181,0)))</f>
        <v>0</v>
      </c>
      <c r="N181" s="150">
        <f>IF($B181="NA","NA",IF($A$12=0,0,-PV(DiscountRate/12,$D$11,0,'Nominal Increments'!N181,0)))</f>
        <v>0</v>
      </c>
      <c r="O181" s="150">
        <f>IF($B181="NA","NA",IF($A$13=0,0,-PV(DiscountRate/12,$D$12,0,'Nominal Increments'!O181,0)))</f>
        <v>0</v>
      </c>
      <c r="P181" s="150">
        <f>IF($B181="NA","NA",IF($A$14=0,0,-PV(DiscountRate/12,$D$13,0,'Nominal Increments'!P181,0)))</f>
        <v>0</v>
      </c>
      <c r="Q181" s="150">
        <f>IF($B181="NA","NA",IF($A$15=0,0,-PV(DiscountRate/12,$D$14,0,'Nominal Increments'!Q181,0)))</f>
        <v>0</v>
      </c>
      <c r="R181" s="150">
        <f>IF($B181="NA","NA",IF($A$16=0,0,-PV(DiscountRate/12,$D$15,0,'Nominal Increments'!R181,0)))</f>
        <v>0</v>
      </c>
      <c r="S181" s="150">
        <f>IF($B181="NA","NA",IF($A$17=0,0,-PV(DiscountRate/12,$D$16,0,'Nominal Increments'!S181,0)))</f>
        <v>0</v>
      </c>
      <c r="T181" s="151">
        <f>IF($B181="NA","NA",IF($A$18=0,0,-PV(DiscountRate/12,$D$17,0,'Nominal Increments'!T181,0)))</f>
        <v>0</v>
      </c>
    </row>
    <row r="182" spans="1:20" x14ac:dyDescent="0.2">
      <c r="A182" s="86">
        <f t="shared" si="10"/>
        <v>4840</v>
      </c>
      <c r="B182" s="142">
        <f t="shared" si="11"/>
        <v>160</v>
      </c>
      <c r="C182" s="143">
        <f t="shared" si="12"/>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50">
        <f>IF(B182="NA","NA",IF(ISNUMBER(VLOOKUP($C182,'A4 Investment'!$A$24:$G$33,7,FALSE)),VLOOKUP($C182,'A4 Investment'!$A$24:$G$33,7,FALSE)*'A4 Investment'!G$18/12,0))</f>
        <v>0</v>
      </c>
      <c r="I182" s="151">
        <f t="shared" si="13"/>
        <v>8904.1666666666661</v>
      </c>
      <c r="J182" s="159">
        <f t="shared" si="14"/>
        <v>8904.1666666666661</v>
      </c>
      <c r="K182" s="150">
        <f>IF($B182="NA","NA",-PV(DiscountRate/12,0,0,'Nominal Increments'!K182,0))</f>
        <v>8904.1666666666661</v>
      </c>
      <c r="L182" s="150">
        <f>IF($B182="NA","NA",IF($A$10=0,0,-PV(DiscountRate/12,$D$9,0,'Nominal Increments'!L182,0)))</f>
        <v>0</v>
      </c>
      <c r="M182" s="150">
        <f>IF($B182="NA","NA",IF($A$11=0,0,-PV(DiscountRate/12,$D$10,0,'Nominal Increments'!M182,0)))</f>
        <v>0</v>
      </c>
      <c r="N182" s="150">
        <f>IF($B182="NA","NA",IF($A$12=0,0,-PV(DiscountRate/12,$D$11,0,'Nominal Increments'!N182,0)))</f>
        <v>0</v>
      </c>
      <c r="O182" s="150">
        <f>IF($B182="NA","NA",IF($A$13=0,0,-PV(DiscountRate/12,$D$12,0,'Nominal Increments'!O182,0)))</f>
        <v>0</v>
      </c>
      <c r="P182" s="150">
        <f>IF($B182="NA","NA",IF($A$14=0,0,-PV(DiscountRate/12,$D$13,0,'Nominal Increments'!P182,0)))</f>
        <v>0</v>
      </c>
      <c r="Q182" s="150">
        <f>IF($B182="NA","NA",IF($A$15=0,0,-PV(DiscountRate/12,$D$14,0,'Nominal Increments'!Q182,0)))</f>
        <v>0</v>
      </c>
      <c r="R182" s="150">
        <f>IF($B182="NA","NA",IF($A$16=0,0,-PV(DiscountRate/12,$D$15,0,'Nominal Increments'!R182,0)))</f>
        <v>0</v>
      </c>
      <c r="S182" s="150">
        <f>IF($B182="NA","NA",IF($A$17=0,0,-PV(DiscountRate/12,$D$16,0,'Nominal Increments'!S182,0)))</f>
        <v>0</v>
      </c>
      <c r="T182" s="151">
        <f>IF($B182="NA","NA",IF($A$18=0,0,-PV(DiscountRate/12,$D$17,0,'Nominal Increments'!T182,0)))</f>
        <v>0</v>
      </c>
    </row>
    <row r="183" spans="1:20" x14ac:dyDescent="0.2">
      <c r="A183" s="86">
        <f t="shared" si="10"/>
        <v>4870</v>
      </c>
      <c r="B183" s="142">
        <f t="shared" si="11"/>
        <v>161</v>
      </c>
      <c r="C183" s="143">
        <f t="shared" si="12"/>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50">
        <f>IF(B183="NA","NA",IF(ISNUMBER(VLOOKUP($C183,'A4 Investment'!$A$24:$G$33,7,FALSE)),VLOOKUP($C183,'A4 Investment'!$A$24:$G$33,7,FALSE)*'A4 Investment'!G$18/12,0))</f>
        <v>0</v>
      </c>
      <c r="I183" s="151">
        <f t="shared" si="13"/>
        <v>8904.1666666666661</v>
      </c>
      <c r="J183" s="159">
        <f t="shared" si="14"/>
        <v>8904.1666666666661</v>
      </c>
      <c r="K183" s="150">
        <f>IF($B183="NA","NA",-PV(DiscountRate/12,0,0,'Nominal Increments'!K183,0))</f>
        <v>8904.1666666666661</v>
      </c>
      <c r="L183" s="150">
        <f>IF($B183="NA","NA",IF($A$10=0,0,-PV(DiscountRate/12,$D$9,0,'Nominal Increments'!L183,0)))</f>
        <v>0</v>
      </c>
      <c r="M183" s="150">
        <f>IF($B183="NA","NA",IF($A$11=0,0,-PV(DiscountRate/12,$D$10,0,'Nominal Increments'!M183,0)))</f>
        <v>0</v>
      </c>
      <c r="N183" s="150">
        <f>IF($B183="NA","NA",IF($A$12=0,0,-PV(DiscountRate/12,$D$11,0,'Nominal Increments'!N183,0)))</f>
        <v>0</v>
      </c>
      <c r="O183" s="150">
        <f>IF($B183="NA","NA",IF($A$13=0,0,-PV(DiscountRate/12,$D$12,0,'Nominal Increments'!O183,0)))</f>
        <v>0</v>
      </c>
      <c r="P183" s="150">
        <f>IF($B183="NA","NA",IF($A$14=0,0,-PV(DiscountRate/12,$D$13,0,'Nominal Increments'!P183,0)))</f>
        <v>0</v>
      </c>
      <c r="Q183" s="150">
        <f>IF($B183="NA","NA",IF($A$15=0,0,-PV(DiscountRate/12,$D$14,0,'Nominal Increments'!Q183,0)))</f>
        <v>0</v>
      </c>
      <c r="R183" s="150">
        <f>IF($B183="NA","NA",IF($A$16=0,0,-PV(DiscountRate/12,$D$15,0,'Nominal Increments'!R183,0)))</f>
        <v>0</v>
      </c>
      <c r="S183" s="150">
        <f>IF($B183="NA","NA",IF($A$17=0,0,-PV(DiscountRate/12,$D$16,0,'Nominal Increments'!S183,0)))</f>
        <v>0</v>
      </c>
      <c r="T183" s="151">
        <f>IF($B183="NA","NA",IF($A$18=0,0,-PV(DiscountRate/12,$D$17,0,'Nominal Increments'!T183,0)))</f>
        <v>0</v>
      </c>
    </row>
    <row r="184" spans="1:20" x14ac:dyDescent="0.2">
      <c r="A184" s="86">
        <f t="shared" si="10"/>
        <v>4901</v>
      </c>
      <c r="B184" s="142">
        <f t="shared" si="11"/>
        <v>162</v>
      </c>
      <c r="C184" s="143">
        <f t="shared" si="12"/>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50">
        <f>IF(B184="NA","NA",IF(ISNUMBER(VLOOKUP($C184,'A4 Investment'!$A$24:$G$33,7,FALSE)),VLOOKUP($C184,'A4 Investment'!$A$24:$G$33,7,FALSE)*'A4 Investment'!G$18/12,0))</f>
        <v>0</v>
      </c>
      <c r="I184" s="151">
        <f t="shared" si="13"/>
        <v>8904.1666666666661</v>
      </c>
      <c r="J184" s="159">
        <f t="shared" si="14"/>
        <v>8904.1666666666661</v>
      </c>
      <c r="K184" s="150">
        <f>IF($B184="NA","NA",-PV(DiscountRate/12,0,0,'Nominal Increments'!K184,0))</f>
        <v>8904.1666666666661</v>
      </c>
      <c r="L184" s="150">
        <f>IF($B184="NA","NA",IF($A$10=0,0,-PV(DiscountRate/12,$D$9,0,'Nominal Increments'!L184,0)))</f>
        <v>0</v>
      </c>
      <c r="M184" s="150">
        <f>IF($B184="NA","NA",IF($A$11=0,0,-PV(DiscountRate/12,$D$10,0,'Nominal Increments'!M184,0)))</f>
        <v>0</v>
      </c>
      <c r="N184" s="150">
        <f>IF($B184="NA","NA",IF($A$12=0,0,-PV(DiscountRate/12,$D$11,0,'Nominal Increments'!N184,0)))</f>
        <v>0</v>
      </c>
      <c r="O184" s="150">
        <f>IF($B184="NA","NA",IF($A$13=0,0,-PV(DiscountRate/12,$D$12,0,'Nominal Increments'!O184,0)))</f>
        <v>0</v>
      </c>
      <c r="P184" s="150">
        <f>IF($B184="NA","NA",IF($A$14=0,0,-PV(DiscountRate/12,$D$13,0,'Nominal Increments'!P184,0)))</f>
        <v>0</v>
      </c>
      <c r="Q184" s="150">
        <f>IF($B184="NA","NA",IF($A$15=0,0,-PV(DiscountRate/12,$D$14,0,'Nominal Increments'!Q184,0)))</f>
        <v>0</v>
      </c>
      <c r="R184" s="150">
        <f>IF($B184="NA","NA",IF($A$16=0,0,-PV(DiscountRate/12,$D$15,0,'Nominal Increments'!R184,0)))</f>
        <v>0</v>
      </c>
      <c r="S184" s="150">
        <f>IF($B184="NA","NA",IF($A$17=0,0,-PV(DiscountRate/12,$D$16,0,'Nominal Increments'!S184,0)))</f>
        <v>0</v>
      </c>
      <c r="T184" s="151">
        <f>IF($B184="NA","NA",IF($A$18=0,0,-PV(DiscountRate/12,$D$17,0,'Nominal Increments'!T184,0)))</f>
        <v>0</v>
      </c>
    </row>
    <row r="185" spans="1:20" x14ac:dyDescent="0.2">
      <c r="A185" s="86">
        <f t="shared" si="10"/>
        <v>4931</v>
      </c>
      <c r="B185" s="142">
        <f t="shared" si="11"/>
        <v>163</v>
      </c>
      <c r="C185" s="143">
        <f t="shared" si="12"/>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50">
        <f>IF(B185="NA","NA",IF(ISNUMBER(VLOOKUP($C185,'A4 Investment'!$A$24:$G$33,7,FALSE)),VLOOKUP($C185,'A4 Investment'!$A$24:$G$33,7,FALSE)*'A4 Investment'!G$18/12,0))</f>
        <v>0</v>
      </c>
      <c r="I185" s="151">
        <f t="shared" si="13"/>
        <v>8904.1666666666661</v>
      </c>
      <c r="J185" s="159">
        <f t="shared" si="14"/>
        <v>8904.1666666666661</v>
      </c>
      <c r="K185" s="150">
        <f>IF($B185="NA","NA",-PV(DiscountRate/12,0,0,'Nominal Increments'!K185,0))</f>
        <v>8904.1666666666661</v>
      </c>
      <c r="L185" s="150">
        <f>IF($B185="NA","NA",IF($A$10=0,0,-PV(DiscountRate/12,$D$9,0,'Nominal Increments'!L185,0)))</f>
        <v>0</v>
      </c>
      <c r="M185" s="150">
        <f>IF($B185="NA","NA",IF($A$11=0,0,-PV(DiscountRate/12,$D$10,0,'Nominal Increments'!M185,0)))</f>
        <v>0</v>
      </c>
      <c r="N185" s="150">
        <f>IF($B185="NA","NA",IF($A$12=0,0,-PV(DiscountRate/12,$D$11,0,'Nominal Increments'!N185,0)))</f>
        <v>0</v>
      </c>
      <c r="O185" s="150">
        <f>IF($B185="NA","NA",IF($A$13=0,0,-PV(DiscountRate/12,$D$12,0,'Nominal Increments'!O185,0)))</f>
        <v>0</v>
      </c>
      <c r="P185" s="150">
        <f>IF($B185="NA","NA",IF($A$14=0,0,-PV(DiscountRate/12,$D$13,0,'Nominal Increments'!P185,0)))</f>
        <v>0</v>
      </c>
      <c r="Q185" s="150">
        <f>IF($B185="NA","NA",IF($A$15=0,0,-PV(DiscountRate/12,$D$14,0,'Nominal Increments'!Q185,0)))</f>
        <v>0</v>
      </c>
      <c r="R185" s="150">
        <f>IF($B185="NA","NA",IF($A$16=0,0,-PV(DiscountRate/12,$D$15,0,'Nominal Increments'!R185,0)))</f>
        <v>0</v>
      </c>
      <c r="S185" s="150">
        <f>IF($B185="NA","NA",IF($A$17=0,0,-PV(DiscountRate/12,$D$16,0,'Nominal Increments'!S185,0)))</f>
        <v>0</v>
      </c>
      <c r="T185" s="151">
        <f>IF($B185="NA","NA",IF($A$18=0,0,-PV(DiscountRate/12,$D$17,0,'Nominal Increments'!T185,0)))</f>
        <v>0</v>
      </c>
    </row>
    <row r="186" spans="1:20" x14ac:dyDescent="0.2">
      <c r="A186" s="86">
        <f t="shared" si="10"/>
        <v>4962</v>
      </c>
      <c r="B186" s="142">
        <f t="shared" si="11"/>
        <v>164</v>
      </c>
      <c r="C186" s="143">
        <f t="shared" si="12"/>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50">
        <f>IF(B186="NA","NA",IF(ISNUMBER(VLOOKUP($C186,'A4 Investment'!$A$24:$G$33,7,FALSE)),VLOOKUP($C186,'A4 Investment'!$A$24:$G$33,7,FALSE)*'A4 Investment'!G$18/12,0))</f>
        <v>0</v>
      </c>
      <c r="I186" s="151">
        <f t="shared" si="13"/>
        <v>8904.1666666666661</v>
      </c>
      <c r="J186" s="159">
        <f t="shared" si="14"/>
        <v>8904.1666666666661</v>
      </c>
      <c r="K186" s="150">
        <f>IF($B186="NA","NA",-PV(DiscountRate/12,0,0,'Nominal Increments'!K186,0))</f>
        <v>8904.1666666666661</v>
      </c>
      <c r="L186" s="150">
        <f>IF($B186="NA","NA",IF($A$10=0,0,-PV(DiscountRate/12,$D$9,0,'Nominal Increments'!L186,0)))</f>
        <v>0</v>
      </c>
      <c r="M186" s="150">
        <f>IF($B186="NA","NA",IF($A$11=0,0,-PV(DiscountRate/12,$D$10,0,'Nominal Increments'!M186,0)))</f>
        <v>0</v>
      </c>
      <c r="N186" s="150">
        <f>IF($B186="NA","NA",IF($A$12=0,0,-PV(DiscountRate/12,$D$11,0,'Nominal Increments'!N186,0)))</f>
        <v>0</v>
      </c>
      <c r="O186" s="150">
        <f>IF($B186="NA","NA",IF($A$13=0,0,-PV(DiscountRate/12,$D$12,0,'Nominal Increments'!O186,0)))</f>
        <v>0</v>
      </c>
      <c r="P186" s="150">
        <f>IF($B186="NA","NA",IF($A$14=0,0,-PV(DiscountRate/12,$D$13,0,'Nominal Increments'!P186,0)))</f>
        <v>0</v>
      </c>
      <c r="Q186" s="150">
        <f>IF($B186="NA","NA",IF($A$15=0,0,-PV(DiscountRate/12,$D$14,0,'Nominal Increments'!Q186,0)))</f>
        <v>0</v>
      </c>
      <c r="R186" s="150">
        <f>IF($B186="NA","NA",IF($A$16=0,0,-PV(DiscountRate/12,$D$15,0,'Nominal Increments'!R186,0)))</f>
        <v>0</v>
      </c>
      <c r="S186" s="150">
        <f>IF($B186="NA","NA",IF($A$17=0,0,-PV(DiscountRate/12,$D$16,0,'Nominal Increments'!S186,0)))</f>
        <v>0</v>
      </c>
      <c r="T186" s="151">
        <f>IF($B186="NA","NA",IF($A$18=0,0,-PV(DiscountRate/12,$D$17,0,'Nominal Increments'!T186,0)))</f>
        <v>0</v>
      </c>
    </row>
    <row r="187" spans="1:20" x14ac:dyDescent="0.2">
      <c r="A187" s="86">
        <f t="shared" si="10"/>
        <v>4993</v>
      </c>
      <c r="B187" s="142">
        <f t="shared" si="11"/>
        <v>165</v>
      </c>
      <c r="C187" s="143">
        <f t="shared" si="12"/>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50">
        <f>IF(B187="NA","NA",IF(ISNUMBER(VLOOKUP($C187,'A4 Investment'!$A$24:$G$33,7,FALSE)),VLOOKUP($C187,'A4 Investment'!$A$24:$G$33,7,FALSE)*'A4 Investment'!G$18/12,0))</f>
        <v>0</v>
      </c>
      <c r="I187" s="151">
        <f t="shared" si="13"/>
        <v>8904.1666666666661</v>
      </c>
      <c r="J187" s="159">
        <f t="shared" si="14"/>
        <v>8904.1666666666661</v>
      </c>
      <c r="K187" s="150">
        <f>IF($B187="NA","NA",-PV(DiscountRate/12,0,0,'Nominal Increments'!K187,0))</f>
        <v>8904.1666666666661</v>
      </c>
      <c r="L187" s="150">
        <f>IF($B187="NA","NA",IF($A$10=0,0,-PV(DiscountRate/12,$D$9,0,'Nominal Increments'!L187,0)))</f>
        <v>0</v>
      </c>
      <c r="M187" s="150">
        <f>IF($B187="NA","NA",IF($A$11=0,0,-PV(DiscountRate/12,$D$10,0,'Nominal Increments'!M187,0)))</f>
        <v>0</v>
      </c>
      <c r="N187" s="150">
        <f>IF($B187="NA","NA",IF($A$12=0,0,-PV(DiscountRate/12,$D$11,0,'Nominal Increments'!N187,0)))</f>
        <v>0</v>
      </c>
      <c r="O187" s="150">
        <f>IF($B187="NA","NA",IF($A$13=0,0,-PV(DiscountRate/12,$D$12,0,'Nominal Increments'!O187,0)))</f>
        <v>0</v>
      </c>
      <c r="P187" s="150">
        <f>IF($B187="NA","NA",IF($A$14=0,0,-PV(DiscountRate/12,$D$13,0,'Nominal Increments'!P187,0)))</f>
        <v>0</v>
      </c>
      <c r="Q187" s="150">
        <f>IF($B187="NA","NA",IF($A$15=0,0,-PV(DiscountRate/12,$D$14,0,'Nominal Increments'!Q187,0)))</f>
        <v>0</v>
      </c>
      <c r="R187" s="150">
        <f>IF($B187="NA","NA",IF($A$16=0,0,-PV(DiscountRate/12,$D$15,0,'Nominal Increments'!R187,0)))</f>
        <v>0</v>
      </c>
      <c r="S187" s="150">
        <f>IF($B187="NA","NA",IF($A$17=0,0,-PV(DiscountRate/12,$D$16,0,'Nominal Increments'!S187,0)))</f>
        <v>0</v>
      </c>
      <c r="T187" s="151">
        <f>IF($B187="NA","NA",IF($A$18=0,0,-PV(DiscountRate/12,$D$17,0,'Nominal Increments'!T187,0)))</f>
        <v>0</v>
      </c>
    </row>
    <row r="188" spans="1:20" x14ac:dyDescent="0.2">
      <c r="A188" s="86">
        <f t="shared" si="10"/>
        <v>5023</v>
      </c>
      <c r="B188" s="142">
        <f t="shared" si="11"/>
        <v>166</v>
      </c>
      <c r="C188" s="143">
        <f t="shared" si="12"/>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50">
        <f>IF(B188="NA","NA",IF(ISNUMBER(VLOOKUP($C188,'A4 Investment'!$A$24:$G$33,7,FALSE)),VLOOKUP($C188,'A4 Investment'!$A$24:$G$33,7,FALSE)*'A4 Investment'!G$18/12,0))</f>
        <v>0</v>
      </c>
      <c r="I188" s="151">
        <f t="shared" si="13"/>
        <v>8904.1666666666661</v>
      </c>
      <c r="J188" s="159">
        <f t="shared" si="14"/>
        <v>8904.1666666666661</v>
      </c>
      <c r="K188" s="150">
        <f>IF($B188="NA","NA",-PV(DiscountRate/12,0,0,'Nominal Increments'!K188,0))</f>
        <v>8904.1666666666661</v>
      </c>
      <c r="L188" s="150">
        <f>IF($B188="NA","NA",IF($A$10=0,0,-PV(DiscountRate/12,$D$9,0,'Nominal Increments'!L188,0)))</f>
        <v>0</v>
      </c>
      <c r="M188" s="150">
        <f>IF($B188="NA","NA",IF($A$11=0,0,-PV(DiscountRate/12,$D$10,0,'Nominal Increments'!M188,0)))</f>
        <v>0</v>
      </c>
      <c r="N188" s="150">
        <f>IF($B188="NA","NA",IF($A$12=0,0,-PV(DiscountRate/12,$D$11,0,'Nominal Increments'!N188,0)))</f>
        <v>0</v>
      </c>
      <c r="O188" s="150">
        <f>IF($B188="NA","NA",IF($A$13=0,0,-PV(DiscountRate/12,$D$12,0,'Nominal Increments'!O188,0)))</f>
        <v>0</v>
      </c>
      <c r="P188" s="150">
        <f>IF($B188="NA","NA",IF($A$14=0,0,-PV(DiscountRate/12,$D$13,0,'Nominal Increments'!P188,0)))</f>
        <v>0</v>
      </c>
      <c r="Q188" s="150">
        <f>IF($B188="NA","NA",IF($A$15=0,0,-PV(DiscountRate/12,$D$14,0,'Nominal Increments'!Q188,0)))</f>
        <v>0</v>
      </c>
      <c r="R188" s="150">
        <f>IF($B188="NA","NA",IF($A$16=0,0,-PV(DiscountRate/12,$D$15,0,'Nominal Increments'!R188,0)))</f>
        <v>0</v>
      </c>
      <c r="S188" s="150">
        <f>IF($B188="NA","NA",IF($A$17=0,0,-PV(DiscountRate/12,$D$16,0,'Nominal Increments'!S188,0)))</f>
        <v>0</v>
      </c>
      <c r="T188" s="151">
        <f>IF($B188="NA","NA",IF($A$18=0,0,-PV(DiscountRate/12,$D$17,0,'Nominal Increments'!T188,0)))</f>
        <v>0</v>
      </c>
    </row>
    <row r="189" spans="1:20" x14ac:dyDescent="0.2">
      <c r="A189" s="86">
        <f t="shared" si="10"/>
        <v>5054</v>
      </c>
      <c r="B189" s="142">
        <f t="shared" si="11"/>
        <v>167</v>
      </c>
      <c r="C189" s="143">
        <f t="shared" si="12"/>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50">
        <f>IF(B189="NA","NA",IF(ISNUMBER(VLOOKUP($C189,'A4 Investment'!$A$24:$G$33,7,FALSE)),VLOOKUP($C189,'A4 Investment'!$A$24:$G$33,7,FALSE)*'A4 Investment'!G$18/12,0))</f>
        <v>0</v>
      </c>
      <c r="I189" s="151">
        <f t="shared" si="13"/>
        <v>8904.1666666666661</v>
      </c>
      <c r="J189" s="159">
        <f t="shared" si="14"/>
        <v>8904.1666666666661</v>
      </c>
      <c r="K189" s="150">
        <f>IF($B189="NA","NA",-PV(DiscountRate/12,0,0,'Nominal Increments'!K189,0))</f>
        <v>8904.1666666666661</v>
      </c>
      <c r="L189" s="150">
        <f>IF($B189="NA","NA",IF($A$10=0,0,-PV(DiscountRate/12,$D$9,0,'Nominal Increments'!L189,0)))</f>
        <v>0</v>
      </c>
      <c r="M189" s="150">
        <f>IF($B189="NA","NA",IF($A$11=0,0,-PV(DiscountRate/12,$D$10,0,'Nominal Increments'!M189,0)))</f>
        <v>0</v>
      </c>
      <c r="N189" s="150">
        <f>IF($B189="NA","NA",IF($A$12=0,0,-PV(DiscountRate/12,$D$11,0,'Nominal Increments'!N189,0)))</f>
        <v>0</v>
      </c>
      <c r="O189" s="150">
        <f>IF($B189="NA","NA",IF($A$13=0,0,-PV(DiscountRate/12,$D$12,0,'Nominal Increments'!O189,0)))</f>
        <v>0</v>
      </c>
      <c r="P189" s="150">
        <f>IF($B189="NA","NA",IF($A$14=0,0,-PV(DiscountRate/12,$D$13,0,'Nominal Increments'!P189,0)))</f>
        <v>0</v>
      </c>
      <c r="Q189" s="150">
        <f>IF($B189="NA","NA",IF($A$15=0,0,-PV(DiscountRate/12,$D$14,0,'Nominal Increments'!Q189,0)))</f>
        <v>0</v>
      </c>
      <c r="R189" s="150">
        <f>IF($B189="NA","NA",IF($A$16=0,0,-PV(DiscountRate/12,$D$15,0,'Nominal Increments'!R189,0)))</f>
        <v>0</v>
      </c>
      <c r="S189" s="150">
        <f>IF($B189="NA","NA",IF($A$17=0,0,-PV(DiscountRate/12,$D$16,0,'Nominal Increments'!S189,0)))</f>
        <v>0</v>
      </c>
      <c r="T189" s="151">
        <f>IF($B189="NA","NA",IF($A$18=0,0,-PV(DiscountRate/12,$D$17,0,'Nominal Increments'!T189,0)))</f>
        <v>0</v>
      </c>
    </row>
    <row r="190" spans="1:20" x14ac:dyDescent="0.2">
      <c r="A190" s="86">
        <f t="shared" si="10"/>
        <v>5084</v>
      </c>
      <c r="B190" s="142">
        <f t="shared" si="11"/>
        <v>168</v>
      </c>
      <c r="C190" s="143">
        <f t="shared" si="12"/>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50">
        <f>IF(B190="NA","NA",IF(ISNUMBER(VLOOKUP($C190,'A4 Investment'!$A$24:$G$33,7,FALSE)),VLOOKUP($C190,'A4 Investment'!$A$24:$G$33,7,FALSE)*'A4 Investment'!G$18/12,0))</f>
        <v>0</v>
      </c>
      <c r="I190" s="151">
        <f t="shared" si="13"/>
        <v>8904.1666666666661</v>
      </c>
      <c r="J190" s="159">
        <f t="shared" si="14"/>
        <v>8904.1666666666661</v>
      </c>
      <c r="K190" s="150">
        <f>IF($B190="NA","NA",-PV(DiscountRate/12,0,0,'Nominal Increments'!K190,0))</f>
        <v>8904.1666666666661</v>
      </c>
      <c r="L190" s="150">
        <f>IF($B190="NA","NA",IF($A$10=0,0,-PV(DiscountRate/12,$D$9,0,'Nominal Increments'!L190,0)))</f>
        <v>0</v>
      </c>
      <c r="M190" s="150">
        <f>IF($B190="NA","NA",IF($A$11=0,0,-PV(DiscountRate/12,$D$10,0,'Nominal Increments'!M190,0)))</f>
        <v>0</v>
      </c>
      <c r="N190" s="150">
        <f>IF($B190="NA","NA",IF($A$12=0,0,-PV(DiscountRate/12,$D$11,0,'Nominal Increments'!N190,0)))</f>
        <v>0</v>
      </c>
      <c r="O190" s="150">
        <f>IF($B190="NA","NA",IF($A$13=0,0,-PV(DiscountRate/12,$D$12,0,'Nominal Increments'!O190,0)))</f>
        <v>0</v>
      </c>
      <c r="P190" s="150">
        <f>IF($B190="NA","NA",IF($A$14=0,0,-PV(DiscountRate/12,$D$13,0,'Nominal Increments'!P190,0)))</f>
        <v>0</v>
      </c>
      <c r="Q190" s="150">
        <f>IF($B190="NA","NA",IF($A$15=0,0,-PV(DiscountRate/12,$D$14,0,'Nominal Increments'!Q190,0)))</f>
        <v>0</v>
      </c>
      <c r="R190" s="150">
        <f>IF($B190="NA","NA",IF($A$16=0,0,-PV(DiscountRate/12,$D$15,0,'Nominal Increments'!R190,0)))</f>
        <v>0</v>
      </c>
      <c r="S190" s="150">
        <f>IF($B190="NA","NA",IF($A$17=0,0,-PV(DiscountRate/12,$D$16,0,'Nominal Increments'!S190,0)))</f>
        <v>0</v>
      </c>
      <c r="T190" s="151">
        <f>IF($B190="NA","NA",IF($A$18=0,0,-PV(DiscountRate/12,$D$17,0,'Nominal Increments'!T190,0)))</f>
        <v>0</v>
      </c>
    </row>
    <row r="191" spans="1:20" x14ac:dyDescent="0.2">
      <c r="A191" s="86">
        <f t="shared" si="10"/>
        <v>5115</v>
      </c>
      <c r="B191" s="142">
        <f t="shared" si="11"/>
        <v>169</v>
      </c>
      <c r="C191" s="143">
        <f t="shared" si="12"/>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50">
        <f>IF(B191="NA","NA",IF(ISNUMBER(VLOOKUP($C191,'A4 Investment'!$A$24:$G$33,7,FALSE)),VLOOKUP($C191,'A4 Investment'!$A$24:$G$33,7,FALSE)*'A4 Investment'!G$18/12,0))</f>
        <v>0</v>
      </c>
      <c r="I191" s="151">
        <f t="shared" si="13"/>
        <v>8904.1666666666661</v>
      </c>
      <c r="J191" s="159">
        <f t="shared" si="14"/>
        <v>8904.1666666666661</v>
      </c>
      <c r="K191" s="150">
        <f>IF($B191="NA","NA",-PV(DiscountRate/12,0,0,'Nominal Increments'!K191,0))</f>
        <v>8904.1666666666661</v>
      </c>
      <c r="L191" s="150">
        <f>IF($B191="NA","NA",IF($A$10=0,0,-PV(DiscountRate/12,$D$9,0,'Nominal Increments'!L191,0)))</f>
        <v>0</v>
      </c>
      <c r="M191" s="150">
        <f>IF($B191="NA","NA",IF($A$11=0,0,-PV(DiscountRate/12,$D$10,0,'Nominal Increments'!M191,0)))</f>
        <v>0</v>
      </c>
      <c r="N191" s="150">
        <f>IF($B191="NA","NA",IF($A$12=0,0,-PV(DiscountRate/12,$D$11,0,'Nominal Increments'!N191,0)))</f>
        <v>0</v>
      </c>
      <c r="O191" s="150">
        <f>IF($B191="NA","NA",IF($A$13=0,0,-PV(DiscountRate/12,$D$12,0,'Nominal Increments'!O191,0)))</f>
        <v>0</v>
      </c>
      <c r="P191" s="150">
        <f>IF($B191="NA","NA",IF($A$14=0,0,-PV(DiscountRate/12,$D$13,0,'Nominal Increments'!P191,0)))</f>
        <v>0</v>
      </c>
      <c r="Q191" s="150">
        <f>IF($B191="NA","NA",IF($A$15=0,0,-PV(DiscountRate/12,$D$14,0,'Nominal Increments'!Q191,0)))</f>
        <v>0</v>
      </c>
      <c r="R191" s="150">
        <f>IF($B191="NA","NA",IF($A$16=0,0,-PV(DiscountRate/12,$D$15,0,'Nominal Increments'!R191,0)))</f>
        <v>0</v>
      </c>
      <c r="S191" s="150">
        <f>IF($B191="NA","NA",IF($A$17=0,0,-PV(DiscountRate/12,$D$16,0,'Nominal Increments'!S191,0)))</f>
        <v>0</v>
      </c>
      <c r="T191" s="151">
        <f>IF($B191="NA","NA",IF($A$18=0,0,-PV(DiscountRate/12,$D$17,0,'Nominal Increments'!T191,0)))</f>
        <v>0</v>
      </c>
    </row>
    <row r="192" spans="1:20" x14ac:dyDescent="0.2">
      <c r="A192" s="86">
        <f t="shared" si="10"/>
        <v>5146</v>
      </c>
      <c r="B192" s="142">
        <f t="shared" si="11"/>
        <v>170</v>
      </c>
      <c r="C192" s="143">
        <f t="shared" si="12"/>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50">
        <f>IF(B192="NA","NA",IF(ISNUMBER(VLOOKUP($C192,'A4 Investment'!$A$24:$G$33,7,FALSE)),VLOOKUP($C192,'A4 Investment'!$A$24:$G$33,7,FALSE)*'A4 Investment'!G$18/12,0))</f>
        <v>0</v>
      </c>
      <c r="I192" s="151">
        <f t="shared" si="13"/>
        <v>8904.1666666666661</v>
      </c>
      <c r="J192" s="159">
        <f t="shared" si="14"/>
        <v>8904.1666666666661</v>
      </c>
      <c r="K192" s="150">
        <f>IF($B192="NA","NA",-PV(DiscountRate/12,0,0,'Nominal Increments'!K192,0))</f>
        <v>8904.1666666666661</v>
      </c>
      <c r="L192" s="150">
        <f>IF($B192="NA","NA",IF($A$10=0,0,-PV(DiscountRate/12,$D$9,0,'Nominal Increments'!L192,0)))</f>
        <v>0</v>
      </c>
      <c r="M192" s="150">
        <f>IF($B192="NA","NA",IF($A$11=0,0,-PV(DiscountRate/12,$D$10,0,'Nominal Increments'!M192,0)))</f>
        <v>0</v>
      </c>
      <c r="N192" s="150">
        <f>IF($B192="NA","NA",IF($A$12=0,0,-PV(DiscountRate/12,$D$11,0,'Nominal Increments'!N192,0)))</f>
        <v>0</v>
      </c>
      <c r="O192" s="150">
        <f>IF($B192="NA","NA",IF($A$13=0,0,-PV(DiscountRate/12,$D$12,0,'Nominal Increments'!O192,0)))</f>
        <v>0</v>
      </c>
      <c r="P192" s="150">
        <f>IF($B192="NA","NA",IF($A$14=0,0,-PV(DiscountRate/12,$D$13,0,'Nominal Increments'!P192,0)))</f>
        <v>0</v>
      </c>
      <c r="Q192" s="150">
        <f>IF($B192="NA","NA",IF($A$15=0,0,-PV(DiscountRate/12,$D$14,0,'Nominal Increments'!Q192,0)))</f>
        <v>0</v>
      </c>
      <c r="R192" s="150">
        <f>IF($B192="NA","NA",IF($A$16=0,0,-PV(DiscountRate/12,$D$15,0,'Nominal Increments'!R192,0)))</f>
        <v>0</v>
      </c>
      <c r="S192" s="150">
        <f>IF($B192="NA","NA",IF($A$17=0,0,-PV(DiscountRate/12,$D$16,0,'Nominal Increments'!S192,0)))</f>
        <v>0</v>
      </c>
      <c r="T192" s="151">
        <f>IF($B192="NA","NA",IF($A$18=0,0,-PV(DiscountRate/12,$D$17,0,'Nominal Increments'!T192,0)))</f>
        <v>0</v>
      </c>
    </row>
    <row r="193" spans="1:20" x14ac:dyDescent="0.2">
      <c r="A193" s="86">
        <f t="shared" si="10"/>
        <v>5174</v>
      </c>
      <c r="B193" s="142">
        <f t="shared" si="11"/>
        <v>171</v>
      </c>
      <c r="C193" s="143">
        <f t="shared" si="12"/>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50">
        <f>IF(B193="NA","NA",IF(ISNUMBER(VLOOKUP($C193,'A4 Investment'!$A$24:$G$33,7,FALSE)),VLOOKUP($C193,'A4 Investment'!$A$24:$G$33,7,FALSE)*'A4 Investment'!G$18/12,0))</f>
        <v>0</v>
      </c>
      <c r="I193" s="151">
        <f t="shared" si="13"/>
        <v>8904.1666666666661</v>
      </c>
      <c r="J193" s="159">
        <f t="shared" si="14"/>
        <v>8904.1666666666661</v>
      </c>
      <c r="K193" s="150">
        <f>IF($B193="NA","NA",-PV(DiscountRate/12,0,0,'Nominal Increments'!K193,0))</f>
        <v>8904.1666666666661</v>
      </c>
      <c r="L193" s="150">
        <f>IF($B193="NA","NA",IF($A$10=0,0,-PV(DiscountRate/12,$D$9,0,'Nominal Increments'!L193,0)))</f>
        <v>0</v>
      </c>
      <c r="M193" s="150">
        <f>IF($B193="NA","NA",IF($A$11=0,0,-PV(DiscountRate/12,$D$10,0,'Nominal Increments'!M193,0)))</f>
        <v>0</v>
      </c>
      <c r="N193" s="150">
        <f>IF($B193="NA","NA",IF($A$12=0,0,-PV(DiscountRate/12,$D$11,0,'Nominal Increments'!N193,0)))</f>
        <v>0</v>
      </c>
      <c r="O193" s="150">
        <f>IF($B193="NA","NA",IF($A$13=0,0,-PV(DiscountRate/12,$D$12,0,'Nominal Increments'!O193,0)))</f>
        <v>0</v>
      </c>
      <c r="P193" s="150">
        <f>IF($B193="NA","NA",IF($A$14=0,0,-PV(DiscountRate/12,$D$13,0,'Nominal Increments'!P193,0)))</f>
        <v>0</v>
      </c>
      <c r="Q193" s="150">
        <f>IF($B193="NA","NA",IF($A$15=0,0,-PV(DiscountRate/12,$D$14,0,'Nominal Increments'!Q193,0)))</f>
        <v>0</v>
      </c>
      <c r="R193" s="150">
        <f>IF($B193="NA","NA",IF($A$16=0,0,-PV(DiscountRate/12,$D$15,0,'Nominal Increments'!R193,0)))</f>
        <v>0</v>
      </c>
      <c r="S193" s="150">
        <f>IF($B193="NA","NA",IF($A$17=0,0,-PV(DiscountRate/12,$D$16,0,'Nominal Increments'!S193,0)))</f>
        <v>0</v>
      </c>
      <c r="T193" s="151">
        <f>IF($B193="NA","NA",IF($A$18=0,0,-PV(DiscountRate/12,$D$17,0,'Nominal Increments'!T193,0)))</f>
        <v>0</v>
      </c>
    </row>
    <row r="194" spans="1:20" x14ac:dyDescent="0.2">
      <c r="A194" s="86">
        <f t="shared" si="10"/>
        <v>5205</v>
      </c>
      <c r="B194" s="142">
        <f t="shared" si="11"/>
        <v>172</v>
      </c>
      <c r="C194" s="143">
        <f t="shared" si="12"/>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50">
        <f>IF(B194="NA","NA",IF(ISNUMBER(VLOOKUP($C194,'A4 Investment'!$A$24:$G$33,7,FALSE)),VLOOKUP($C194,'A4 Investment'!$A$24:$G$33,7,FALSE)*'A4 Investment'!G$18/12,0))</f>
        <v>0</v>
      </c>
      <c r="I194" s="151">
        <f t="shared" si="13"/>
        <v>8904.1666666666661</v>
      </c>
      <c r="J194" s="159">
        <f t="shared" si="14"/>
        <v>8904.1666666666661</v>
      </c>
      <c r="K194" s="150">
        <f>IF($B194="NA","NA",-PV(DiscountRate/12,0,0,'Nominal Increments'!K194,0))</f>
        <v>8904.1666666666661</v>
      </c>
      <c r="L194" s="150">
        <f>IF($B194="NA","NA",IF($A$10=0,0,-PV(DiscountRate/12,$D$9,0,'Nominal Increments'!L194,0)))</f>
        <v>0</v>
      </c>
      <c r="M194" s="150">
        <f>IF($B194="NA","NA",IF($A$11=0,0,-PV(DiscountRate/12,$D$10,0,'Nominal Increments'!M194,0)))</f>
        <v>0</v>
      </c>
      <c r="N194" s="150">
        <f>IF($B194="NA","NA",IF($A$12=0,0,-PV(DiscountRate/12,$D$11,0,'Nominal Increments'!N194,0)))</f>
        <v>0</v>
      </c>
      <c r="O194" s="150">
        <f>IF($B194="NA","NA",IF($A$13=0,0,-PV(DiscountRate/12,$D$12,0,'Nominal Increments'!O194,0)))</f>
        <v>0</v>
      </c>
      <c r="P194" s="150">
        <f>IF($B194="NA","NA",IF($A$14=0,0,-PV(DiscountRate/12,$D$13,0,'Nominal Increments'!P194,0)))</f>
        <v>0</v>
      </c>
      <c r="Q194" s="150">
        <f>IF($B194="NA","NA",IF($A$15=0,0,-PV(DiscountRate/12,$D$14,0,'Nominal Increments'!Q194,0)))</f>
        <v>0</v>
      </c>
      <c r="R194" s="150">
        <f>IF($B194="NA","NA",IF($A$16=0,0,-PV(DiscountRate/12,$D$15,0,'Nominal Increments'!R194,0)))</f>
        <v>0</v>
      </c>
      <c r="S194" s="150">
        <f>IF($B194="NA","NA",IF($A$17=0,0,-PV(DiscountRate/12,$D$16,0,'Nominal Increments'!S194,0)))</f>
        <v>0</v>
      </c>
      <c r="T194" s="151">
        <f>IF($B194="NA","NA",IF($A$18=0,0,-PV(DiscountRate/12,$D$17,0,'Nominal Increments'!T194,0)))</f>
        <v>0</v>
      </c>
    </row>
    <row r="195" spans="1:20" x14ac:dyDescent="0.2">
      <c r="A195" s="86">
        <f t="shared" si="10"/>
        <v>5235</v>
      </c>
      <c r="B195" s="142">
        <f t="shared" si="11"/>
        <v>173</v>
      </c>
      <c r="C195" s="143">
        <f t="shared" si="12"/>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50">
        <f>IF(B195="NA","NA",IF(ISNUMBER(VLOOKUP($C195,'A4 Investment'!$A$24:$G$33,7,FALSE)),VLOOKUP($C195,'A4 Investment'!$A$24:$G$33,7,FALSE)*'A4 Investment'!G$18/12,0))</f>
        <v>0</v>
      </c>
      <c r="I195" s="151">
        <f t="shared" si="13"/>
        <v>8904.1666666666661</v>
      </c>
      <c r="J195" s="159">
        <f t="shared" si="14"/>
        <v>8904.1666666666661</v>
      </c>
      <c r="K195" s="150">
        <f>IF($B195="NA","NA",-PV(DiscountRate/12,0,0,'Nominal Increments'!K195,0))</f>
        <v>8904.1666666666661</v>
      </c>
      <c r="L195" s="150">
        <f>IF($B195="NA","NA",IF($A$10=0,0,-PV(DiscountRate/12,$D$9,0,'Nominal Increments'!L195,0)))</f>
        <v>0</v>
      </c>
      <c r="M195" s="150">
        <f>IF($B195="NA","NA",IF($A$11=0,0,-PV(DiscountRate/12,$D$10,0,'Nominal Increments'!M195,0)))</f>
        <v>0</v>
      </c>
      <c r="N195" s="150">
        <f>IF($B195="NA","NA",IF($A$12=0,0,-PV(DiscountRate/12,$D$11,0,'Nominal Increments'!N195,0)))</f>
        <v>0</v>
      </c>
      <c r="O195" s="150">
        <f>IF($B195="NA","NA",IF($A$13=0,0,-PV(DiscountRate/12,$D$12,0,'Nominal Increments'!O195,0)))</f>
        <v>0</v>
      </c>
      <c r="P195" s="150">
        <f>IF($B195="NA","NA",IF($A$14=0,0,-PV(DiscountRate/12,$D$13,0,'Nominal Increments'!P195,0)))</f>
        <v>0</v>
      </c>
      <c r="Q195" s="150">
        <f>IF($B195="NA","NA",IF($A$15=0,0,-PV(DiscountRate/12,$D$14,0,'Nominal Increments'!Q195,0)))</f>
        <v>0</v>
      </c>
      <c r="R195" s="150">
        <f>IF($B195="NA","NA",IF($A$16=0,0,-PV(DiscountRate/12,$D$15,0,'Nominal Increments'!R195,0)))</f>
        <v>0</v>
      </c>
      <c r="S195" s="150">
        <f>IF($B195="NA","NA",IF($A$17=0,0,-PV(DiscountRate/12,$D$16,0,'Nominal Increments'!S195,0)))</f>
        <v>0</v>
      </c>
      <c r="T195" s="151">
        <f>IF($B195="NA","NA",IF($A$18=0,0,-PV(DiscountRate/12,$D$17,0,'Nominal Increments'!T195,0)))</f>
        <v>0</v>
      </c>
    </row>
    <row r="196" spans="1:20" x14ac:dyDescent="0.2">
      <c r="A196" s="86">
        <f t="shared" si="10"/>
        <v>5266</v>
      </c>
      <c r="B196" s="142">
        <f t="shared" si="11"/>
        <v>174</v>
      </c>
      <c r="C196" s="143">
        <f t="shared" si="12"/>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50">
        <f>IF(B196="NA","NA",IF(ISNUMBER(VLOOKUP($C196,'A4 Investment'!$A$24:$G$33,7,FALSE)),VLOOKUP($C196,'A4 Investment'!$A$24:$G$33,7,FALSE)*'A4 Investment'!G$18/12,0))</f>
        <v>0</v>
      </c>
      <c r="I196" s="151">
        <f t="shared" si="13"/>
        <v>8904.1666666666661</v>
      </c>
      <c r="J196" s="159">
        <f t="shared" si="14"/>
        <v>8904.1666666666661</v>
      </c>
      <c r="K196" s="150">
        <f>IF($B196="NA","NA",-PV(DiscountRate/12,0,0,'Nominal Increments'!K196,0))</f>
        <v>8904.1666666666661</v>
      </c>
      <c r="L196" s="150">
        <f>IF($B196="NA","NA",IF($A$10=0,0,-PV(DiscountRate/12,$D$9,0,'Nominal Increments'!L196,0)))</f>
        <v>0</v>
      </c>
      <c r="M196" s="150">
        <f>IF($B196="NA","NA",IF($A$11=0,0,-PV(DiscountRate/12,$D$10,0,'Nominal Increments'!M196,0)))</f>
        <v>0</v>
      </c>
      <c r="N196" s="150">
        <f>IF($B196="NA","NA",IF($A$12=0,0,-PV(DiscountRate/12,$D$11,0,'Nominal Increments'!N196,0)))</f>
        <v>0</v>
      </c>
      <c r="O196" s="150">
        <f>IF($B196="NA","NA",IF($A$13=0,0,-PV(DiscountRate/12,$D$12,0,'Nominal Increments'!O196,0)))</f>
        <v>0</v>
      </c>
      <c r="P196" s="150">
        <f>IF($B196="NA","NA",IF($A$14=0,0,-PV(DiscountRate/12,$D$13,0,'Nominal Increments'!P196,0)))</f>
        <v>0</v>
      </c>
      <c r="Q196" s="150">
        <f>IF($B196="NA","NA",IF($A$15=0,0,-PV(DiscountRate/12,$D$14,0,'Nominal Increments'!Q196,0)))</f>
        <v>0</v>
      </c>
      <c r="R196" s="150">
        <f>IF($B196="NA","NA",IF($A$16=0,0,-PV(DiscountRate/12,$D$15,0,'Nominal Increments'!R196,0)))</f>
        <v>0</v>
      </c>
      <c r="S196" s="150">
        <f>IF($B196="NA","NA",IF($A$17=0,0,-PV(DiscountRate/12,$D$16,0,'Nominal Increments'!S196,0)))</f>
        <v>0</v>
      </c>
      <c r="T196" s="151">
        <f>IF($B196="NA","NA",IF($A$18=0,0,-PV(DiscountRate/12,$D$17,0,'Nominal Increments'!T196,0)))</f>
        <v>0</v>
      </c>
    </row>
    <row r="197" spans="1:20" x14ac:dyDescent="0.2">
      <c r="A197" s="86">
        <f t="shared" si="10"/>
        <v>5296</v>
      </c>
      <c r="B197" s="142">
        <f t="shared" si="11"/>
        <v>175</v>
      </c>
      <c r="C197" s="143">
        <f t="shared" si="12"/>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50">
        <f>IF(B197="NA","NA",IF(ISNUMBER(VLOOKUP($C197,'A4 Investment'!$A$24:$G$33,7,FALSE)),VLOOKUP($C197,'A4 Investment'!$A$24:$G$33,7,FALSE)*'A4 Investment'!G$18/12,0))</f>
        <v>0</v>
      </c>
      <c r="I197" s="151">
        <f t="shared" si="13"/>
        <v>8904.1666666666661</v>
      </c>
      <c r="J197" s="159">
        <f t="shared" si="14"/>
        <v>8904.1666666666661</v>
      </c>
      <c r="K197" s="150">
        <f>IF($B197="NA","NA",-PV(DiscountRate/12,0,0,'Nominal Increments'!K197,0))</f>
        <v>8904.1666666666661</v>
      </c>
      <c r="L197" s="150">
        <f>IF($B197="NA","NA",IF($A$10=0,0,-PV(DiscountRate/12,$D$9,0,'Nominal Increments'!L197,0)))</f>
        <v>0</v>
      </c>
      <c r="M197" s="150">
        <f>IF($B197="NA","NA",IF($A$11=0,0,-PV(DiscountRate/12,$D$10,0,'Nominal Increments'!M197,0)))</f>
        <v>0</v>
      </c>
      <c r="N197" s="150">
        <f>IF($B197="NA","NA",IF($A$12=0,0,-PV(DiscountRate/12,$D$11,0,'Nominal Increments'!N197,0)))</f>
        <v>0</v>
      </c>
      <c r="O197" s="150">
        <f>IF($B197="NA","NA",IF($A$13=0,0,-PV(DiscountRate/12,$D$12,0,'Nominal Increments'!O197,0)))</f>
        <v>0</v>
      </c>
      <c r="P197" s="150">
        <f>IF($B197="NA","NA",IF($A$14=0,0,-PV(DiscountRate/12,$D$13,0,'Nominal Increments'!P197,0)))</f>
        <v>0</v>
      </c>
      <c r="Q197" s="150">
        <f>IF($B197="NA","NA",IF($A$15=0,0,-PV(DiscountRate/12,$D$14,0,'Nominal Increments'!Q197,0)))</f>
        <v>0</v>
      </c>
      <c r="R197" s="150">
        <f>IF($B197="NA","NA",IF($A$16=0,0,-PV(DiscountRate/12,$D$15,0,'Nominal Increments'!R197,0)))</f>
        <v>0</v>
      </c>
      <c r="S197" s="150">
        <f>IF($B197="NA","NA",IF($A$17=0,0,-PV(DiscountRate/12,$D$16,0,'Nominal Increments'!S197,0)))</f>
        <v>0</v>
      </c>
      <c r="T197" s="151">
        <f>IF($B197="NA","NA",IF($A$18=0,0,-PV(DiscountRate/12,$D$17,0,'Nominal Increments'!T197,0)))</f>
        <v>0</v>
      </c>
    </row>
    <row r="198" spans="1:20" x14ac:dyDescent="0.2">
      <c r="A198" s="86">
        <f t="shared" si="10"/>
        <v>5327</v>
      </c>
      <c r="B198" s="142">
        <f t="shared" si="11"/>
        <v>176</v>
      </c>
      <c r="C198" s="143">
        <f t="shared" si="12"/>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50">
        <f>IF(B198="NA","NA",IF(ISNUMBER(VLOOKUP($C198,'A4 Investment'!$A$24:$G$33,7,FALSE)),VLOOKUP($C198,'A4 Investment'!$A$24:$G$33,7,FALSE)*'A4 Investment'!G$18/12,0))</f>
        <v>0</v>
      </c>
      <c r="I198" s="151">
        <f t="shared" si="13"/>
        <v>8904.1666666666661</v>
      </c>
      <c r="J198" s="159">
        <f t="shared" si="14"/>
        <v>8904.1666666666661</v>
      </c>
      <c r="K198" s="150">
        <f>IF($B198="NA","NA",-PV(DiscountRate/12,0,0,'Nominal Increments'!K198,0))</f>
        <v>8904.1666666666661</v>
      </c>
      <c r="L198" s="150">
        <f>IF($B198="NA","NA",IF($A$10=0,0,-PV(DiscountRate/12,$D$9,0,'Nominal Increments'!L198,0)))</f>
        <v>0</v>
      </c>
      <c r="M198" s="150">
        <f>IF($B198="NA","NA",IF($A$11=0,0,-PV(DiscountRate/12,$D$10,0,'Nominal Increments'!M198,0)))</f>
        <v>0</v>
      </c>
      <c r="N198" s="150">
        <f>IF($B198="NA","NA",IF($A$12=0,0,-PV(DiscountRate/12,$D$11,0,'Nominal Increments'!N198,0)))</f>
        <v>0</v>
      </c>
      <c r="O198" s="150">
        <f>IF($B198="NA","NA",IF($A$13=0,0,-PV(DiscountRate/12,$D$12,0,'Nominal Increments'!O198,0)))</f>
        <v>0</v>
      </c>
      <c r="P198" s="150">
        <f>IF($B198="NA","NA",IF($A$14=0,0,-PV(DiscountRate/12,$D$13,0,'Nominal Increments'!P198,0)))</f>
        <v>0</v>
      </c>
      <c r="Q198" s="150">
        <f>IF($B198="NA","NA",IF($A$15=0,0,-PV(DiscountRate/12,$D$14,0,'Nominal Increments'!Q198,0)))</f>
        <v>0</v>
      </c>
      <c r="R198" s="150">
        <f>IF($B198="NA","NA",IF($A$16=0,0,-PV(DiscountRate/12,$D$15,0,'Nominal Increments'!R198,0)))</f>
        <v>0</v>
      </c>
      <c r="S198" s="150">
        <f>IF($B198="NA","NA",IF($A$17=0,0,-PV(DiscountRate/12,$D$16,0,'Nominal Increments'!S198,0)))</f>
        <v>0</v>
      </c>
      <c r="T198" s="151">
        <f>IF($B198="NA","NA",IF($A$18=0,0,-PV(DiscountRate/12,$D$17,0,'Nominal Increments'!T198,0)))</f>
        <v>0</v>
      </c>
    </row>
    <row r="199" spans="1:20" x14ac:dyDescent="0.2">
      <c r="A199" s="86">
        <f t="shared" si="10"/>
        <v>5358</v>
      </c>
      <c r="B199" s="142">
        <f t="shared" si="11"/>
        <v>177</v>
      </c>
      <c r="C199" s="143">
        <f t="shared" si="12"/>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50">
        <f>IF(B199="NA","NA",IF(ISNUMBER(VLOOKUP($C199,'A4 Investment'!$A$24:$G$33,7,FALSE)),VLOOKUP($C199,'A4 Investment'!$A$24:$G$33,7,FALSE)*'A4 Investment'!G$18/12,0))</f>
        <v>0</v>
      </c>
      <c r="I199" s="151">
        <f t="shared" si="13"/>
        <v>8904.1666666666661</v>
      </c>
      <c r="J199" s="159">
        <f t="shared" si="14"/>
        <v>8904.1666666666661</v>
      </c>
      <c r="K199" s="150">
        <f>IF($B199="NA","NA",-PV(DiscountRate/12,0,0,'Nominal Increments'!K199,0))</f>
        <v>8904.1666666666661</v>
      </c>
      <c r="L199" s="150">
        <f>IF($B199="NA","NA",IF($A$10=0,0,-PV(DiscountRate/12,$D$9,0,'Nominal Increments'!L199,0)))</f>
        <v>0</v>
      </c>
      <c r="M199" s="150">
        <f>IF($B199="NA","NA",IF($A$11=0,0,-PV(DiscountRate/12,$D$10,0,'Nominal Increments'!M199,0)))</f>
        <v>0</v>
      </c>
      <c r="N199" s="150">
        <f>IF($B199="NA","NA",IF($A$12=0,0,-PV(DiscountRate/12,$D$11,0,'Nominal Increments'!N199,0)))</f>
        <v>0</v>
      </c>
      <c r="O199" s="150">
        <f>IF($B199="NA","NA",IF($A$13=0,0,-PV(DiscountRate/12,$D$12,0,'Nominal Increments'!O199,0)))</f>
        <v>0</v>
      </c>
      <c r="P199" s="150">
        <f>IF($B199="NA","NA",IF($A$14=0,0,-PV(DiscountRate/12,$D$13,0,'Nominal Increments'!P199,0)))</f>
        <v>0</v>
      </c>
      <c r="Q199" s="150">
        <f>IF($B199="NA","NA",IF($A$15=0,0,-PV(DiscountRate/12,$D$14,0,'Nominal Increments'!Q199,0)))</f>
        <v>0</v>
      </c>
      <c r="R199" s="150">
        <f>IF($B199="NA","NA",IF($A$16=0,0,-PV(DiscountRate/12,$D$15,0,'Nominal Increments'!R199,0)))</f>
        <v>0</v>
      </c>
      <c r="S199" s="150">
        <f>IF($B199="NA","NA",IF($A$17=0,0,-PV(DiscountRate/12,$D$16,0,'Nominal Increments'!S199,0)))</f>
        <v>0</v>
      </c>
      <c r="T199" s="151">
        <f>IF($B199="NA","NA",IF($A$18=0,0,-PV(DiscountRate/12,$D$17,0,'Nominal Increments'!T199,0)))</f>
        <v>0</v>
      </c>
    </row>
    <row r="200" spans="1:20" x14ac:dyDescent="0.2">
      <c r="A200" s="86">
        <f t="shared" si="10"/>
        <v>5388</v>
      </c>
      <c r="B200" s="142">
        <f t="shared" si="11"/>
        <v>178</v>
      </c>
      <c r="C200" s="143">
        <f t="shared" si="12"/>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50">
        <f>IF(B200="NA","NA",IF(ISNUMBER(VLOOKUP($C200,'A4 Investment'!$A$24:$G$33,7,FALSE)),VLOOKUP($C200,'A4 Investment'!$A$24:$G$33,7,FALSE)*'A4 Investment'!G$18/12,0))</f>
        <v>0</v>
      </c>
      <c r="I200" s="151">
        <f t="shared" si="13"/>
        <v>8904.1666666666661</v>
      </c>
      <c r="J200" s="159">
        <f t="shared" si="14"/>
        <v>8904.1666666666661</v>
      </c>
      <c r="K200" s="150">
        <f>IF($B200="NA","NA",-PV(DiscountRate/12,0,0,'Nominal Increments'!K200,0))</f>
        <v>8904.1666666666661</v>
      </c>
      <c r="L200" s="150">
        <f>IF($B200="NA","NA",IF($A$10=0,0,-PV(DiscountRate/12,$D$9,0,'Nominal Increments'!L200,0)))</f>
        <v>0</v>
      </c>
      <c r="M200" s="150">
        <f>IF($B200="NA","NA",IF($A$11=0,0,-PV(DiscountRate/12,$D$10,0,'Nominal Increments'!M200,0)))</f>
        <v>0</v>
      </c>
      <c r="N200" s="150">
        <f>IF($B200="NA","NA",IF($A$12=0,0,-PV(DiscountRate/12,$D$11,0,'Nominal Increments'!N200,0)))</f>
        <v>0</v>
      </c>
      <c r="O200" s="150">
        <f>IF($B200="NA","NA",IF($A$13=0,0,-PV(DiscountRate/12,$D$12,0,'Nominal Increments'!O200,0)))</f>
        <v>0</v>
      </c>
      <c r="P200" s="150">
        <f>IF($B200="NA","NA",IF($A$14=0,0,-PV(DiscountRate/12,$D$13,0,'Nominal Increments'!P200,0)))</f>
        <v>0</v>
      </c>
      <c r="Q200" s="150">
        <f>IF($B200="NA","NA",IF($A$15=0,0,-PV(DiscountRate/12,$D$14,0,'Nominal Increments'!Q200,0)))</f>
        <v>0</v>
      </c>
      <c r="R200" s="150">
        <f>IF($B200="NA","NA",IF($A$16=0,0,-PV(DiscountRate/12,$D$15,0,'Nominal Increments'!R200,0)))</f>
        <v>0</v>
      </c>
      <c r="S200" s="150">
        <f>IF($B200="NA","NA",IF($A$17=0,0,-PV(DiscountRate/12,$D$16,0,'Nominal Increments'!S200,0)))</f>
        <v>0</v>
      </c>
      <c r="T200" s="151">
        <f>IF($B200="NA","NA",IF($A$18=0,0,-PV(DiscountRate/12,$D$17,0,'Nominal Increments'!T200,0)))</f>
        <v>0</v>
      </c>
    </row>
    <row r="201" spans="1:20" x14ac:dyDescent="0.2">
      <c r="A201" s="86">
        <f t="shared" si="10"/>
        <v>5419</v>
      </c>
      <c r="B201" s="142">
        <f t="shared" si="11"/>
        <v>179</v>
      </c>
      <c r="C201" s="143">
        <f t="shared" si="12"/>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50">
        <f>IF(B201="NA","NA",IF(ISNUMBER(VLOOKUP($C201,'A4 Investment'!$A$24:$G$33,7,FALSE)),VLOOKUP($C201,'A4 Investment'!$A$24:$G$33,7,FALSE)*'A4 Investment'!G$18/12,0))</f>
        <v>0</v>
      </c>
      <c r="I201" s="151">
        <f t="shared" si="13"/>
        <v>8904.1666666666661</v>
      </c>
      <c r="J201" s="159">
        <f t="shared" si="14"/>
        <v>8904.1666666666661</v>
      </c>
      <c r="K201" s="150">
        <f>IF($B201="NA","NA",-PV(DiscountRate/12,0,0,'Nominal Increments'!K201,0))</f>
        <v>8904.1666666666661</v>
      </c>
      <c r="L201" s="150">
        <f>IF($B201="NA","NA",IF($A$10=0,0,-PV(DiscountRate/12,$D$9,0,'Nominal Increments'!L201,0)))</f>
        <v>0</v>
      </c>
      <c r="M201" s="150">
        <f>IF($B201="NA","NA",IF($A$11=0,0,-PV(DiscountRate/12,$D$10,0,'Nominal Increments'!M201,0)))</f>
        <v>0</v>
      </c>
      <c r="N201" s="150">
        <f>IF($B201="NA","NA",IF($A$12=0,0,-PV(DiscountRate/12,$D$11,0,'Nominal Increments'!N201,0)))</f>
        <v>0</v>
      </c>
      <c r="O201" s="150">
        <f>IF($B201="NA","NA",IF($A$13=0,0,-PV(DiscountRate/12,$D$12,0,'Nominal Increments'!O201,0)))</f>
        <v>0</v>
      </c>
      <c r="P201" s="150">
        <f>IF($B201="NA","NA",IF($A$14=0,0,-PV(DiscountRate/12,$D$13,0,'Nominal Increments'!P201,0)))</f>
        <v>0</v>
      </c>
      <c r="Q201" s="150">
        <f>IF($B201="NA","NA",IF($A$15=0,0,-PV(DiscountRate/12,$D$14,0,'Nominal Increments'!Q201,0)))</f>
        <v>0</v>
      </c>
      <c r="R201" s="150">
        <f>IF($B201="NA","NA",IF($A$16=0,0,-PV(DiscountRate/12,$D$15,0,'Nominal Increments'!R201,0)))</f>
        <v>0</v>
      </c>
      <c r="S201" s="150">
        <f>IF($B201="NA","NA",IF($A$17=0,0,-PV(DiscountRate/12,$D$16,0,'Nominal Increments'!S201,0)))</f>
        <v>0</v>
      </c>
      <c r="T201" s="151">
        <f>IF($B201="NA","NA",IF($A$18=0,0,-PV(DiscountRate/12,$D$17,0,'Nominal Increments'!T201,0)))</f>
        <v>0</v>
      </c>
    </row>
    <row r="202" spans="1:20" x14ac:dyDescent="0.2">
      <c r="A202" s="86">
        <f t="shared" si="10"/>
        <v>5449</v>
      </c>
      <c r="B202" s="142">
        <f t="shared" si="11"/>
        <v>180</v>
      </c>
      <c r="C202" s="143">
        <f t="shared" si="12"/>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50">
        <f>IF(B202="NA","NA",IF(ISNUMBER(VLOOKUP($C202,'A4 Investment'!$A$24:$G$33,7,FALSE)),VLOOKUP($C202,'A4 Investment'!$A$24:$G$33,7,FALSE)*'A4 Investment'!G$18/12,0))</f>
        <v>0</v>
      </c>
      <c r="I202" s="151">
        <f t="shared" si="13"/>
        <v>8904.1666666666661</v>
      </c>
      <c r="J202" s="159">
        <f t="shared" si="14"/>
        <v>8904.1666666666661</v>
      </c>
      <c r="K202" s="150">
        <f>IF($B202="NA","NA",-PV(DiscountRate/12,0,0,'Nominal Increments'!K202,0))</f>
        <v>8904.1666666666661</v>
      </c>
      <c r="L202" s="150">
        <f>IF($B202="NA","NA",IF($A$10=0,0,-PV(DiscountRate/12,$D$9,0,'Nominal Increments'!L202,0)))</f>
        <v>0</v>
      </c>
      <c r="M202" s="150">
        <f>IF($B202="NA","NA",IF($A$11=0,0,-PV(DiscountRate/12,$D$10,0,'Nominal Increments'!M202,0)))</f>
        <v>0</v>
      </c>
      <c r="N202" s="150">
        <f>IF($B202="NA","NA",IF($A$12=0,0,-PV(DiscountRate/12,$D$11,0,'Nominal Increments'!N202,0)))</f>
        <v>0</v>
      </c>
      <c r="O202" s="150">
        <f>IF($B202="NA","NA",IF($A$13=0,0,-PV(DiscountRate/12,$D$12,0,'Nominal Increments'!O202,0)))</f>
        <v>0</v>
      </c>
      <c r="P202" s="150">
        <f>IF($B202="NA","NA",IF($A$14=0,0,-PV(DiscountRate/12,$D$13,0,'Nominal Increments'!P202,0)))</f>
        <v>0</v>
      </c>
      <c r="Q202" s="150">
        <f>IF($B202="NA","NA",IF($A$15=0,0,-PV(DiscountRate/12,$D$14,0,'Nominal Increments'!Q202,0)))</f>
        <v>0</v>
      </c>
      <c r="R202" s="150">
        <f>IF($B202="NA","NA",IF($A$16=0,0,-PV(DiscountRate/12,$D$15,0,'Nominal Increments'!R202,0)))</f>
        <v>0</v>
      </c>
      <c r="S202" s="150">
        <f>IF($B202="NA","NA",IF($A$17=0,0,-PV(DiscountRate/12,$D$16,0,'Nominal Increments'!S202,0)))</f>
        <v>0</v>
      </c>
      <c r="T202" s="151">
        <f>IF($B202="NA","NA",IF($A$18=0,0,-PV(DiscountRate/12,$D$17,0,'Nominal Increments'!T202,0)))</f>
        <v>0</v>
      </c>
    </row>
    <row r="203" spans="1:20" x14ac:dyDescent="0.2">
      <c r="A203" s="86">
        <f t="shared" si="10"/>
        <v>5480</v>
      </c>
      <c r="B203" s="142">
        <f t="shared" si="11"/>
        <v>181</v>
      </c>
      <c r="C203" s="143">
        <f t="shared" si="12"/>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50">
        <f>IF(B203="NA","NA",IF(ISNUMBER(VLOOKUP($C203,'A4 Investment'!$A$24:$G$33,7,FALSE)),VLOOKUP($C203,'A4 Investment'!$A$24:$G$33,7,FALSE)*'A4 Investment'!G$18/12,0))</f>
        <v>0</v>
      </c>
      <c r="I203" s="151">
        <f t="shared" si="13"/>
        <v>8904.1666666666661</v>
      </c>
      <c r="J203" s="159">
        <f t="shared" si="14"/>
        <v>8904.1666666666661</v>
      </c>
      <c r="K203" s="150">
        <f>IF($B203="NA","NA",-PV(DiscountRate/12,0,0,'Nominal Increments'!K203,0))</f>
        <v>8904.1666666666661</v>
      </c>
      <c r="L203" s="150">
        <f>IF($B203="NA","NA",IF($A$10=0,0,-PV(DiscountRate/12,$D$9,0,'Nominal Increments'!L203,0)))</f>
        <v>0</v>
      </c>
      <c r="M203" s="150">
        <f>IF($B203="NA","NA",IF($A$11=0,0,-PV(DiscountRate/12,$D$10,0,'Nominal Increments'!M203,0)))</f>
        <v>0</v>
      </c>
      <c r="N203" s="150">
        <f>IF($B203="NA","NA",IF($A$12=0,0,-PV(DiscountRate/12,$D$11,0,'Nominal Increments'!N203,0)))</f>
        <v>0</v>
      </c>
      <c r="O203" s="150">
        <f>IF($B203="NA","NA",IF($A$13=0,0,-PV(DiscountRate/12,$D$12,0,'Nominal Increments'!O203,0)))</f>
        <v>0</v>
      </c>
      <c r="P203" s="150">
        <f>IF($B203="NA","NA",IF($A$14=0,0,-PV(DiscountRate/12,$D$13,0,'Nominal Increments'!P203,0)))</f>
        <v>0</v>
      </c>
      <c r="Q203" s="150">
        <f>IF($B203="NA","NA",IF($A$15=0,0,-PV(DiscountRate/12,$D$14,0,'Nominal Increments'!Q203,0)))</f>
        <v>0</v>
      </c>
      <c r="R203" s="150">
        <f>IF($B203="NA","NA",IF($A$16=0,0,-PV(DiscountRate/12,$D$15,0,'Nominal Increments'!R203,0)))</f>
        <v>0</v>
      </c>
      <c r="S203" s="150">
        <f>IF($B203="NA","NA",IF($A$17=0,0,-PV(DiscountRate/12,$D$16,0,'Nominal Increments'!S203,0)))</f>
        <v>0</v>
      </c>
      <c r="T203" s="151">
        <f>IF($B203="NA","NA",IF($A$18=0,0,-PV(DiscountRate/12,$D$17,0,'Nominal Increments'!T203,0)))</f>
        <v>0</v>
      </c>
    </row>
    <row r="204" spans="1:20" x14ac:dyDescent="0.2">
      <c r="A204" s="86">
        <f t="shared" si="10"/>
        <v>5511</v>
      </c>
      <c r="B204" s="142">
        <f t="shared" si="11"/>
        <v>182</v>
      </c>
      <c r="C204" s="143">
        <f t="shared" si="12"/>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50">
        <f>IF(B204="NA","NA",IF(ISNUMBER(VLOOKUP($C204,'A4 Investment'!$A$24:$G$33,7,FALSE)),VLOOKUP($C204,'A4 Investment'!$A$24:$G$33,7,FALSE)*'A4 Investment'!G$18/12,0))</f>
        <v>0</v>
      </c>
      <c r="I204" s="151">
        <f t="shared" si="13"/>
        <v>8904.1666666666661</v>
      </c>
      <c r="J204" s="159">
        <f t="shared" si="14"/>
        <v>8904.1666666666661</v>
      </c>
      <c r="K204" s="150">
        <f>IF($B204="NA","NA",-PV(DiscountRate/12,0,0,'Nominal Increments'!K204,0))</f>
        <v>8904.1666666666661</v>
      </c>
      <c r="L204" s="150">
        <f>IF($B204="NA","NA",IF($A$10=0,0,-PV(DiscountRate/12,$D$9,0,'Nominal Increments'!L204,0)))</f>
        <v>0</v>
      </c>
      <c r="M204" s="150">
        <f>IF($B204="NA","NA",IF($A$11=0,0,-PV(DiscountRate/12,$D$10,0,'Nominal Increments'!M204,0)))</f>
        <v>0</v>
      </c>
      <c r="N204" s="150">
        <f>IF($B204="NA","NA",IF($A$12=0,0,-PV(DiscountRate/12,$D$11,0,'Nominal Increments'!N204,0)))</f>
        <v>0</v>
      </c>
      <c r="O204" s="150">
        <f>IF($B204="NA","NA",IF($A$13=0,0,-PV(DiscountRate/12,$D$12,0,'Nominal Increments'!O204,0)))</f>
        <v>0</v>
      </c>
      <c r="P204" s="150">
        <f>IF($B204="NA","NA",IF($A$14=0,0,-PV(DiscountRate/12,$D$13,0,'Nominal Increments'!P204,0)))</f>
        <v>0</v>
      </c>
      <c r="Q204" s="150">
        <f>IF($B204="NA","NA",IF($A$15=0,0,-PV(DiscountRate/12,$D$14,0,'Nominal Increments'!Q204,0)))</f>
        <v>0</v>
      </c>
      <c r="R204" s="150">
        <f>IF($B204="NA","NA",IF($A$16=0,0,-PV(DiscountRate/12,$D$15,0,'Nominal Increments'!R204,0)))</f>
        <v>0</v>
      </c>
      <c r="S204" s="150">
        <f>IF($B204="NA","NA",IF($A$17=0,0,-PV(DiscountRate/12,$D$16,0,'Nominal Increments'!S204,0)))</f>
        <v>0</v>
      </c>
      <c r="T204" s="151">
        <f>IF($B204="NA","NA",IF($A$18=0,0,-PV(DiscountRate/12,$D$17,0,'Nominal Increments'!T204,0)))</f>
        <v>0</v>
      </c>
    </row>
    <row r="205" spans="1:20" x14ac:dyDescent="0.2">
      <c r="A205" s="86">
        <f t="shared" si="10"/>
        <v>5539</v>
      </c>
      <c r="B205" s="142">
        <f t="shared" si="11"/>
        <v>183</v>
      </c>
      <c r="C205" s="143">
        <f t="shared" si="12"/>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50">
        <f>IF(B205="NA","NA",IF(ISNUMBER(VLOOKUP($C205,'A4 Investment'!$A$24:$G$33,7,FALSE)),VLOOKUP($C205,'A4 Investment'!$A$24:$G$33,7,FALSE)*'A4 Investment'!G$18/12,0))</f>
        <v>0</v>
      </c>
      <c r="I205" s="151">
        <f t="shared" si="13"/>
        <v>8904.1666666666661</v>
      </c>
      <c r="J205" s="159">
        <f t="shared" si="14"/>
        <v>8904.1666666666661</v>
      </c>
      <c r="K205" s="150">
        <f>IF($B205="NA","NA",-PV(DiscountRate/12,0,0,'Nominal Increments'!K205,0))</f>
        <v>8904.1666666666661</v>
      </c>
      <c r="L205" s="150">
        <f>IF($B205="NA","NA",IF($A$10=0,0,-PV(DiscountRate/12,$D$9,0,'Nominal Increments'!L205,0)))</f>
        <v>0</v>
      </c>
      <c r="M205" s="150">
        <f>IF($B205="NA","NA",IF($A$11=0,0,-PV(DiscountRate/12,$D$10,0,'Nominal Increments'!M205,0)))</f>
        <v>0</v>
      </c>
      <c r="N205" s="150">
        <f>IF($B205="NA","NA",IF($A$12=0,0,-PV(DiscountRate/12,$D$11,0,'Nominal Increments'!N205,0)))</f>
        <v>0</v>
      </c>
      <c r="O205" s="150">
        <f>IF($B205="NA","NA",IF($A$13=0,0,-PV(DiscountRate/12,$D$12,0,'Nominal Increments'!O205,0)))</f>
        <v>0</v>
      </c>
      <c r="P205" s="150">
        <f>IF($B205="NA","NA",IF($A$14=0,0,-PV(DiscountRate/12,$D$13,0,'Nominal Increments'!P205,0)))</f>
        <v>0</v>
      </c>
      <c r="Q205" s="150">
        <f>IF($B205="NA","NA",IF($A$15=0,0,-PV(DiscountRate/12,$D$14,0,'Nominal Increments'!Q205,0)))</f>
        <v>0</v>
      </c>
      <c r="R205" s="150">
        <f>IF($B205="NA","NA",IF($A$16=0,0,-PV(DiscountRate/12,$D$15,0,'Nominal Increments'!R205,0)))</f>
        <v>0</v>
      </c>
      <c r="S205" s="150">
        <f>IF($B205="NA","NA",IF($A$17=0,0,-PV(DiscountRate/12,$D$16,0,'Nominal Increments'!S205,0)))</f>
        <v>0</v>
      </c>
      <c r="T205" s="151">
        <f>IF($B205="NA","NA",IF($A$18=0,0,-PV(DiscountRate/12,$D$17,0,'Nominal Increments'!T205,0)))</f>
        <v>0</v>
      </c>
    </row>
    <row r="206" spans="1:20" x14ac:dyDescent="0.2">
      <c r="A206" s="86">
        <f t="shared" si="10"/>
        <v>5570</v>
      </c>
      <c r="B206" s="142">
        <f t="shared" si="11"/>
        <v>184</v>
      </c>
      <c r="C206" s="143">
        <f t="shared" si="12"/>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50">
        <f>IF(B206="NA","NA",IF(ISNUMBER(VLOOKUP($C206,'A4 Investment'!$A$24:$G$33,7,FALSE)),VLOOKUP($C206,'A4 Investment'!$A$24:$G$33,7,FALSE)*'A4 Investment'!G$18/12,0))</f>
        <v>0</v>
      </c>
      <c r="I206" s="151">
        <f t="shared" si="13"/>
        <v>8904.1666666666661</v>
      </c>
      <c r="J206" s="159">
        <f t="shared" si="14"/>
        <v>8904.1666666666661</v>
      </c>
      <c r="K206" s="150">
        <f>IF($B206="NA","NA",-PV(DiscountRate/12,0,0,'Nominal Increments'!K206,0))</f>
        <v>8904.1666666666661</v>
      </c>
      <c r="L206" s="150">
        <f>IF($B206="NA","NA",IF($A$10=0,0,-PV(DiscountRate/12,$D$9,0,'Nominal Increments'!L206,0)))</f>
        <v>0</v>
      </c>
      <c r="M206" s="150">
        <f>IF($B206="NA","NA",IF($A$11=0,0,-PV(DiscountRate/12,$D$10,0,'Nominal Increments'!M206,0)))</f>
        <v>0</v>
      </c>
      <c r="N206" s="150">
        <f>IF($B206="NA","NA",IF($A$12=0,0,-PV(DiscountRate/12,$D$11,0,'Nominal Increments'!N206,0)))</f>
        <v>0</v>
      </c>
      <c r="O206" s="150">
        <f>IF($B206="NA","NA",IF($A$13=0,0,-PV(DiscountRate/12,$D$12,0,'Nominal Increments'!O206,0)))</f>
        <v>0</v>
      </c>
      <c r="P206" s="150">
        <f>IF($B206="NA","NA",IF($A$14=0,0,-PV(DiscountRate/12,$D$13,0,'Nominal Increments'!P206,0)))</f>
        <v>0</v>
      </c>
      <c r="Q206" s="150">
        <f>IF($B206="NA","NA",IF($A$15=0,0,-PV(DiscountRate/12,$D$14,0,'Nominal Increments'!Q206,0)))</f>
        <v>0</v>
      </c>
      <c r="R206" s="150">
        <f>IF($B206="NA","NA",IF($A$16=0,0,-PV(DiscountRate/12,$D$15,0,'Nominal Increments'!R206,0)))</f>
        <v>0</v>
      </c>
      <c r="S206" s="150">
        <f>IF($B206="NA","NA",IF($A$17=0,0,-PV(DiscountRate/12,$D$16,0,'Nominal Increments'!S206,0)))</f>
        <v>0</v>
      </c>
      <c r="T206" s="151">
        <f>IF($B206="NA","NA",IF($A$18=0,0,-PV(DiscountRate/12,$D$17,0,'Nominal Increments'!T206,0)))</f>
        <v>0</v>
      </c>
    </row>
    <row r="207" spans="1:20" x14ac:dyDescent="0.2">
      <c r="A207" s="86">
        <f t="shared" si="10"/>
        <v>5600</v>
      </c>
      <c r="B207" s="142">
        <f t="shared" si="11"/>
        <v>185</v>
      </c>
      <c r="C207" s="143">
        <f t="shared" si="12"/>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50">
        <f>IF(B207="NA","NA",IF(ISNUMBER(VLOOKUP($C207,'A4 Investment'!$A$24:$G$33,7,FALSE)),VLOOKUP($C207,'A4 Investment'!$A$24:$G$33,7,FALSE)*'A4 Investment'!G$18/12,0))</f>
        <v>0</v>
      </c>
      <c r="I207" s="151">
        <f t="shared" si="13"/>
        <v>8904.1666666666661</v>
      </c>
      <c r="J207" s="159">
        <f t="shared" si="14"/>
        <v>8904.1666666666661</v>
      </c>
      <c r="K207" s="150">
        <f>IF($B207="NA","NA",-PV(DiscountRate/12,0,0,'Nominal Increments'!K207,0))</f>
        <v>8904.1666666666661</v>
      </c>
      <c r="L207" s="150">
        <f>IF($B207="NA","NA",IF($A$10=0,0,-PV(DiscountRate/12,$D$9,0,'Nominal Increments'!L207,0)))</f>
        <v>0</v>
      </c>
      <c r="M207" s="150">
        <f>IF($B207="NA","NA",IF($A$11=0,0,-PV(DiscountRate/12,$D$10,0,'Nominal Increments'!M207,0)))</f>
        <v>0</v>
      </c>
      <c r="N207" s="150">
        <f>IF($B207="NA","NA",IF($A$12=0,0,-PV(DiscountRate/12,$D$11,0,'Nominal Increments'!N207,0)))</f>
        <v>0</v>
      </c>
      <c r="O207" s="150">
        <f>IF($B207="NA","NA",IF($A$13=0,0,-PV(DiscountRate/12,$D$12,0,'Nominal Increments'!O207,0)))</f>
        <v>0</v>
      </c>
      <c r="P207" s="150">
        <f>IF($B207="NA","NA",IF($A$14=0,0,-PV(DiscountRate/12,$D$13,0,'Nominal Increments'!P207,0)))</f>
        <v>0</v>
      </c>
      <c r="Q207" s="150">
        <f>IF($B207="NA","NA",IF($A$15=0,0,-PV(DiscountRate/12,$D$14,0,'Nominal Increments'!Q207,0)))</f>
        <v>0</v>
      </c>
      <c r="R207" s="150">
        <f>IF($B207="NA","NA",IF($A$16=0,0,-PV(DiscountRate/12,$D$15,0,'Nominal Increments'!R207,0)))</f>
        <v>0</v>
      </c>
      <c r="S207" s="150">
        <f>IF($B207="NA","NA",IF($A$17=0,0,-PV(DiscountRate/12,$D$16,0,'Nominal Increments'!S207,0)))</f>
        <v>0</v>
      </c>
      <c r="T207" s="151">
        <f>IF($B207="NA","NA",IF($A$18=0,0,-PV(DiscountRate/12,$D$17,0,'Nominal Increments'!T207,0)))</f>
        <v>0</v>
      </c>
    </row>
    <row r="208" spans="1:20" x14ac:dyDescent="0.2">
      <c r="A208" s="86">
        <f t="shared" si="10"/>
        <v>5631</v>
      </c>
      <c r="B208" s="142">
        <f t="shared" si="11"/>
        <v>186</v>
      </c>
      <c r="C208" s="143">
        <f t="shared" si="12"/>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50">
        <f>IF(B208="NA","NA",IF(ISNUMBER(VLOOKUP($C208,'A4 Investment'!$A$24:$G$33,7,FALSE)),VLOOKUP($C208,'A4 Investment'!$A$24:$G$33,7,FALSE)*'A4 Investment'!G$18/12,0))</f>
        <v>0</v>
      </c>
      <c r="I208" s="151">
        <f t="shared" si="13"/>
        <v>8904.1666666666661</v>
      </c>
      <c r="J208" s="159">
        <f t="shared" si="14"/>
        <v>8904.1666666666661</v>
      </c>
      <c r="K208" s="150">
        <f>IF($B208="NA","NA",-PV(DiscountRate/12,0,0,'Nominal Increments'!K208,0))</f>
        <v>8904.1666666666661</v>
      </c>
      <c r="L208" s="150">
        <f>IF($B208="NA","NA",IF($A$10=0,0,-PV(DiscountRate/12,$D$9,0,'Nominal Increments'!L208,0)))</f>
        <v>0</v>
      </c>
      <c r="M208" s="150">
        <f>IF($B208="NA","NA",IF($A$11=0,0,-PV(DiscountRate/12,$D$10,0,'Nominal Increments'!M208,0)))</f>
        <v>0</v>
      </c>
      <c r="N208" s="150">
        <f>IF($B208="NA","NA",IF($A$12=0,0,-PV(DiscountRate/12,$D$11,0,'Nominal Increments'!N208,0)))</f>
        <v>0</v>
      </c>
      <c r="O208" s="150">
        <f>IF($B208="NA","NA",IF($A$13=0,0,-PV(DiscountRate/12,$D$12,0,'Nominal Increments'!O208,0)))</f>
        <v>0</v>
      </c>
      <c r="P208" s="150">
        <f>IF($B208="NA","NA",IF($A$14=0,0,-PV(DiscountRate/12,$D$13,0,'Nominal Increments'!P208,0)))</f>
        <v>0</v>
      </c>
      <c r="Q208" s="150">
        <f>IF($B208="NA","NA",IF($A$15=0,0,-PV(DiscountRate/12,$D$14,0,'Nominal Increments'!Q208,0)))</f>
        <v>0</v>
      </c>
      <c r="R208" s="150">
        <f>IF($B208="NA","NA",IF($A$16=0,0,-PV(DiscountRate/12,$D$15,0,'Nominal Increments'!R208,0)))</f>
        <v>0</v>
      </c>
      <c r="S208" s="150">
        <f>IF($B208="NA","NA",IF($A$17=0,0,-PV(DiscountRate/12,$D$16,0,'Nominal Increments'!S208,0)))</f>
        <v>0</v>
      </c>
      <c r="T208" s="151">
        <f>IF($B208="NA","NA",IF($A$18=0,0,-PV(DiscountRate/12,$D$17,0,'Nominal Increments'!T208,0)))</f>
        <v>0</v>
      </c>
    </row>
    <row r="209" spans="1:20" x14ac:dyDescent="0.2">
      <c r="A209" s="86">
        <f t="shared" si="10"/>
        <v>5661</v>
      </c>
      <c r="B209" s="142">
        <f t="shared" si="11"/>
        <v>187</v>
      </c>
      <c r="C209" s="143">
        <f t="shared" si="12"/>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50">
        <f>IF(B209="NA","NA",IF(ISNUMBER(VLOOKUP($C209,'A4 Investment'!$A$24:$G$33,7,FALSE)),VLOOKUP($C209,'A4 Investment'!$A$24:$G$33,7,FALSE)*'A4 Investment'!G$18/12,0))</f>
        <v>0</v>
      </c>
      <c r="I209" s="151">
        <f t="shared" si="13"/>
        <v>8904.1666666666661</v>
      </c>
      <c r="J209" s="159">
        <f t="shared" si="14"/>
        <v>8904.1666666666661</v>
      </c>
      <c r="K209" s="150">
        <f>IF($B209="NA","NA",-PV(DiscountRate/12,0,0,'Nominal Increments'!K209,0))</f>
        <v>8904.1666666666661</v>
      </c>
      <c r="L209" s="150">
        <f>IF($B209="NA","NA",IF($A$10=0,0,-PV(DiscountRate/12,$D$9,0,'Nominal Increments'!L209,0)))</f>
        <v>0</v>
      </c>
      <c r="M209" s="150">
        <f>IF($B209="NA","NA",IF($A$11=0,0,-PV(DiscountRate/12,$D$10,0,'Nominal Increments'!M209,0)))</f>
        <v>0</v>
      </c>
      <c r="N209" s="150">
        <f>IF($B209="NA","NA",IF($A$12=0,0,-PV(DiscountRate/12,$D$11,0,'Nominal Increments'!N209,0)))</f>
        <v>0</v>
      </c>
      <c r="O209" s="150">
        <f>IF($B209="NA","NA",IF($A$13=0,0,-PV(DiscountRate/12,$D$12,0,'Nominal Increments'!O209,0)))</f>
        <v>0</v>
      </c>
      <c r="P209" s="150">
        <f>IF($B209="NA","NA",IF($A$14=0,0,-PV(DiscountRate/12,$D$13,0,'Nominal Increments'!P209,0)))</f>
        <v>0</v>
      </c>
      <c r="Q209" s="150">
        <f>IF($B209="NA","NA",IF($A$15=0,0,-PV(DiscountRate/12,$D$14,0,'Nominal Increments'!Q209,0)))</f>
        <v>0</v>
      </c>
      <c r="R209" s="150">
        <f>IF($B209="NA","NA",IF($A$16=0,0,-PV(DiscountRate/12,$D$15,0,'Nominal Increments'!R209,0)))</f>
        <v>0</v>
      </c>
      <c r="S209" s="150">
        <f>IF($B209="NA","NA",IF($A$17=0,0,-PV(DiscountRate/12,$D$16,0,'Nominal Increments'!S209,0)))</f>
        <v>0</v>
      </c>
      <c r="T209" s="151">
        <f>IF($B209="NA","NA",IF($A$18=0,0,-PV(DiscountRate/12,$D$17,0,'Nominal Increments'!T209,0)))</f>
        <v>0</v>
      </c>
    </row>
    <row r="210" spans="1:20" x14ac:dyDescent="0.2">
      <c r="A210" s="86">
        <f t="shared" si="10"/>
        <v>5692</v>
      </c>
      <c r="B210" s="142">
        <f t="shared" si="11"/>
        <v>188</v>
      </c>
      <c r="C210" s="143">
        <f t="shared" si="12"/>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50">
        <f>IF(B210="NA","NA",IF(ISNUMBER(VLOOKUP($C210,'A4 Investment'!$A$24:$G$33,7,FALSE)),VLOOKUP($C210,'A4 Investment'!$A$24:$G$33,7,FALSE)*'A4 Investment'!G$18/12,0))</f>
        <v>0</v>
      </c>
      <c r="I210" s="151">
        <f t="shared" si="13"/>
        <v>8904.1666666666661</v>
      </c>
      <c r="J210" s="159">
        <f t="shared" si="14"/>
        <v>8904.1666666666661</v>
      </c>
      <c r="K210" s="150">
        <f>IF($B210="NA","NA",-PV(DiscountRate/12,0,0,'Nominal Increments'!K210,0))</f>
        <v>8904.1666666666661</v>
      </c>
      <c r="L210" s="150">
        <f>IF($B210="NA","NA",IF($A$10=0,0,-PV(DiscountRate/12,$D$9,0,'Nominal Increments'!L210,0)))</f>
        <v>0</v>
      </c>
      <c r="M210" s="150">
        <f>IF($B210="NA","NA",IF($A$11=0,0,-PV(DiscountRate/12,$D$10,0,'Nominal Increments'!M210,0)))</f>
        <v>0</v>
      </c>
      <c r="N210" s="150">
        <f>IF($B210="NA","NA",IF($A$12=0,0,-PV(DiscountRate/12,$D$11,0,'Nominal Increments'!N210,0)))</f>
        <v>0</v>
      </c>
      <c r="O210" s="150">
        <f>IF($B210="NA","NA",IF($A$13=0,0,-PV(DiscountRate/12,$D$12,0,'Nominal Increments'!O210,0)))</f>
        <v>0</v>
      </c>
      <c r="P210" s="150">
        <f>IF($B210="NA","NA",IF($A$14=0,0,-PV(DiscountRate/12,$D$13,0,'Nominal Increments'!P210,0)))</f>
        <v>0</v>
      </c>
      <c r="Q210" s="150">
        <f>IF($B210="NA","NA",IF($A$15=0,0,-PV(DiscountRate/12,$D$14,0,'Nominal Increments'!Q210,0)))</f>
        <v>0</v>
      </c>
      <c r="R210" s="150">
        <f>IF($B210="NA","NA",IF($A$16=0,0,-PV(DiscountRate/12,$D$15,0,'Nominal Increments'!R210,0)))</f>
        <v>0</v>
      </c>
      <c r="S210" s="150">
        <f>IF($B210="NA","NA",IF($A$17=0,0,-PV(DiscountRate/12,$D$16,0,'Nominal Increments'!S210,0)))</f>
        <v>0</v>
      </c>
      <c r="T210" s="151">
        <f>IF($B210="NA","NA",IF($A$18=0,0,-PV(DiscountRate/12,$D$17,0,'Nominal Increments'!T210,0)))</f>
        <v>0</v>
      </c>
    </row>
    <row r="211" spans="1:20" x14ac:dyDescent="0.2">
      <c r="A211" s="86">
        <f t="shared" si="10"/>
        <v>5723</v>
      </c>
      <c r="B211" s="142">
        <f t="shared" si="11"/>
        <v>189</v>
      </c>
      <c r="C211" s="143">
        <f t="shared" si="12"/>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50">
        <f>IF(B211="NA","NA",IF(ISNUMBER(VLOOKUP($C211,'A4 Investment'!$A$24:$G$33,7,FALSE)),VLOOKUP($C211,'A4 Investment'!$A$24:$G$33,7,FALSE)*'A4 Investment'!G$18/12,0))</f>
        <v>0</v>
      </c>
      <c r="I211" s="151">
        <f t="shared" si="13"/>
        <v>8904.1666666666661</v>
      </c>
      <c r="J211" s="159">
        <f t="shared" si="14"/>
        <v>8904.1666666666661</v>
      </c>
      <c r="K211" s="150">
        <f>IF($B211="NA","NA",-PV(DiscountRate/12,0,0,'Nominal Increments'!K211,0))</f>
        <v>8904.1666666666661</v>
      </c>
      <c r="L211" s="150">
        <f>IF($B211="NA","NA",IF($A$10=0,0,-PV(DiscountRate/12,$D$9,0,'Nominal Increments'!L211,0)))</f>
        <v>0</v>
      </c>
      <c r="M211" s="150">
        <f>IF($B211="NA","NA",IF($A$11=0,0,-PV(DiscountRate/12,$D$10,0,'Nominal Increments'!M211,0)))</f>
        <v>0</v>
      </c>
      <c r="N211" s="150">
        <f>IF($B211="NA","NA",IF($A$12=0,0,-PV(DiscountRate/12,$D$11,0,'Nominal Increments'!N211,0)))</f>
        <v>0</v>
      </c>
      <c r="O211" s="150">
        <f>IF($B211="NA","NA",IF($A$13=0,0,-PV(DiscountRate/12,$D$12,0,'Nominal Increments'!O211,0)))</f>
        <v>0</v>
      </c>
      <c r="P211" s="150">
        <f>IF($B211="NA","NA",IF($A$14=0,0,-PV(DiscountRate/12,$D$13,0,'Nominal Increments'!P211,0)))</f>
        <v>0</v>
      </c>
      <c r="Q211" s="150">
        <f>IF($B211="NA","NA",IF($A$15=0,0,-PV(DiscountRate/12,$D$14,0,'Nominal Increments'!Q211,0)))</f>
        <v>0</v>
      </c>
      <c r="R211" s="150">
        <f>IF($B211="NA","NA",IF($A$16=0,0,-PV(DiscountRate/12,$D$15,0,'Nominal Increments'!R211,0)))</f>
        <v>0</v>
      </c>
      <c r="S211" s="150">
        <f>IF($B211="NA","NA",IF($A$17=0,0,-PV(DiscountRate/12,$D$16,0,'Nominal Increments'!S211,0)))</f>
        <v>0</v>
      </c>
      <c r="T211" s="151">
        <f>IF($B211="NA","NA",IF($A$18=0,0,-PV(DiscountRate/12,$D$17,0,'Nominal Increments'!T211,0)))</f>
        <v>0</v>
      </c>
    </row>
    <row r="212" spans="1:20" x14ac:dyDescent="0.2">
      <c r="A212" s="86">
        <f t="shared" ref="A212:A262" si="15">IF(B212="NA","NA",DATE(YEAR(A211),MONTH(A211)+1,1))</f>
        <v>5753</v>
      </c>
      <c r="B212" s="142">
        <f t="shared" ref="B212:B262" si="16">IF(B211="NA","NA",IF((B211+1)&gt;MAX($D$9:$D$18),"NA",B211+1))</f>
        <v>190</v>
      </c>
      <c r="C212" s="143">
        <f t="shared" ref="C212:C262" si="17">IF(B212="NA","NA",MATCH(B212-1,$D$8:$D$18,1))</f>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50">
        <f>IF(B212="NA","NA",IF(ISNUMBER(VLOOKUP($C212,'A4 Investment'!$A$24:$G$33,7,FALSE)),VLOOKUP($C212,'A4 Investment'!$A$24:$G$33,7,FALSE)*'A4 Investment'!G$18/12,0))</f>
        <v>0</v>
      </c>
      <c r="I212" s="151">
        <f t="shared" ref="I212:I262" si="18">IF(B212="NA","NA",SUM(D212:H212))</f>
        <v>8904.1666666666661</v>
      </c>
      <c r="J212" s="159">
        <f t="shared" si="14"/>
        <v>8904.1666666666661</v>
      </c>
      <c r="K212" s="150">
        <f>IF($B212="NA","NA",-PV(DiscountRate/12,0,0,'Nominal Increments'!K212,0))</f>
        <v>8904.1666666666661</v>
      </c>
      <c r="L212" s="150">
        <f>IF($B212="NA","NA",IF($A$10=0,0,-PV(DiscountRate/12,$D$9,0,'Nominal Increments'!L212,0)))</f>
        <v>0</v>
      </c>
      <c r="M212" s="150">
        <f>IF($B212="NA","NA",IF($A$11=0,0,-PV(DiscountRate/12,$D$10,0,'Nominal Increments'!M212,0)))</f>
        <v>0</v>
      </c>
      <c r="N212" s="150">
        <f>IF($B212="NA","NA",IF($A$12=0,0,-PV(DiscountRate/12,$D$11,0,'Nominal Increments'!N212,0)))</f>
        <v>0</v>
      </c>
      <c r="O212" s="150">
        <f>IF($B212="NA","NA",IF($A$13=0,0,-PV(DiscountRate/12,$D$12,0,'Nominal Increments'!O212,0)))</f>
        <v>0</v>
      </c>
      <c r="P212" s="150">
        <f>IF($B212="NA","NA",IF($A$14=0,0,-PV(DiscountRate/12,$D$13,0,'Nominal Increments'!P212,0)))</f>
        <v>0</v>
      </c>
      <c r="Q212" s="150">
        <f>IF($B212="NA","NA",IF($A$15=0,0,-PV(DiscountRate/12,$D$14,0,'Nominal Increments'!Q212,0)))</f>
        <v>0</v>
      </c>
      <c r="R212" s="150">
        <f>IF($B212="NA","NA",IF($A$16=0,0,-PV(DiscountRate/12,$D$15,0,'Nominal Increments'!R212,0)))</f>
        <v>0</v>
      </c>
      <c r="S212" s="150">
        <f>IF($B212="NA","NA",IF($A$17=0,0,-PV(DiscountRate/12,$D$16,0,'Nominal Increments'!S212,0)))</f>
        <v>0</v>
      </c>
      <c r="T212" s="151">
        <f>IF($B212="NA","NA",IF($A$18=0,0,-PV(DiscountRate/12,$D$17,0,'Nominal Increments'!T212,0)))</f>
        <v>0</v>
      </c>
    </row>
    <row r="213" spans="1:20" x14ac:dyDescent="0.2">
      <c r="A213" s="86">
        <f t="shared" si="15"/>
        <v>5784</v>
      </c>
      <c r="B213" s="142">
        <f t="shared" si="16"/>
        <v>191</v>
      </c>
      <c r="C213" s="143">
        <f t="shared" si="17"/>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50">
        <f>IF(B213="NA","NA",IF(ISNUMBER(VLOOKUP($C213,'A4 Investment'!$A$24:$G$33,7,FALSE)),VLOOKUP($C213,'A4 Investment'!$A$24:$G$33,7,FALSE)*'A4 Investment'!G$18/12,0))</f>
        <v>0</v>
      </c>
      <c r="I213" s="151">
        <f t="shared" si="18"/>
        <v>8904.1666666666661</v>
      </c>
      <c r="J213" s="159">
        <f t="shared" si="14"/>
        <v>8904.1666666666661</v>
      </c>
      <c r="K213" s="150">
        <f>IF($B213="NA","NA",-PV(DiscountRate/12,0,0,'Nominal Increments'!K213,0))</f>
        <v>8904.1666666666661</v>
      </c>
      <c r="L213" s="150">
        <f>IF($B213="NA","NA",IF($A$10=0,0,-PV(DiscountRate/12,$D$9,0,'Nominal Increments'!L213,0)))</f>
        <v>0</v>
      </c>
      <c r="M213" s="150">
        <f>IF($B213="NA","NA",IF($A$11=0,0,-PV(DiscountRate/12,$D$10,0,'Nominal Increments'!M213,0)))</f>
        <v>0</v>
      </c>
      <c r="N213" s="150">
        <f>IF($B213="NA","NA",IF($A$12=0,0,-PV(DiscountRate/12,$D$11,0,'Nominal Increments'!N213,0)))</f>
        <v>0</v>
      </c>
      <c r="O213" s="150">
        <f>IF($B213="NA","NA",IF($A$13=0,0,-PV(DiscountRate/12,$D$12,0,'Nominal Increments'!O213,0)))</f>
        <v>0</v>
      </c>
      <c r="P213" s="150">
        <f>IF($B213="NA","NA",IF($A$14=0,0,-PV(DiscountRate/12,$D$13,0,'Nominal Increments'!P213,0)))</f>
        <v>0</v>
      </c>
      <c r="Q213" s="150">
        <f>IF($B213="NA","NA",IF($A$15=0,0,-PV(DiscountRate/12,$D$14,0,'Nominal Increments'!Q213,0)))</f>
        <v>0</v>
      </c>
      <c r="R213" s="150">
        <f>IF($B213="NA","NA",IF($A$16=0,0,-PV(DiscountRate/12,$D$15,0,'Nominal Increments'!R213,0)))</f>
        <v>0</v>
      </c>
      <c r="S213" s="150">
        <f>IF($B213="NA","NA",IF($A$17=0,0,-PV(DiscountRate/12,$D$16,0,'Nominal Increments'!S213,0)))</f>
        <v>0</v>
      </c>
      <c r="T213" s="151">
        <f>IF($B213="NA","NA",IF($A$18=0,0,-PV(DiscountRate/12,$D$17,0,'Nominal Increments'!T213,0)))</f>
        <v>0</v>
      </c>
    </row>
    <row r="214" spans="1:20" x14ac:dyDescent="0.2">
      <c r="A214" s="86">
        <f t="shared" si="15"/>
        <v>5814</v>
      </c>
      <c r="B214" s="142">
        <f t="shared" si="16"/>
        <v>192</v>
      </c>
      <c r="C214" s="143">
        <f t="shared" si="17"/>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50">
        <f>IF(B214="NA","NA",IF(ISNUMBER(VLOOKUP($C214,'A4 Investment'!$A$24:$G$33,7,FALSE)),VLOOKUP($C214,'A4 Investment'!$A$24:$G$33,7,FALSE)*'A4 Investment'!G$18/12,0))</f>
        <v>0</v>
      </c>
      <c r="I214" s="151">
        <f t="shared" si="18"/>
        <v>8904.1666666666661</v>
      </c>
      <c r="J214" s="159">
        <f t="shared" si="14"/>
        <v>8904.1666666666661</v>
      </c>
      <c r="K214" s="150">
        <f>IF($B214="NA","NA",-PV(DiscountRate/12,0,0,'Nominal Increments'!K214,0))</f>
        <v>8904.1666666666661</v>
      </c>
      <c r="L214" s="150">
        <f>IF($B214="NA","NA",IF($A$10=0,0,-PV(DiscountRate/12,$D$9,0,'Nominal Increments'!L214,0)))</f>
        <v>0</v>
      </c>
      <c r="M214" s="150">
        <f>IF($B214="NA","NA",IF($A$11=0,0,-PV(DiscountRate/12,$D$10,0,'Nominal Increments'!M214,0)))</f>
        <v>0</v>
      </c>
      <c r="N214" s="150">
        <f>IF($B214="NA","NA",IF($A$12=0,0,-PV(DiscountRate/12,$D$11,0,'Nominal Increments'!N214,0)))</f>
        <v>0</v>
      </c>
      <c r="O214" s="150">
        <f>IF($B214="NA","NA",IF($A$13=0,0,-PV(DiscountRate/12,$D$12,0,'Nominal Increments'!O214,0)))</f>
        <v>0</v>
      </c>
      <c r="P214" s="150">
        <f>IF($B214="NA","NA",IF($A$14=0,0,-PV(DiscountRate/12,$D$13,0,'Nominal Increments'!P214,0)))</f>
        <v>0</v>
      </c>
      <c r="Q214" s="150">
        <f>IF($B214="NA","NA",IF($A$15=0,0,-PV(DiscountRate/12,$D$14,0,'Nominal Increments'!Q214,0)))</f>
        <v>0</v>
      </c>
      <c r="R214" s="150">
        <f>IF($B214="NA","NA",IF($A$16=0,0,-PV(DiscountRate/12,$D$15,0,'Nominal Increments'!R214,0)))</f>
        <v>0</v>
      </c>
      <c r="S214" s="150">
        <f>IF($B214="NA","NA",IF($A$17=0,0,-PV(DiscountRate/12,$D$16,0,'Nominal Increments'!S214,0)))</f>
        <v>0</v>
      </c>
      <c r="T214" s="151">
        <f>IF($B214="NA","NA",IF($A$18=0,0,-PV(DiscountRate/12,$D$17,0,'Nominal Increments'!T214,0)))</f>
        <v>0</v>
      </c>
    </row>
    <row r="215" spans="1:20" x14ac:dyDescent="0.2">
      <c r="A215" s="86">
        <f t="shared" si="15"/>
        <v>5845</v>
      </c>
      <c r="B215" s="142">
        <f t="shared" si="16"/>
        <v>193</v>
      </c>
      <c r="C215" s="143">
        <f t="shared" si="17"/>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50">
        <f>IF(B215="NA","NA",IF(ISNUMBER(VLOOKUP($C215,'A4 Investment'!$A$24:$G$33,7,FALSE)),VLOOKUP($C215,'A4 Investment'!$A$24:$G$33,7,FALSE)*'A4 Investment'!G$18/12,0))</f>
        <v>0</v>
      </c>
      <c r="I215" s="151">
        <f t="shared" si="18"/>
        <v>8904.1666666666661</v>
      </c>
      <c r="J215" s="159">
        <f t="shared" si="14"/>
        <v>8904.1666666666661</v>
      </c>
      <c r="K215" s="150">
        <f>IF($B215="NA","NA",-PV(DiscountRate/12,0,0,'Nominal Increments'!K215,0))</f>
        <v>8904.1666666666661</v>
      </c>
      <c r="L215" s="150">
        <f>IF($B215="NA","NA",IF($A$10=0,0,-PV(DiscountRate/12,$D$9,0,'Nominal Increments'!L215,0)))</f>
        <v>0</v>
      </c>
      <c r="M215" s="150">
        <f>IF($B215="NA","NA",IF($A$11=0,0,-PV(DiscountRate/12,$D$10,0,'Nominal Increments'!M215,0)))</f>
        <v>0</v>
      </c>
      <c r="N215" s="150">
        <f>IF($B215="NA","NA",IF($A$12=0,0,-PV(DiscountRate/12,$D$11,0,'Nominal Increments'!N215,0)))</f>
        <v>0</v>
      </c>
      <c r="O215" s="150">
        <f>IF($B215="NA","NA",IF($A$13=0,0,-PV(DiscountRate/12,$D$12,0,'Nominal Increments'!O215,0)))</f>
        <v>0</v>
      </c>
      <c r="P215" s="150">
        <f>IF($B215="NA","NA",IF($A$14=0,0,-PV(DiscountRate/12,$D$13,0,'Nominal Increments'!P215,0)))</f>
        <v>0</v>
      </c>
      <c r="Q215" s="150">
        <f>IF($B215="NA","NA",IF($A$15=0,0,-PV(DiscountRate/12,$D$14,0,'Nominal Increments'!Q215,0)))</f>
        <v>0</v>
      </c>
      <c r="R215" s="150">
        <f>IF($B215="NA","NA",IF($A$16=0,0,-PV(DiscountRate/12,$D$15,0,'Nominal Increments'!R215,0)))</f>
        <v>0</v>
      </c>
      <c r="S215" s="150">
        <f>IF($B215="NA","NA",IF($A$17=0,0,-PV(DiscountRate/12,$D$16,0,'Nominal Increments'!S215,0)))</f>
        <v>0</v>
      </c>
      <c r="T215" s="151">
        <f>IF($B215="NA","NA",IF($A$18=0,0,-PV(DiscountRate/12,$D$17,0,'Nominal Increments'!T215,0)))</f>
        <v>0</v>
      </c>
    </row>
    <row r="216" spans="1:20" x14ac:dyDescent="0.2">
      <c r="A216" s="86">
        <f t="shared" si="15"/>
        <v>5876</v>
      </c>
      <c r="B216" s="142">
        <f t="shared" si="16"/>
        <v>194</v>
      </c>
      <c r="C216" s="143">
        <f t="shared" si="17"/>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50">
        <f>IF(B216="NA","NA",IF(ISNUMBER(VLOOKUP($C216,'A4 Investment'!$A$24:$G$33,7,FALSE)),VLOOKUP($C216,'A4 Investment'!$A$24:$G$33,7,FALSE)*'A4 Investment'!G$18/12,0))</f>
        <v>0</v>
      </c>
      <c r="I216" s="151">
        <f t="shared" si="18"/>
        <v>8904.1666666666661</v>
      </c>
      <c r="J216" s="159">
        <f t="shared" ref="J216:J262" si="19">IF($B216="NA","NA",SUM(K216:T216))</f>
        <v>8904.1666666666661</v>
      </c>
      <c r="K216" s="150">
        <f>IF($B216="NA","NA",-PV(DiscountRate/12,0,0,'Nominal Increments'!K216,0))</f>
        <v>8904.1666666666661</v>
      </c>
      <c r="L216" s="150">
        <f>IF($B216="NA","NA",IF($A$10=0,0,-PV(DiscountRate/12,$D$9,0,'Nominal Increments'!L216,0)))</f>
        <v>0</v>
      </c>
      <c r="M216" s="150">
        <f>IF($B216="NA","NA",IF($A$11=0,0,-PV(DiscountRate/12,$D$10,0,'Nominal Increments'!M216,0)))</f>
        <v>0</v>
      </c>
      <c r="N216" s="150">
        <f>IF($B216="NA","NA",IF($A$12=0,0,-PV(DiscountRate/12,$D$11,0,'Nominal Increments'!N216,0)))</f>
        <v>0</v>
      </c>
      <c r="O216" s="150">
        <f>IF($B216="NA","NA",IF($A$13=0,0,-PV(DiscountRate/12,$D$12,0,'Nominal Increments'!O216,0)))</f>
        <v>0</v>
      </c>
      <c r="P216" s="150">
        <f>IF($B216="NA","NA",IF($A$14=0,0,-PV(DiscountRate/12,$D$13,0,'Nominal Increments'!P216,0)))</f>
        <v>0</v>
      </c>
      <c r="Q216" s="150">
        <f>IF($B216="NA","NA",IF($A$15=0,0,-PV(DiscountRate/12,$D$14,0,'Nominal Increments'!Q216,0)))</f>
        <v>0</v>
      </c>
      <c r="R216" s="150">
        <f>IF($B216="NA","NA",IF($A$16=0,0,-PV(DiscountRate/12,$D$15,0,'Nominal Increments'!R216,0)))</f>
        <v>0</v>
      </c>
      <c r="S216" s="150">
        <f>IF($B216="NA","NA",IF($A$17=0,0,-PV(DiscountRate/12,$D$16,0,'Nominal Increments'!S216,0)))</f>
        <v>0</v>
      </c>
      <c r="T216" s="151">
        <f>IF($B216="NA","NA",IF($A$18=0,0,-PV(DiscountRate/12,$D$17,0,'Nominal Increments'!T216,0)))</f>
        <v>0</v>
      </c>
    </row>
    <row r="217" spans="1:20" x14ac:dyDescent="0.2">
      <c r="A217" s="86">
        <f t="shared" si="15"/>
        <v>5905</v>
      </c>
      <c r="B217" s="142">
        <f t="shared" si="16"/>
        <v>195</v>
      </c>
      <c r="C217" s="143">
        <f t="shared" si="17"/>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50">
        <f>IF(B217="NA","NA",IF(ISNUMBER(VLOOKUP($C217,'A4 Investment'!$A$24:$G$33,7,FALSE)),VLOOKUP($C217,'A4 Investment'!$A$24:$G$33,7,FALSE)*'A4 Investment'!G$18/12,0))</f>
        <v>0</v>
      </c>
      <c r="I217" s="151">
        <f t="shared" si="18"/>
        <v>8904.1666666666661</v>
      </c>
      <c r="J217" s="159">
        <f t="shared" si="19"/>
        <v>8904.1666666666661</v>
      </c>
      <c r="K217" s="150">
        <f>IF($B217="NA","NA",-PV(DiscountRate/12,0,0,'Nominal Increments'!K217,0))</f>
        <v>8904.1666666666661</v>
      </c>
      <c r="L217" s="150">
        <f>IF($B217="NA","NA",IF($A$10=0,0,-PV(DiscountRate/12,$D$9,0,'Nominal Increments'!L217,0)))</f>
        <v>0</v>
      </c>
      <c r="M217" s="150">
        <f>IF($B217="NA","NA",IF($A$11=0,0,-PV(DiscountRate/12,$D$10,0,'Nominal Increments'!M217,0)))</f>
        <v>0</v>
      </c>
      <c r="N217" s="150">
        <f>IF($B217="NA","NA",IF($A$12=0,0,-PV(DiscountRate/12,$D$11,0,'Nominal Increments'!N217,0)))</f>
        <v>0</v>
      </c>
      <c r="O217" s="150">
        <f>IF($B217="NA","NA",IF($A$13=0,0,-PV(DiscountRate/12,$D$12,0,'Nominal Increments'!O217,0)))</f>
        <v>0</v>
      </c>
      <c r="P217" s="150">
        <f>IF($B217="NA","NA",IF($A$14=0,0,-PV(DiscountRate/12,$D$13,0,'Nominal Increments'!P217,0)))</f>
        <v>0</v>
      </c>
      <c r="Q217" s="150">
        <f>IF($B217="NA","NA",IF($A$15=0,0,-PV(DiscountRate/12,$D$14,0,'Nominal Increments'!Q217,0)))</f>
        <v>0</v>
      </c>
      <c r="R217" s="150">
        <f>IF($B217="NA","NA",IF($A$16=0,0,-PV(DiscountRate/12,$D$15,0,'Nominal Increments'!R217,0)))</f>
        <v>0</v>
      </c>
      <c r="S217" s="150">
        <f>IF($B217="NA","NA",IF($A$17=0,0,-PV(DiscountRate/12,$D$16,0,'Nominal Increments'!S217,0)))</f>
        <v>0</v>
      </c>
      <c r="T217" s="151">
        <f>IF($B217="NA","NA",IF($A$18=0,0,-PV(DiscountRate/12,$D$17,0,'Nominal Increments'!T217,0)))</f>
        <v>0</v>
      </c>
    </row>
    <row r="218" spans="1:20" x14ac:dyDescent="0.2">
      <c r="A218" s="86">
        <f t="shared" si="15"/>
        <v>5936</v>
      </c>
      <c r="B218" s="142">
        <f t="shared" si="16"/>
        <v>196</v>
      </c>
      <c r="C218" s="143">
        <f t="shared" si="17"/>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50">
        <f>IF(B218="NA","NA",IF(ISNUMBER(VLOOKUP($C218,'A4 Investment'!$A$24:$G$33,7,FALSE)),VLOOKUP($C218,'A4 Investment'!$A$24:$G$33,7,FALSE)*'A4 Investment'!G$18/12,0))</f>
        <v>0</v>
      </c>
      <c r="I218" s="151">
        <f t="shared" si="18"/>
        <v>8904.1666666666661</v>
      </c>
      <c r="J218" s="159">
        <f t="shared" si="19"/>
        <v>8904.1666666666661</v>
      </c>
      <c r="K218" s="150">
        <f>IF($B218="NA","NA",-PV(DiscountRate/12,0,0,'Nominal Increments'!K218,0))</f>
        <v>8904.1666666666661</v>
      </c>
      <c r="L218" s="150">
        <f>IF($B218="NA","NA",IF($A$10=0,0,-PV(DiscountRate/12,$D$9,0,'Nominal Increments'!L218,0)))</f>
        <v>0</v>
      </c>
      <c r="M218" s="150">
        <f>IF($B218="NA","NA",IF($A$11=0,0,-PV(DiscountRate/12,$D$10,0,'Nominal Increments'!M218,0)))</f>
        <v>0</v>
      </c>
      <c r="N218" s="150">
        <f>IF($B218="NA","NA",IF($A$12=0,0,-PV(DiscountRate/12,$D$11,0,'Nominal Increments'!N218,0)))</f>
        <v>0</v>
      </c>
      <c r="O218" s="150">
        <f>IF($B218="NA","NA",IF($A$13=0,0,-PV(DiscountRate/12,$D$12,0,'Nominal Increments'!O218,0)))</f>
        <v>0</v>
      </c>
      <c r="P218" s="150">
        <f>IF($B218="NA","NA",IF($A$14=0,0,-PV(DiscountRate/12,$D$13,0,'Nominal Increments'!P218,0)))</f>
        <v>0</v>
      </c>
      <c r="Q218" s="150">
        <f>IF($B218="NA","NA",IF($A$15=0,0,-PV(DiscountRate/12,$D$14,0,'Nominal Increments'!Q218,0)))</f>
        <v>0</v>
      </c>
      <c r="R218" s="150">
        <f>IF($B218="NA","NA",IF($A$16=0,0,-PV(DiscountRate/12,$D$15,0,'Nominal Increments'!R218,0)))</f>
        <v>0</v>
      </c>
      <c r="S218" s="150">
        <f>IF($B218="NA","NA",IF($A$17=0,0,-PV(DiscountRate/12,$D$16,0,'Nominal Increments'!S218,0)))</f>
        <v>0</v>
      </c>
      <c r="T218" s="151">
        <f>IF($B218="NA","NA",IF($A$18=0,0,-PV(DiscountRate/12,$D$17,0,'Nominal Increments'!T218,0)))</f>
        <v>0</v>
      </c>
    </row>
    <row r="219" spans="1:20" x14ac:dyDescent="0.2">
      <c r="A219" s="86">
        <f t="shared" si="15"/>
        <v>5966</v>
      </c>
      <c r="B219" s="142">
        <f t="shared" si="16"/>
        <v>197</v>
      </c>
      <c r="C219" s="143">
        <f t="shared" si="17"/>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50">
        <f>IF(B219="NA","NA",IF(ISNUMBER(VLOOKUP($C219,'A4 Investment'!$A$24:$G$33,7,FALSE)),VLOOKUP($C219,'A4 Investment'!$A$24:$G$33,7,FALSE)*'A4 Investment'!G$18/12,0))</f>
        <v>0</v>
      </c>
      <c r="I219" s="151">
        <f t="shared" si="18"/>
        <v>8904.1666666666661</v>
      </c>
      <c r="J219" s="159">
        <f t="shared" si="19"/>
        <v>8904.1666666666661</v>
      </c>
      <c r="K219" s="150">
        <f>IF($B219="NA","NA",-PV(DiscountRate/12,0,0,'Nominal Increments'!K219,0))</f>
        <v>8904.1666666666661</v>
      </c>
      <c r="L219" s="150">
        <f>IF($B219="NA","NA",IF($A$10=0,0,-PV(DiscountRate/12,$D$9,0,'Nominal Increments'!L219,0)))</f>
        <v>0</v>
      </c>
      <c r="M219" s="150">
        <f>IF($B219="NA","NA",IF($A$11=0,0,-PV(DiscountRate/12,$D$10,0,'Nominal Increments'!M219,0)))</f>
        <v>0</v>
      </c>
      <c r="N219" s="150">
        <f>IF($B219="NA","NA",IF($A$12=0,0,-PV(DiscountRate/12,$D$11,0,'Nominal Increments'!N219,0)))</f>
        <v>0</v>
      </c>
      <c r="O219" s="150">
        <f>IF($B219="NA","NA",IF($A$13=0,0,-PV(DiscountRate/12,$D$12,0,'Nominal Increments'!O219,0)))</f>
        <v>0</v>
      </c>
      <c r="P219" s="150">
        <f>IF($B219="NA","NA",IF($A$14=0,0,-PV(DiscountRate/12,$D$13,0,'Nominal Increments'!P219,0)))</f>
        <v>0</v>
      </c>
      <c r="Q219" s="150">
        <f>IF($B219="NA","NA",IF($A$15=0,0,-PV(DiscountRate/12,$D$14,0,'Nominal Increments'!Q219,0)))</f>
        <v>0</v>
      </c>
      <c r="R219" s="150">
        <f>IF($B219="NA","NA",IF($A$16=0,0,-PV(DiscountRate/12,$D$15,0,'Nominal Increments'!R219,0)))</f>
        <v>0</v>
      </c>
      <c r="S219" s="150">
        <f>IF($B219="NA","NA",IF($A$17=0,0,-PV(DiscountRate/12,$D$16,0,'Nominal Increments'!S219,0)))</f>
        <v>0</v>
      </c>
      <c r="T219" s="151">
        <f>IF($B219="NA","NA",IF($A$18=0,0,-PV(DiscountRate/12,$D$17,0,'Nominal Increments'!T219,0)))</f>
        <v>0</v>
      </c>
    </row>
    <row r="220" spans="1:20" x14ac:dyDescent="0.2">
      <c r="A220" s="86">
        <f t="shared" si="15"/>
        <v>5997</v>
      </c>
      <c r="B220" s="142">
        <f t="shared" si="16"/>
        <v>198</v>
      </c>
      <c r="C220" s="143">
        <f t="shared" si="17"/>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50">
        <f>IF(B220="NA","NA",IF(ISNUMBER(VLOOKUP($C220,'A4 Investment'!$A$24:$G$33,7,FALSE)),VLOOKUP($C220,'A4 Investment'!$A$24:$G$33,7,FALSE)*'A4 Investment'!G$18/12,0))</f>
        <v>0</v>
      </c>
      <c r="I220" s="151">
        <f t="shared" si="18"/>
        <v>8904.1666666666661</v>
      </c>
      <c r="J220" s="159">
        <f t="shared" si="19"/>
        <v>8904.1666666666661</v>
      </c>
      <c r="K220" s="150">
        <f>IF($B220="NA","NA",-PV(DiscountRate/12,0,0,'Nominal Increments'!K220,0))</f>
        <v>8904.1666666666661</v>
      </c>
      <c r="L220" s="150">
        <f>IF($B220="NA","NA",IF($A$10=0,0,-PV(DiscountRate/12,$D$9,0,'Nominal Increments'!L220,0)))</f>
        <v>0</v>
      </c>
      <c r="M220" s="150">
        <f>IF($B220="NA","NA",IF($A$11=0,0,-PV(DiscountRate/12,$D$10,0,'Nominal Increments'!M220,0)))</f>
        <v>0</v>
      </c>
      <c r="N220" s="150">
        <f>IF($B220="NA","NA",IF($A$12=0,0,-PV(DiscountRate/12,$D$11,0,'Nominal Increments'!N220,0)))</f>
        <v>0</v>
      </c>
      <c r="O220" s="150">
        <f>IF($B220="NA","NA",IF($A$13=0,0,-PV(DiscountRate/12,$D$12,0,'Nominal Increments'!O220,0)))</f>
        <v>0</v>
      </c>
      <c r="P220" s="150">
        <f>IF($B220="NA","NA",IF($A$14=0,0,-PV(DiscountRate/12,$D$13,0,'Nominal Increments'!P220,0)))</f>
        <v>0</v>
      </c>
      <c r="Q220" s="150">
        <f>IF($B220="NA","NA",IF($A$15=0,0,-PV(DiscountRate/12,$D$14,0,'Nominal Increments'!Q220,0)))</f>
        <v>0</v>
      </c>
      <c r="R220" s="150">
        <f>IF($B220="NA","NA",IF($A$16=0,0,-PV(DiscountRate/12,$D$15,0,'Nominal Increments'!R220,0)))</f>
        <v>0</v>
      </c>
      <c r="S220" s="150">
        <f>IF($B220="NA","NA",IF($A$17=0,0,-PV(DiscountRate/12,$D$16,0,'Nominal Increments'!S220,0)))</f>
        <v>0</v>
      </c>
      <c r="T220" s="151">
        <f>IF($B220="NA","NA",IF($A$18=0,0,-PV(DiscountRate/12,$D$17,0,'Nominal Increments'!T220,0)))</f>
        <v>0</v>
      </c>
    </row>
    <row r="221" spans="1:20" x14ac:dyDescent="0.2">
      <c r="A221" s="86">
        <f t="shared" si="15"/>
        <v>6027</v>
      </c>
      <c r="B221" s="142">
        <f t="shared" si="16"/>
        <v>199</v>
      </c>
      <c r="C221" s="143">
        <f t="shared" si="17"/>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50">
        <f>IF(B221="NA","NA",IF(ISNUMBER(VLOOKUP($C221,'A4 Investment'!$A$24:$G$33,7,FALSE)),VLOOKUP($C221,'A4 Investment'!$A$24:$G$33,7,FALSE)*'A4 Investment'!G$18/12,0))</f>
        <v>0</v>
      </c>
      <c r="I221" s="151">
        <f t="shared" si="18"/>
        <v>8904.1666666666661</v>
      </c>
      <c r="J221" s="159">
        <f t="shared" si="19"/>
        <v>8904.1666666666661</v>
      </c>
      <c r="K221" s="150">
        <f>IF($B221="NA","NA",-PV(DiscountRate/12,0,0,'Nominal Increments'!K221,0))</f>
        <v>8904.1666666666661</v>
      </c>
      <c r="L221" s="150">
        <f>IF($B221="NA","NA",IF($A$10=0,0,-PV(DiscountRate/12,$D$9,0,'Nominal Increments'!L221,0)))</f>
        <v>0</v>
      </c>
      <c r="M221" s="150">
        <f>IF($B221="NA","NA",IF($A$11=0,0,-PV(DiscountRate/12,$D$10,0,'Nominal Increments'!M221,0)))</f>
        <v>0</v>
      </c>
      <c r="N221" s="150">
        <f>IF($B221="NA","NA",IF($A$12=0,0,-PV(DiscountRate/12,$D$11,0,'Nominal Increments'!N221,0)))</f>
        <v>0</v>
      </c>
      <c r="O221" s="150">
        <f>IF($B221="NA","NA",IF($A$13=0,0,-PV(DiscountRate/12,$D$12,0,'Nominal Increments'!O221,0)))</f>
        <v>0</v>
      </c>
      <c r="P221" s="150">
        <f>IF($B221="NA","NA",IF($A$14=0,0,-PV(DiscountRate/12,$D$13,0,'Nominal Increments'!P221,0)))</f>
        <v>0</v>
      </c>
      <c r="Q221" s="150">
        <f>IF($B221="NA","NA",IF($A$15=0,0,-PV(DiscountRate/12,$D$14,0,'Nominal Increments'!Q221,0)))</f>
        <v>0</v>
      </c>
      <c r="R221" s="150">
        <f>IF($B221="NA","NA",IF($A$16=0,0,-PV(DiscountRate/12,$D$15,0,'Nominal Increments'!R221,0)))</f>
        <v>0</v>
      </c>
      <c r="S221" s="150">
        <f>IF($B221="NA","NA",IF($A$17=0,0,-PV(DiscountRate/12,$D$16,0,'Nominal Increments'!S221,0)))</f>
        <v>0</v>
      </c>
      <c r="T221" s="151">
        <f>IF($B221="NA","NA",IF($A$18=0,0,-PV(DiscountRate/12,$D$17,0,'Nominal Increments'!T221,0)))</f>
        <v>0</v>
      </c>
    </row>
    <row r="222" spans="1:20" x14ac:dyDescent="0.2">
      <c r="A222" s="86">
        <f t="shared" si="15"/>
        <v>6058</v>
      </c>
      <c r="B222" s="142">
        <f t="shared" si="16"/>
        <v>200</v>
      </c>
      <c r="C222" s="143">
        <f t="shared" si="17"/>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50">
        <f>IF(B222="NA","NA",IF(ISNUMBER(VLOOKUP($C222,'A4 Investment'!$A$24:$G$33,7,FALSE)),VLOOKUP($C222,'A4 Investment'!$A$24:$G$33,7,FALSE)*'A4 Investment'!G$18/12,0))</f>
        <v>0</v>
      </c>
      <c r="I222" s="151">
        <f t="shared" si="18"/>
        <v>8904.1666666666661</v>
      </c>
      <c r="J222" s="159">
        <f t="shared" si="19"/>
        <v>8904.1666666666661</v>
      </c>
      <c r="K222" s="150">
        <f>IF($B222="NA","NA",-PV(DiscountRate/12,0,0,'Nominal Increments'!K222,0))</f>
        <v>8904.1666666666661</v>
      </c>
      <c r="L222" s="150">
        <f>IF($B222="NA","NA",IF($A$10=0,0,-PV(DiscountRate/12,$D$9,0,'Nominal Increments'!L222,0)))</f>
        <v>0</v>
      </c>
      <c r="M222" s="150">
        <f>IF($B222="NA","NA",IF($A$11=0,0,-PV(DiscountRate/12,$D$10,0,'Nominal Increments'!M222,0)))</f>
        <v>0</v>
      </c>
      <c r="N222" s="150">
        <f>IF($B222="NA","NA",IF($A$12=0,0,-PV(DiscountRate/12,$D$11,0,'Nominal Increments'!N222,0)))</f>
        <v>0</v>
      </c>
      <c r="O222" s="150">
        <f>IF($B222="NA","NA",IF($A$13=0,0,-PV(DiscountRate/12,$D$12,0,'Nominal Increments'!O222,0)))</f>
        <v>0</v>
      </c>
      <c r="P222" s="150">
        <f>IF($B222="NA","NA",IF($A$14=0,0,-PV(DiscountRate/12,$D$13,0,'Nominal Increments'!P222,0)))</f>
        <v>0</v>
      </c>
      <c r="Q222" s="150">
        <f>IF($B222="NA","NA",IF($A$15=0,0,-PV(DiscountRate/12,$D$14,0,'Nominal Increments'!Q222,0)))</f>
        <v>0</v>
      </c>
      <c r="R222" s="150">
        <f>IF($B222="NA","NA",IF($A$16=0,0,-PV(DiscountRate/12,$D$15,0,'Nominal Increments'!R222,0)))</f>
        <v>0</v>
      </c>
      <c r="S222" s="150">
        <f>IF($B222="NA","NA",IF($A$17=0,0,-PV(DiscountRate/12,$D$16,0,'Nominal Increments'!S222,0)))</f>
        <v>0</v>
      </c>
      <c r="T222" s="151">
        <f>IF($B222="NA","NA",IF($A$18=0,0,-PV(DiscountRate/12,$D$17,0,'Nominal Increments'!T222,0)))</f>
        <v>0</v>
      </c>
    </row>
    <row r="223" spans="1:20" x14ac:dyDescent="0.2">
      <c r="A223" s="86">
        <f t="shared" si="15"/>
        <v>6089</v>
      </c>
      <c r="B223" s="142">
        <f t="shared" si="16"/>
        <v>201</v>
      </c>
      <c r="C223" s="143">
        <f t="shared" si="17"/>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50">
        <f>IF(B223="NA","NA",IF(ISNUMBER(VLOOKUP($C223,'A4 Investment'!$A$24:$G$33,7,FALSE)),VLOOKUP($C223,'A4 Investment'!$A$24:$G$33,7,FALSE)*'A4 Investment'!G$18/12,0))</f>
        <v>0</v>
      </c>
      <c r="I223" s="151">
        <f t="shared" si="18"/>
        <v>8904.1666666666661</v>
      </c>
      <c r="J223" s="159">
        <f t="shared" si="19"/>
        <v>8904.1666666666661</v>
      </c>
      <c r="K223" s="150">
        <f>IF($B223="NA","NA",-PV(DiscountRate/12,0,0,'Nominal Increments'!K223,0))</f>
        <v>8904.1666666666661</v>
      </c>
      <c r="L223" s="150">
        <f>IF($B223="NA","NA",IF($A$10=0,0,-PV(DiscountRate/12,$D$9,0,'Nominal Increments'!L223,0)))</f>
        <v>0</v>
      </c>
      <c r="M223" s="150">
        <f>IF($B223="NA","NA",IF($A$11=0,0,-PV(DiscountRate/12,$D$10,0,'Nominal Increments'!M223,0)))</f>
        <v>0</v>
      </c>
      <c r="N223" s="150">
        <f>IF($B223="NA","NA",IF($A$12=0,0,-PV(DiscountRate/12,$D$11,0,'Nominal Increments'!N223,0)))</f>
        <v>0</v>
      </c>
      <c r="O223" s="150">
        <f>IF($B223="NA","NA",IF($A$13=0,0,-PV(DiscountRate/12,$D$12,0,'Nominal Increments'!O223,0)))</f>
        <v>0</v>
      </c>
      <c r="P223" s="150">
        <f>IF($B223="NA","NA",IF($A$14=0,0,-PV(DiscountRate/12,$D$13,0,'Nominal Increments'!P223,0)))</f>
        <v>0</v>
      </c>
      <c r="Q223" s="150">
        <f>IF($B223="NA","NA",IF($A$15=0,0,-PV(DiscountRate/12,$D$14,0,'Nominal Increments'!Q223,0)))</f>
        <v>0</v>
      </c>
      <c r="R223" s="150">
        <f>IF($B223="NA","NA",IF($A$16=0,0,-PV(DiscountRate/12,$D$15,0,'Nominal Increments'!R223,0)))</f>
        <v>0</v>
      </c>
      <c r="S223" s="150">
        <f>IF($B223="NA","NA",IF($A$17=0,0,-PV(DiscountRate/12,$D$16,0,'Nominal Increments'!S223,0)))</f>
        <v>0</v>
      </c>
      <c r="T223" s="151">
        <f>IF($B223="NA","NA",IF($A$18=0,0,-PV(DiscountRate/12,$D$17,0,'Nominal Increments'!T223,0)))</f>
        <v>0</v>
      </c>
    </row>
    <row r="224" spans="1:20" x14ac:dyDescent="0.2">
      <c r="A224" s="86">
        <f t="shared" si="15"/>
        <v>6119</v>
      </c>
      <c r="B224" s="142">
        <f t="shared" si="16"/>
        <v>202</v>
      </c>
      <c r="C224" s="143">
        <f t="shared" si="17"/>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50">
        <f>IF(B224="NA","NA",IF(ISNUMBER(VLOOKUP($C224,'A4 Investment'!$A$24:$G$33,7,FALSE)),VLOOKUP($C224,'A4 Investment'!$A$24:$G$33,7,FALSE)*'A4 Investment'!G$18/12,0))</f>
        <v>0</v>
      </c>
      <c r="I224" s="151">
        <f t="shared" si="18"/>
        <v>8904.1666666666661</v>
      </c>
      <c r="J224" s="159">
        <f t="shared" si="19"/>
        <v>8904.1666666666661</v>
      </c>
      <c r="K224" s="150">
        <f>IF($B224="NA","NA",-PV(DiscountRate/12,0,0,'Nominal Increments'!K224,0))</f>
        <v>8904.1666666666661</v>
      </c>
      <c r="L224" s="150">
        <f>IF($B224="NA","NA",IF($A$10=0,0,-PV(DiscountRate/12,$D$9,0,'Nominal Increments'!L224,0)))</f>
        <v>0</v>
      </c>
      <c r="M224" s="150">
        <f>IF($B224="NA","NA",IF($A$11=0,0,-PV(DiscountRate/12,$D$10,0,'Nominal Increments'!M224,0)))</f>
        <v>0</v>
      </c>
      <c r="N224" s="150">
        <f>IF($B224="NA","NA",IF($A$12=0,0,-PV(DiscountRate/12,$D$11,0,'Nominal Increments'!N224,0)))</f>
        <v>0</v>
      </c>
      <c r="O224" s="150">
        <f>IF($B224="NA","NA",IF($A$13=0,0,-PV(DiscountRate/12,$D$12,0,'Nominal Increments'!O224,0)))</f>
        <v>0</v>
      </c>
      <c r="P224" s="150">
        <f>IF($B224="NA","NA",IF($A$14=0,0,-PV(DiscountRate/12,$D$13,0,'Nominal Increments'!P224,0)))</f>
        <v>0</v>
      </c>
      <c r="Q224" s="150">
        <f>IF($B224="NA","NA",IF($A$15=0,0,-PV(DiscountRate/12,$D$14,0,'Nominal Increments'!Q224,0)))</f>
        <v>0</v>
      </c>
      <c r="R224" s="150">
        <f>IF($B224="NA","NA",IF($A$16=0,0,-PV(DiscountRate/12,$D$15,0,'Nominal Increments'!R224,0)))</f>
        <v>0</v>
      </c>
      <c r="S224" s="150">
        <f>IF($B224="NA","NA",IF($A$17=0,0,-PV(DiscountRate/12,$D$16,0,'Nominal Increments'!S224,0)))</f>
        <v>0</v>
      </c>
      <c r="T224" s="151">
        <f>IF($B224="NA","NA",IF($A$18=0,0,-PV(DiscountRate/12,$D$17,0,'Nominal Increments'!T224,0)))</f>
        <v>0</v>
      </c>
    </row>
    <row r="225" spans="1:20" x14ac:dyDescent="0.2">
      <c r="A225" s="86">
        <f t="shared" si="15"/>
        <v>6150</v>
      </c>
      <c r="B225" s="142">
        <f t="shared" si="16"/>
        <v>203</v>
      </c>
      <c r="C225" s="143">
        <f t="shared" si="17"/>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50">
        <f>IF(B225="NA","NA",IF(ISNUMBER(VLOOKUP($C225,'A4 Investment'!$A$24:$G$33,7,FALSE)),VLOOKUP($C225,'A4 Investment'!$A$24:$G$33,7,FALSE)*'A4 Investment'!G$18/12,0))</f>
        <v>0</v>
      </c>
      <c r="I225" s="151">
        <f t="shared" si="18"/>
        <v>8904.1666666666661</v>
      </c>
      <c r="J225" s="159">
        <f t="shared" si="19"/>
        <v>8904.1666666666661</v>
      </c>
      <c r="K225" s="150">
        <f>IF($B225="NA","NA",-PV(DiscountRate/12,0,0,'Nominal Increments'!K225,0))</f>
        <v>8904.1666666666661</v>
      </c>
      <c r="L225" s="150">
        <f>IF($B225="NA","NA",IF($A$10=0,0,-PV(DiscountRate/12,$D$9,0,'Nominal Increments'!L225,0)))</f>
        <v>0</v>
      </c>
      <c r="M225" s="150">
        <f>IF($B225="NA","NA",IF($A$11=0,0,-PV(DiscountRate/12,$D$10,0,'Nominal Increments'!M225,0)))</f>
        <v>0</v>
      </c>
      <c r="N225" s="150">
        <f>IF($B225="NA","NA",IF($A$12=0,0,-PV(DiscountRate/12,$D$11,0,'Nominal Increments'!N225,0)))</f>
        <v>0</v>
      </c>
      <c r="O225" s="150">
        <f>IF($B225="NA","NA",IF($A$13=0,0,-PV(DiscountRate/12,$D$12,0,'Nominal Increments'!O225,0)))</f>
        <v>0</v>
      </c>
      <c r="P225" s="150">
        <f>IF($B225="NA","NA",IF($A$14=0,0,-PV(DiscountRate/12,$D$13,0,'Nominal Increments'!P225,0)))</f>
        <v>0</v>
      </c>
      <c r="Q225" s="150">
        <f>IF($B225="NA","NA",IF($A$15=0,0,-PV(DiscountRate/12,$D$14,0,'Nominal Increments'!Q225,0)))</f>
        <v>0</v>
      </c>
      <c r="R225" s="150">
        <f>IF($B225="NA","NA",IF($A$16=0,0,-PV(DiscountRate/12,$D$15,0,'Nominal Increments'!R225,0)))</f>
        <v>0</v>
      </c>
      <c r="S225" s="150">
        <f>IF($B225="NA","NA",IF($A$17=0,0,-PV(DiscountRate/12,$D$16,0,'Nominal Increments'!S225,0)))</f>
        <v>0</v>
      </c>
      <c r="T225" s="151">
        <f>IF($B225="NA","NA",IF($A$18=0,0,-PV(DiscountRate/12,$D$17,0,'Nominal Increments'!T225,0)))</f>
        <v>0</v>
      </c>
    </row>
    <row r="226" spans="1:20" x14ac:dyDescent="0.2">
      <c r="A226" s="86">
        <f t="shared" si="15"/>
        <v>6180</v>
      </c>
      <c r="B226" s="142">
        <f t="shared" si="16"/>
        <v>204</v>
      </c>
      <c r="C226" s="143">
        <f t="shared" si="17"/>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50">
        <f>IF(B226="NA","NA",IF(ISNUMBER(VLOOKUP($C226,'A4 Investment'!$A$24:$G$33,7,FALSE)),VLOOKUP($C226,'A4 Investment'!$A$24:$G$33,7,FALSE)*'A4 Investment'!G$18/12,0))</f>
        <v>0</v>
      </c>
      <c r="I226" s="151">
        <f t="shared" si="18"/>
        <v>8904.1666666666661</v>
      </c>
      <c r="J226" s="159">
        <f t="shared" si="19"/>
        <v>8904.1666666666661</v>
      </c>
      <c r="K226" s="150">
        <f>IF($B226="NA","NA",-PV(DiscountRate/12,0,0,'Nominal Increments'!K226,0))</f>
        <v>8904.1666666666661</v>
      </c>
      <c r="L226" s="150">
        <f>IF($B226="NA","NA",IF($A$10=0,0,-PV(DiscountRate/12,$D$9,0,'Nominal Increments'!L226,0)))</f>
        <v>0</v>
      </c>
      <c r="M226" s="150">
        <f>IF($B226="NA","NA",IF($A$11=0,0,-PV(DiscountRate/12,$D$10,0,'Nominal Increments'!M226,0)))</f>
        <v>0</v>
      </c>
      <c r="N226" s="150">
        <f>IF($B226="NA","NA",IF($A$12=0,0,-PV(DiscountRate/12,$D$11,0,'Nominal Increments'!N226,0)))</f>
        <v>0</v>
      </c>
      <c r="O226" s="150">
        <f>IF($B226="NA","NA",IF($A$13=0,0,-PV(DiscountRate/12,$D$12,0,'Nominal Increments'!O226,0)))</f>
        <v>0</v>
      </c>
      <c r="P226" s="150">
        <f>IF($B226="NA","NA",IF($A$14=0,0,-PV(DiscountRate/12,$D$13,0,'Nominal Increments'!P226,0)))</f>
        <v>0</v>
      </c>
      <c r="Q226" s="150">
        <f>IF($B226="NA","NA",IF($A$15=0,0,-PV(DiscountRate/12,$D$14,0,'Nominal Increments'!Q226,0)))</f>
        <v>0</v>
      </c>
      <c r="R226" s="150">
        <f>IF($B226="NA","NA",IF($A$16=0,0,-PV(DiscountRate/12,$D$15,0,'Nominal Increments'!R226,0)))</f>
        <v>0</v>
      </c>
      <c r="S226" s="150">
        <f>IF($B226="NA","NA",IF($A$17=0,0,-PV(DiscountRate/12,$D$16,0,'Nominal Increments'!S226,0)))</f>
        <v>0</v>
      </c>
      <c r="T226" s="151">
        <f>IF($B226="NA","NA",IF($A$18=0,0,-PV(DiscountRate/12,$D$17,0,'Nominal Increments'!T226,0)))</f>
        <v>0</v>
      </c>
    </row>
    <row r="227" spans="1:20" x14ac:dyDescent="0.2">
      <c r="A227" s="86">
        <f t="shared" si="15"/>
        <v>6211</v>
      </c>
      <c r="B227" s="142">
        <f t="shared" si="16"/>
        <v>205</v>
      </c>
      <c r="C227" s="143">
        <f t="shared" si="17"/>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50">
        <f>IF(B227="NA","NA",IF(ISNUMBER(VLOOKUP($C227,'A4 Investment'!$A$24:$G$33,7,FALSE)),VLOOKUP($C227,'A4 Investment'!$A$24:$G$33,7,FALSE)*'A4 Investment'!G$18/12,0))</f>
        <v>0</v>
      </c>
      <c r="I227" s="151">
        <f t="shared" si="18"/>
        <v>8904.1666666666661</v>
      </c>
      <c r="J227" s="159">
        <f t="shared" si="19"/>
        <v>8904.1666666666661</v>
      </c>
      <c r="K227" s="150">
        <f>IF($B227="NA","NA",-PV(DiscountRate/12,0,0,'Nominal Increments'!K227,0))</f>
        <v>8904.1666666666661</v>
      </c>
      <c r="L227" s="150">
        <f>IF($B227="NA","NA",IF($A$10=0,0,-PV(DiscountRate/12,$D$9,0,'Nominal Increments'!L227,0)))</f>
        <v>0</v>
      </c>
      <c r="M227" s="150">
        <f>IF($B227="NA","NA",IF($A$11=0,0,-PV(DiscountRate/12,$D$10,0,'Nominal Increments'!M227,0)))</f>
        <v>0</v>
      </c>
      <c r="N227" s="150">
        <f>IF($B227="NA","NA",IF($A$12=0,0,-PV(DiscountRate/12,$D$11,0,'Nominal Increments'!N227,0)))</f>
        <v>0</v>
      </c>
      <c r="O227" s="150">
        <f>IF($B227="NA","NA",IF($A$13=0,0,-PV(DiscountRate/12,$D$12,0,'Nominal Increments'!O227,0)))</f>
        <v>0</v>
      </c>
      <c r="P227" s="150">
        <f>IF($B227="NA","NA",IF($A$14=0,0,-PV(DiscountRate/12,$D$13,0,'Nominal Increments'!P227,0)))</f>
        <v>0</v>
      </c>
      <c r="Q227" s="150">
        <f>IF($B227="NA","NA",IF($A$15=0,0,-PV(DiscountRate/12,$D$14,0,'Nominal Increments'!Q227,0)))</f>
        <v>0</v>
      </c>
      <c r="R227" s="150">
        <f>IF($B227="NA","NA",IF($A$16=0,0,-PV(DiscountRate/12,$D$15,0,'Nominal Increments'!R227,0)))</f>
        <v>0</v>
      </c>
      <c r="S227" s="150">
        <f>IF($B227="NA","NA",IF($A$17=0,0,-PV(DiscountRate/12,$D$16,0,'Nominal Increments'!S227,0)))</f>
        <v>0</v>
      </c>
      <c r="T227" s="151">
        <f>IF($B227="NA","NA",IF($A$18=0,0,-PV(DiscountRate/12,$D$17,0,'Nominal Increments'!T227,0)))</f>
        <v>0</v>
      </c>
    </row>
    <row r="228" spans="1:20" x14ac:dyDescent="0.2">
      <c r="A228" s="86">
        <f t="shared" si="15"/>
        <v>6242</v>
      </c>
      <c r="B228" s="142">
        <f t="shared" si="16"/>
        <v>206</v>
      </c>
      <c r="C228" s="143">
        <f t="shared" si="17"/>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50">
        <f>IF(B228="NA","NA",IF(ISNUMBER(VLOOKUP($C228,'A4 Investment'!$A$24:$G$33,7,FALSE)),VLOOKUP($C228,'A4 Investment'!$A$24:$G$33,7,FALSE)*'A4 Investment'!G$18/12,0))</f>
        <v>0</v>
      </c>
      <c r="I228" s="151">
        <f t="shared" si="18"/>
        <v>8904.1666666666661</v>
      </c>
      <c r="J228" s="159">
        <f t="shared" si="19"/>
        <v>8904.1666666666661</v>
      </c>
      <c r="K228" s="150">
        <f>IF($B228="NA","NA",-PV(DiscountRate/12,0,0,'Nominal Increments'!K228,0))</f>
        <v>8904.1666666666661</v>
      </c>
      <c r="L228" s="150">
        <f>IF($B228="NA","NA",IF($A$10=0,0,-PV(DiscountRate/12,$D$9,0,'Nominal Increments'!L228,0)))</f>
        <v>0</v>
      </c>
      <c r="M228" s="150">
        <f>IF($B228="NA","NA",IF($A$11=0,0,-PV(DiscountRate/12,$D$10,0,'Nominal Increments'!M228,0)))</f>
        <v>0</v>
      </c>
      <c r="N228" s="150">
        <f>IF($B228="NA","NA",IF($A$12=0,0,-PV(DiscountRate/12,$D$11,0,'Nominal Increments'!N228,0)))</f>
        <v>0</v>
      </c>
      <c r="O228" s="150">
        <f>IF($B228="NA","NA",IF($A$13=0,0,-PV(DiscountRate/12,$D$12,0,'Nominal Increments'!O228,0)))</f>
        <v>0</v>
      </c>
      <c r="P228" s="150">
        <f>IF($B228="NA","NA",IF($A$14=0,0,-PV(DiscountRate/12,$D$13,0,'Nominal Increments'!P228,0)))</f>
        <v>0</v>
      </c>
      <c r="Q228" s="150">
        <f>IF($B228="NA","NA",IF($A$15=0,0,-PV(DiscountRate/12,$D$14,0,'Nominal Increments'!Q228,0)))</f>
        <v>0</v>
      </c>
      <c r="R228" s="150">
        <f>IF($B228="NA","NA",IF($A$16=0,0,-PV(DiscountRate/12,$D$15,0,'Nominal Increments'!R228,0)))</f>
        <v>0</v>
      </c>
      <c r="S228" s="150">
        <f>IF($B228="NA","NA",IF($A$17=0,0,-PV(DiscountRate/12,$D$16,0,'Nominal Increments'!S228,0)))</f>
        <v>0</v>
      </c>
      <c r="T228" s="151">
        <f>IF($B228="NA","NA",IF($A$18=0,0,-PV(DiscountRate/12,$D$17,0,'Nominal Increments'!T228,0)))</f>
        <v>0</v>
      </c>
    </row>
    <row r="229" spans="1:20" x14ac:dyDescent="0.2">
      <c r="A229" s="86">
        <f t="shared" si="15"/>
        <v>6270</v>
      </c>
      <c r="B229" s="142">
        <f t="shared" si="16"/>
        <v>207</v>
      </c>
      <c r="C229" s="143">
        <f t="shared" si="17"/>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50">
        <f>IF(B229="NA","NA",IF(ISNUMBER(VLOOKUP($C229,'A4 Investment'!$A$24:$G$33,7,FALSE)),VLOOKUP($C229,'A4 Investment'!$A$24:$G$33,7,FALSE)*'A4 Investment'!G$18/12,0))</f>
        <v>0</v>
      </c>
      <c r="I229" s="151">
        <f t="shared" si="18"/>
        <v>8904.1666666666661</v>
      </c>
      <c r="J229" s="159">
        <f t="shared" si="19"/>
        <v>8904.1666666666661</v>
      </c>
      <c r="K229" s="150">
        <f>IF($B229="NA","NA",-PV(DiscountRate/12,0,0,'Nominal Increments'!K229,0))</f>
        <v>8904.1666666666661</v>
      </c>
      <c r="L229" s="150">
        <f>IF($B229="NA","NA",IF($A$10=0,0,-PV(DiscountRate/12,$D$9,0,'Nominal Increments'!L229,0)))</f>
        <v>0</v>
      </c>
      <c r="M229" s="150">
        <f>IF($B229="NA","NA",IF($A$11=0,0,-PV(DiscountRate/12,$D$10,0,'Nominal Increments'!M229,0)))</f>
        <v>0</v>
      </c>
      <c r="N229" s="150">
        <f>IF($B229="NA","NA",IF($A$12=0,0,-PV(DiscountRate/12,$D$11,0,'Nominal Increments'!N229,0)))</f>
        <v>0</v>
      </c>
      <c r="O229" s="150">
        <f>IF($B229="NA","NA",IF($A$13=0,0,-PV(DiscountRate/12,$D$12,0,'Nominal Increments'!O229,0)))</f>
        <v>0</v>
      </c>
      <c r="P229" s="150">
        <f>IF($B229="NA","NA",IF($A$14=0,0,-PV(DiscountRate/12,$D$13,0,'Nominal Increments'!P229,0)))</f>
        <v>0</v>
      </c>
      <c r="Q229" s="150">
        <f>IF($B229="NA","NA",IF($A$15=0,0,-PV(DiscountRate/12,$D$14,0,'Nominal Increments'!Q229,0)))</f>
        <v>0</v>
      </c>
      <c r="R229" s="150">
        <f>IF($B229="NA","NA",IF($A$16=0,0,-PV(DiscountRate/12,$D$15,0,'Nominal Increments'!R229,0)))</f>
        <v>0</v>
      </c>
      <c r="S229" s="150">
        <f>IF($B229="NA","NA",IF($A$17=0,0,-PV(DiscountRate/12,$D$16,0,'Nominal Increments'!S229,0)))</f>
        <v>0</v>
      </c>
      <c r="T229" s="151">
        <f>IF($B229="NA","NA",IF($A$18=0,0,-PV(DiscountRate/12,$D$17,0,'Nominal Increments'!T229,0)))</f>
        <v>0</v>
      </c>
    </row>
    <row r="230" spans="1:20" x14ac:dyDescent="0.2">
      <c r="A230" s="86">
        <f t="shared" si="15"/>
        <v>6301</v>
      </c>
      <c r="B230" s="142">
        <f t="shared" si="16"/>
        <v>208</v>
      </c>
      <c r="C230" s="143">
        <f t="shared" si="17"/>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50">
        <f>IF(B230="NA","NA",IF(ISNUMBER(VLOOKUP($C230,'A4 Investment'!$A$24:$G$33,7,FALSE)),VLOOKUP($C230,'A4 Investment'!$A$24:$G$33,7,FALSE)*'A4 Investment'!G$18/12,0))</f>
        <v>0</v>
      </c>
      <c r="I230" s="151">
        <f t="shared" si="18"/>
        <v>8904.1666666666661</v>
      </c>
      <c r="J230" s="159">
        <f t="shared" si="19"/>
        <v>8904.1666666666661</v>
      </c>
      <c r="K230" s="150">
        <f>IF($B230="NA","NA",-PV(DiscountRate/12,0,0,'Nominal Increments'!K230,0))</f>
        <v>8904.1666666666661</v>
      </c>
      <c r="L230" s="150">
        <f>IF($B230="NA","NA",IF($A$10=0,0,-PV(DiscountRate/12,$D$9,0,'Nominal Increments'!L230,0)))</f>
        <v>0</v>
      </c>
      <c r="M230" s="150">
        <f>IF($B230="NA","NA",IF($A$11=0,0,-PV(DiscountRate/12,$D$10,0,'Nominal Increments'!M230,0)))</f>
        <v>0</v>
      </c>
      <c r="N230" s="150">
        <f>IF($B230="NA","NA",IF($A$12=0,0,-PV(DiscountRate/12,$D$11,0,'Nominal Increments'!N230,0)))</f>
        <v>0</v>
      </c>
      <c r="O230" s="150">
        <f>IF($B230="NA","NA",IF($A$13=0,0,-PV(DiscountRate/12,$D$12,0,'Nominal Increments'!O230,0)))</f>
        <v>0</v>
      </c>
      <c r="P230" s="150">
        <f>IF($B230="NA","NA",IF($A$14=0,0,-PV(DiscountRate/12,$D$13,0,'Nominal Increments'!P230,0)))</f>
        <v>0</v>
      </c>
      <c r="Q230" s="150">
        <f>IF($B230="NA","NA",IF($A$15=0,0,-PV(DiscountRate/12,$D$14,0,'Nominal Increments'!Q230,0)))</f>
        <v>0</v>
      </c>
      <c r="R230" s="150">
        <f>IF($B230="NA","NA",IF($A$16=0,0,-PV(DiscountRate/12,$D$15,0,'Nominal Increments'!R230,0)))</f>
        <v>0</v>
      </c>
      <c r="S230" s="150">
        <f>IF($B230="NA","NA",IF($A$17=0,0,-PV(DiscountRate/12,$D$16,0,'Nominal Increments'!S230,0)))</f>
        <v>0</v>
      </c>
      <c r="T230" s="151">
        <f>IF($B230="NA","NA",IF($A$18=0,0,-PV(DiscountRate/12,$D$17,0,'Nominal Increments'!T230,0)))</f>
        <v>0</v>
      </c>
    </row>
    <row r="231" spans="1:20" x14ac:dyDescent="0.2">
      <c r="A231" s="86">
        <f t="shared" si="15"/>
        <v>6331</v>
      </c>
      <c r="B231" s="142">
        <f t="shared" si="16"/>
        <v>209</v>
      </c>
      <c r="C231" s="143">
        <f t="shared" si="17"/>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50">
        <f>IF(B231="NA","NA",IF(ISNUMBER(VLOOKUP($C231,'A4 Investment'!$A$24:$G$33,7,FALSE)),VLOOKUP($C231,'A4 Investment'!$A$24:$G$33,7,FALSE)*'A4 Investment'!G$18/12,0))</f>
        <v>0</v>
      </c>
      <c r="I231" s="151">
        <f t="shared" si="18"/>
        <v>8904.1666666666661</v>
      </c>
      <c r="J231" s="159">
        <f t="shared" si="19"/>
        <v>8904.1666666666661</v>
      </c>
      <c r="K231" s="150">
        <f>IF($B231="NA","NA",-PV(DiscountRate/12,0,0,'Nominal Increments'!K231,0))</f>
        <v>8904.1666666666661</v>
      </c>
      <c r="L231" s="150">
        <f>IF($B231="NA","NA",IF($A$10=0,0,-PV(DiscountRate/12,$D$9,0,'Nominal Increments'!L231,0)))</f>
        <v>0</v>
      </c>
      <c r="M231" s="150">
        <f>IF($B231="NA","NA",IF($A$11=0,0,-PV(DiscountRate/12,$D$10,0,'Nominal Increments'!M231,0)))</f>
        <v>0</v>
      </c>
      <c r="N231" s="150">
        <f>IF($B231="NA","NA",IF($A$12=0,0,-PV(DiscountRate/12,$D$11,0,'Nominal Increments'!N231,0)))</f>
        <v>0</v>
      </c>
      <c r="O231" s="150">
        <f>IF($B231="NA","NA",IF($A$13=0,0,-PV(DiscountRate/12,$D$12,0,'Nominal Increments'!O231,0)))</f>
        <v>0</v>
      </c>
      <c r="P231" s="150">
        <f>IF($B231="NA","NA",IF($A$14=0,0,-PV(DiscountRate/12,$D$13,0,'Nominal Increments'!P231,0)))</f>
        <v>0</v>
      </c>
      <c r="Q231" s="150">
        <f>IF($B231="NA","NA",IF($A$15=0,0,-PV(DiscountRate/12,$D$14,0,'Nominal Increments'!Q231,0)))</f>
        <v>0</v>
      </c>
      <c r="R231" s="150">
        <f>IF($B231="NA","NA",IF($A$16=0,0,-PV(DiscountRate/12,$D$15,0,'Nominal Increments'!R231,0)))</f>
        <v>0</v>
      </c>
      <c r="S231" s="150">
        <f>IF($B231="NA","NA",IF($A$17=0,0,-PV(DiscountRate/12,$D$16,0,'Nominal Increments'!S231,0)))</f>
        <v>0</v>
      </c>
      <c r="T231" s="151">
        <f>IF($B231="NA","NA",IF($A$18=0,0,-PV(DiscountRate/12,$D$17,0,'Nominal Increments'!T231,0)))</f>
        <v>0</v>
      </c>
    </row>
    <row r="232" spans="1:20" x14ac:dyDescent="0.2">
      <c r="A232" s="86">
        <f t="shared" si="15"/>
        <v>6362</v>
      </c>
      <c r="B232" s="142">
        <f t="shared" si="16"/>
        <v>210</v>
      </c>
      <c r="C232" s="143">
        <f t="shared" si="17"/>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50">
        <f>IF(B232="NA","NA",IF(ISNUMBER(VLOOKUP($C232,'A4 Investment'!$A$24:$G$33,7,FALSE)),VLOOKUP($C232,'A4 Investment'!$A$24:$G$33,7,FALSE)*'A4 Investment'!G$18/12,0))</f>
        <v>0</v>
      </c>
      <c r="I232" s="151">
        <f t="shared" si="18"/>
        <v>8904.1666666666661</v>
      </c>
      <c r="J232" s="159">
        <f t="shared" si="19"/>
        <v>8904.1666666666661</v>
      </c>
      <c r="K232" s="150">
        <f>IF($B232="NA","NA",-PV(DiscountRate/12,0,0,'Nominal Increments'!K232,0))</f>
        <v>8904.1666666666661</v>
      </c>
      <c r="L232" s="150">
        <f>IF($B232="NA","NA",IF($A$10=0,0,-PV(DiscountRate/12,$D$9,0,'Nominal Increments'!L232,0)))</f>
        <v>0</v>
      </c>
      <c r="M232" s="150">
        <f>IF($B232="NA","NA",IF($A$11=0,0,-PV(DiscountRate/12,$D$10,0,'Nominal Increments'!M232,0)))</f>
        <v>0</v>
      </c>
      <c r="N232" s="150">
        <f>IF($B232="NA","NA",IF($A$12=0,0,-PV(DiscountRate/12,$D$11,0,'Nominal Increments'!N232,0)))</f>
        <v>0</v>
      </c>
      <c r="O232" s="150">
        <f>IF($B232="NA","NA",IF($A$13=0,0,-PV(DiscountRate/12,$D$12,0,'Nominal Increments'!O232,0)))</f>
        <v>0</v>
      </c>
      <c r="P232" s="150">
        <f>IF($B232="NA","NA",IF($A$14=0,0,-PV(DiscountRate/12,$D$13,0,'Nominal Increments'!P232,0)))</f>
        <v>0</v>
      </c>
      <c r="Q232" s="150">
        <f>IF($B232="NA","NA",IF($A$15=0,0,-PV(DiscountRate/12,$D$14,0,'Nominal Increments'!Q232,0)))</f>
        <v>0</v>
      </c>
      <c r="R232" s="150">
        <f>IF($B232="NA","NA",IF($A$16=0,0,-PV(DiscountRate/12,$D$15,0,'Nominal Increments'!R232,0)))</f>
        <v>0</v>
      </c>
      <c r="S232" s="150">
        <f>IF($B232="NA","NA",IF($A$17=0,0,-PV(DiscountRate/12,$D$16,0,'Nominal Increments'!S232,0)))</f>
        <v>0</v>
      </c>
      <c r="T232" s="151">
        <f>IF($B232="NA","NA",IF($A$18=0,0,-PV(DiscountRate/12,$D$17,0,'Nominal Increments'!T232,0)))</f>
        <v>0</v>
      </c>
    </row>
    <row r="233" spans="1:20" x14ac:dyDescent="0.2">
      <c r="A233" s="86">
        <f t="shared" si="15"/>
        <v>6392</v>
      </c>
      <c r="B233" s="142">
        <f t="shared" si="16"/>
        <v>211</v>
      </c>
      <c r="C233" s="143">
        <f t="shared" si="17"/>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50">
        <f>IF(B233="NA","NA",IF(ISNUMBER(VLOOKUP($C233,'A4 Investment'!$A$24:$G$33,7,FALSE)),VLOOKUP($C233,'A4 Investment'!$A$24:$G$33,7,FALSE)*'A4 Investment'!G$18/12,0))</f>
        <v>0</v>
      </c>
      <c r="I233" s="151">
        <f t="shared" si="18"/>
        <v>8904.1666666666661</v>
      </c>
      <c r="J233" s="159">
        <f t="shared" si="19"/>
        <v>8904.1666666666661</v>
      </c>
      <c r="K233" s="150">
        <f>IF($B233="NA","NA",-PV(DiscountRate/12,0,0,'Nominal Increments'!K233,0))</f>
        <v>8904.1666666666661</v>
      </c>
      <c r="L233" s="150">
        <f>IF($B233="NA","NA",IF($A$10=0,0,-PV(DiscountRate/12,$D$9,0,'Nominal Increments'!L233,0)))</f>
        <v>0</v>
      </c>
      <c r="M233" s="150">
        <f>IF($B233="NA","NA",IF($A$11=0,0,-PV(DiscountRate/12,$D$10,0,'Nominal Increments'!M233,0)))</f>
        <v>0</v>
      </c>
      <c r="N233" s="150">
        <f>IF($B233="NA","NA",IF($A$12=0,0,-PV(DiscountRate/12,$D$11,0,'Nominal Increments'!N233,0)))</f>
        <v>0</v>
      </c>
      <c r="O233" s="150">
        <f>IF($B233="NA","NA",IF($A$13=0,0,-PV(DiscountRate/12,$D$12,0,'Nominal Increments'!O233,0)))</f>
        <v>0</v>
      </c>
      <c r="P233" s="150">
        <f>IF($B233="NA","NA",IF($A$14=0,0,-PV(DiscountRate/12,$D$13,0,'Nominal Increments'!P233,0)))</f>
        <v>0</v>
      </c>
      <c r="Q233" s="150">
        <f>IF($B233="NA","NA",IF($A$15=0,0,-PV(DiscountRate/12,$D$14,0,'Nominal Increments'!Q233,0)))</f>
        <v>0</v>
      </c>
      <c r="R233" s="150">
        <f>IF($B233="NA","NA",IF($A$16=0,0,-PV(DiscountRate/12,$D$15,0,'Nominal Increments'!R233,0)))</f>
        <v>0</v>
      </c>
      <c r="S233" s="150">
        <f>IF($B233="NA","NA",IF($A$17=0,0,-PV(DiscountRate/12,$D$16,0,'Nominal Increments'!S233,0)))</f>
        <v>0</v>
      </c>
      <c r="T233" s="151">
        <f>IF($B233="NA","NA",IF($A$18=0,0,-PV(DiscountRate/12,$D$17,0,'Nominal Increments'!T233,0)))</f>
        <v>0</v>
      </c>
    </row>
    <row r="234" spans="1:20" x14ac:dyDescent="0.2">
      <c r="A234" s="86">
        <f t="shared" si="15"/>
        <v>6423</v>
      </c>
      <c r="B234" s="142">
        <f t="shared" si="16"/>
        <v>212</v>
      </c>
      <c r="C234" s="143">
        <f t="shared" si="17"/>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50">
        <f>IF(B234="NA","NA",IF(ISNUMBER(VLOOKUP($C234,'A4 Investment'!$A$24:$G$33,7,FALSE)),VLOOKUP($C234,'A4 Investment'!$A$24:$G$33,7,FALSE)*'A4 Investment'!G$18/12,0))</f>
        <v>0</v>
      </c>
      <c r="I234" s="151">
        <f t="shared" si="18"/>
        <v>8904.1666666666661</v>
      </c>
      <c r="J234" s="159">
        <f t="shared" si="19"/>
        <v>8904.1666666666661</v>
      </c>
      <c r="K234" s="150">
        <f>IF($B234="NA","NA",-PV(DiscountRate/12,0,0,'Nominal Increments'!K234,0))</f>
        <v>8904.1666666666661</v>
      </c>
      <c r="L234" s="150">
        <f>IF($B234="NA","NA",IF($A$10=0,0,-PV(DiscountRate/12,$D$9,0,'Nominal Increments'!L234,0)))</f>
        <v>0</v>
      </c>
      <c r="M234" s="150">
        <f>IF($B234="NA","NA",IF($A$11=0,0,-PV(DiscountRate/12,$D$10,0,'Nominal Increments'!M234,0)))</f>
        <v>0</v>
      </c>
      <c r="N234" s="150">
        <f>IF($B234="NA","NA",IF($A$12=0,0,-PV(DiscountRate/12,$D$11,0,'Nominal Increments'!N234,0)))</f>
        <v>0</v>
      </c>
      <c r="O234" s="150">
        <f>IF($B234="NA","NA",IF($A$13=0,0,-PV(DiscountRate/12,$D$12,0,'Nominal Increments'!O234,0)))</f>
        <v>0</v>
      </c>
      <c r="P234" s="150">
        <f>IF($B234="NA","NA",IF($A$14=0,0,-PV(DiscountRate/12,$D$13,0,'Nominal Increments'!P234,0)))</f>
        <v>0</v>
      </c>
      <c r="Q234" s="150">
        <f>IF($B234="NA","NA",IF($A$15=0,0,-PV(DiscountRate/12,$D$14,0,'Nominal Increments'!Q234,0)))</f>
        <v>0</v>
      </c>
      <c r="R234" s="150">
        <f>IF($B234="NA","NA",IF($A$16=0,0,-PV(DiscountRate/12,$D$15,0,'Nominal Increments'!R234,0)))</f>
        <v>0</v>
      </c>
      <c r="S234" s="150">
        <f>IF($B234="NA","NA",IF($A$17=0,0,-PV(DiscountRate/12,$D$16,0,'Nominal Increments'!S234,0)))</f>
        <v>0</v>
      </c>
      <c r="T234" s="151">
        <f>IF($B234="NA","NA",IF($A$18=0,0,-PV(DiscountRate/12,$D$17,0,'Nominal Increments'!T234,0)))</f>
        <v>0</v>
      </c>
    </row>
    <row r="235" spans="1:20" x14ac:dyDescent="0.2">
      <c r="A235" s="86">
        <f t="shared" si="15"/>
        <v>6454</v>
      </c>
      <c r="B235" s="142">
        <f t="shared" si="16"/>
        <v>213</v>
      </c>
      <c r="C235" s="143">
        <f t="shared" si="17"/>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50">
        <f>IF(B235="NA","NA",IF(ISNUMBER(VLOOKUP($C235,'A4 Investment'!$A$24:$G$33,7,FALSE)),VLOOKUP($C235,'A4 Investment'!$A$24:$G$33,7,FALSE)*'A4 Investment'!G$18/12,0))</f>
        <v>0</v>
      </c>
      <c r="I235" s="151">
        <f t="shared" si="18"/>
        <v>8904.1666666666661</v>
      </c>
      <c r="J235" s="159">
        <f t="shared" si="19"/>
        <v>8904.1666666666661</v>
      </c>
      <c r="K235" s="150">
        <f>IF($B235="NA","NA",-PV(DiscountRate/12,0,0,'Nominal Increments'!K235,0))</f>
        <v>8904.1666666666661</v>
      </c>
      <c r="L235" s="150">
        <f>IF($B235="NA","NA",IF($A$10=0,0,-PV(DiscountRate/12,$D$9,0,'Nominal Increments'!L235,0)))</f>
        <v>0</v>
      </c>
      <c r="M235" s="150">
        <f>IF($B235="NA","NA",IF($A$11=0,0,-PV(DiscountRate/12,$D$10,0,'Nominal Increments'!M235,0)))</f>
        <v>0</v>
      </c>
      <c r="N235" s="150">
        <f>IF($B235="NA","NA",IF($A$12=0,0,-PV(DiscountRate/12,$D$11,0,'Nominal Increments'!N235,0)))</f>
        <v>0</v>
      </c>
      <c r="O235" s="150">
        <f>IF($B235="NA","NA",IF($A$13=0,0,-PV(DiscountRate/12,$D$12,0,'Nominal Increments'!O235,0)))</f>
        <v>0</v>
      </c>
      <c r="P235" s="150">
        <f>IF($B235="NA","NA",IF($A$14=0,0,-PV(DiscountRate/12,$D$13,0,'Nominal Increments'!P235,0)))</f>
        <v>0</v>
      </c>
      <c r="Q235" s="150">
        <f>IF($B235="NA","NA",IF($A$15=0,0,-PV(DiscountRate/12,$D$14,0,'Nominal Increments'!Q235,0)))</f>
        <v>0</v>
      </c>
      <c r="R235" s="150">
        <f>IF($B235="NA","NA",IF($A$16=0,0,-PV(DiscountRate/12,$D$15,0,'Nominal Increments'!R235,0)))</f>
        <v>0</v>
      </c>
      <c r="S235" s="150">
        <f>IF($B235="NA","NA",IF($A$17=0,0,-PV(DiscountRate/12,$D$16,0,'Nominal Increments'!S235,0)))</f>
        <v>0</v>
      </c>
      <c r="T235" s="151">
        <f>IF($B235="NA","NA",IF($A$18=0,0,-PV(DiscountRate/12,$D$17,0,'Nominal Increments'!T235,0)))</f>
        <v>0</v>
      </c>
    </row>
    <row r="236" spans="1:20" x14ac:dyDescent="0.2">
      <c r="A236" s="86">
        <f t="shared" si="15"/>
        <v>6484</v>
      </c>
      <c r="B236" s="142">
        <f t="shared" si="16"/>
        <v>214</v>
      </c>
      <c r="C236" s="143">
        <f t="shared" si="17"/>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50">
        <f>IF(B236="NA","NA",IF(ISNUMBER(VLOOKUP($C236,'A4 Investment'!$A$24:$G$33,7,FALSE)),VLOOKUP($C236,'A4 Investment'!$A$24:$G$33,7,FALSE)*'A4 Investment'!G$18/12,0))</f>
        <v>0</v>
      </c>
      <c r="I236" s="151">
        <f t="shared" si="18"/>
        <v>8904.1666666666661</v>
      </c>
      <c r="J236" s="159">
        <f t="shared" si="19"/>
        <v>8904.1666666666661</v>
      </c>
      <c r="K236" s="150">
        <f>IF($B236="NA","NA",-PV(DiscountRate/12,0,0,'Nominal Increments'!K236,0))</f>
        <v>8904.1666666666661</v>
      </c>
      <c r="L236" s="150">
        <f>IF($B236="NA","NA",IF($A$10=0,0,-PV(DiscountRate/12,$D$9,0,'Nominal Increments'!L236,0)))</f>
        <v>0</v>
      </c>
      <c r="M236" s="150">
        <f>IF($B236="NA","NA",IF($A$11=0,0,-PV(DiscountRate/12,$D$10,0,'Nominal Increments'!M236,0)))</f>
        <v>0</v>
      </c>
      <c r="N236" s="150">
        <f>IF($B236="NA","NA",IF($A$12=0,0,-PV(DiscountRate/12,$D$11,0,'Nominal Increments'!N236,0)))</f>
        <v>0</v>
      </c>
      <c r="O236" s="150">
        <f>IF($B236="NA","NA",IF($A$13=0,0,-PV(DiscountRate/12,$D$12,0,'Nominal Increments'!O236,0)))</f>
        <v>0</v>
      </c>
      <c r="P236" s="150">
        <f>IF($B236="NA","NA",IF($A$14=0,0,-PV(DiscountRate/12,$D$13,0,'Nominal Increments'!P236,0)))</f>
        <v>0</v>
      </c>
      <c r="Q236" s="150">
        <f>IF($B236="NA","NA",IF($A$15=0,0,-PV(DiscountRate/12,$D$14,0,'Nominal Increments'!Q236,0)))</f>
        <v>0</v>
      </c>
      <c r="R236" s="150">
        <f>IF($B236="NA","NA",IF($A$16=0,0,-PV(DiscountRate/12,$D$15,0,'Nominal Increments'!R236,0)))</f>
        <v>0</v>
      </c>
      <c r="S236" s="150">
        <f>IF($B236="NA","NA",IF($A$17=0,0,-PV(DiscountRate/12,$D$16,0,'Nominal Increments'!S236,0)))</f>
        <v>0</v>
      </c>
      <c r="T236" s="151">
        <f>IF($B236="NA","NA",IF($A$18=0,0,-PV(DiscountRate/12,$D$17,0,'Nominal Increments'!T236,0)))</f>
        <v>0</v>
      </c>
    </row>
    <row r="237" spans="1:20" x14ac:dyDescent="0.2">
      <c r="A237" s="86">
        <f t="shared" si="15"/>
        <v>6515</v>
      </c>
      <c r="B237" s="142">
        <f t="shared" si="16"/>
        <v>215</v>
      </c>
      <c r="C237" s="143">
        <f t="shared" si="17"/>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50">
        <f>IF(B237="NA","NA",IF(ISNUMBER(VLOOKUP($C237,'A4 Investment'!$A$24:$G$33,7,FALSE)),VLOOKUP($C237,'A4 Investment'!$A$24:$G$33,7,FALSE)*'A4 Investment'!G$18/12,0))</f>
        <v>0</v>
      </c>
      <c r="I237" s="151">
        <f t="shared" si="18"/>
        <v>8904.1666666666661</v>
      </c>
      <c r="J237" s="159">
        <f t="shared" si="19"/>
        <v>8904.1666666666661</v>
      </c>
      <c r="K237" s="150">
        <f>IF($B237="NA","NA",-PV(DiscountRate/12,0,0,'Nominal Increments'!K237,0))</f>
        <v>8904.1666666666661</v>
      </c>
      <c r="L237" s="150">
        <f>IF($B237="NA","NA",IF($A$10=0,0,-PV(DiscountRate/12,$D$9,0,'Nominal Increments'!L237,0)))</f>
        <v>0</v>
      </c>
      <c r="M237" s="150">
        <f>IF($B237="NA","NA",IF($A$11=0,0,-PV(DiscountRate/12,$D$10,0,'Nominal Increments'!M237,0)))</f>
        <v>0</v>
      </c>
      <c r="N237" s="150">
        <f>IF($B237="NA","NA",IF($A$12=0,0,-PV(DiscountRate/12,$D$11,0,'Nominal Increments'!N237,0)))</f>
        <v>0</v>
      </c>
      <c r="O237" s="150">
        <f>IF($B237="NA","NA",IF($A$13=0,0,-PV(DiscountRate/12,$D$12,0,'Nominal Increments'!O237,0)))</f>
        <v>0</v>
      </c>
      <c r="P237" s="150">
        <f>IF($B237="NA","NA",IF($A$14=0,0,-PV(DiscountRate/12,$D$13,0,'Nominal Increments'!P237,0)))</f>
        <v>0</v>
      </c>
      <c r="Q237" s="150">
        <f>IF($B237="NA","NA",IF($A$15=0,0,-PV(DiscountRate/12,$D$14,0,'Nominal Increments'!Q237,0)))</f>
        <v>0</v>
      </c>
      <c r="R237" s="150">
        <f>IF($B237="NA","NA",IF($A$16=0,0,-PV(DiscountRate/12,$D$15,0,'Nominal Increments'!R237,0)))</f>
        <v>0</v>
      </c>
      <c r="S237" s="150">
        <f>IF($B237="NA","NA",IF($A$17=0,0,-PV(DiscountRate/12,$D$16,0,'Nominal Increments'!S237,0)))</f>
        <v>0</v>
      </c>
      <c r="T237" s="151">
        <f>IF($B237="NA","NA",IF($A$18=0,0,-PV(DiscountRate/12,$D$17,0,'Nominal Increments'!T237,0)))</f>
        <v>0</v>
      </c>
    </row>
    <row r="238" spans="1:20" x14ac:dyDescent="0.2">
      <c r="A238" s="86">
        <f t="shared" si="15"/>
        <v>6545</v>
      </c>
      <c r="B238" s="142">
        <f t="shared" si="16"/>
        <v>216</v>
      </c>
      <c r="C238" s="143">
        <f t="shared" si="17"/>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50">
        <f>IF(B238="NA","NA",IF(ISNUMBER(VLOOKUP($C238,'A4 Investment'!$A$24:$G$33,7,FALSE)),VLOOKUP($C238,'A4 Investment'!$A$24:$G$33,7,FALSE)*'A4 Investment'!G$18/12,0))</f>
        <v>0</v>
      </c>
      <c r="I238" s="151">
        <f t="shared" si="18"/>
        <v>8904.1666666666661</v>
      </c>
      <c r="J238" s="159">
        <f t="shared" si="19"/>
        <v>8904.1666666666661</v>
      </c>
      <c r="K238" s="150">
        <f>IF($B238="NA","NA",-PV(DiscountRate/12,0,0,'Nominal Increments'!K238,0))</f>
        <v>8904.1666666666661</v>
      </c>
      <c r="L238" s="150">
        <f>IF($B238="NA","NA",IF($A$10=0,0,-PV(DiscountRate/12,$D$9,0,'Nominal Increments'!L238,0)))</f>
        <v>0</v>
      </c>
      <c r="M238" s="150">
        <f>IF($B238="NA","NA",IF($A$11=0,0,-PV(DiscountRate/12,$D$10,0,'Nominal Increments'!M238,0)))</f>
        <v>0</v>
      </c>
      <c r="N238" s="150">
        <f>IF($B238="NA","NA",IF($A$12=0,0,-PV(DiscountRate/12,$D$11,0,'Nominal Increments'!N238,0)))</f>
        <v>0</v>
      </c>
      <c r="O238" s="150">
        <f>IF($B238="NA","NA",IF($A$13=0,0,-PV(DiscountRate/12,$D$12,0,'Nominal Increments'!O238,0)))</f>
        <v>0</v>
      </c>
      <c r="P238" s="150">
        <f>IF($B238="NA","NA",IF($A$14=0,0,-PV(DiscountRate/12,$D$13,0,'Nominal Increments'!P238,0)))</f>
        <v>0</v>
      </c>
      <c r="Q238" s="150">
        <f>IF($B238="NA","NA",IF($A$15=0,0,-PV(DiscountRate/12,$D$14,0,'Nominal Increments'!Q238,0)))</f>
        <v>0</v>
      </c>
      <c r="R238" s="150">
        <f>IF($B238="NA","NA",IF($A$16=0,0,-PV(DiscountRate/12,$D$15,0,'Nominal Increments'!R238,0)))</f>
        <v>0</v>
      </c>
      <c r="S238" s="150">
        <f>IF($B238="NA","NA",IF($A$17=0,0,-PV(DiscountRate/12,$D$16,0,'Nominal Increments'!S238,0)))</f>
        <v>0</v>
      </c>
      <c r="T238" s="151">
        <f>IF($B238="NA","NA",IF($A$18=0,0,-PV(DiscountRate/12,$D$17,0,'Nominal Increments'!T238,0)))</f>
        <v>0</v>
      </c>
    </row>
    <row r="239" spans="1:20" x14ac:dyDescent="0.2">
      <c r="A239" s="86">
        <f t="shared" si="15"/>
        <v>6576</v>
      </c>
      <c r="B239" s="142">
        <f t="shared" si="16"/>
        <v>217</v>
      </c>
      <c r="C239" s="143">
        <f t="shared" si="17"/>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50">
        <f>IF(B239="NA","NA",IF(ISNUMBER(VLOOKUP($C239,'A4 Investment'!$A$24:$G$33,7,FALSE)),VLOOKUP($C239,'A4 Investment'!$A$24:$G$33,7,FALSE)*'A4 Investment'!G$18/12,0))</f>
        <v>0</v>
      </c>
      <c r="I239" s="151">
        <f t="shared" si="18"/>
        <v>8904.1666666666661</v>
      </c>
      <c r="J239" s="159">
        <f t="shared" si="19"/>
        <v>8904.1666666666661</v>
      </c>
      <c r="K239" s="150">
        <f>IF($B239="NA","NA",-PV(DiscountRate/12,0,0,'Nominal Increments'!K239,0))</f>
        <v>8904.1666666666661</v>
      </c>
      <c r="L239" s="150">
        <f>IF($B239="NA","NA",IF($A$10=0,0,-PV(DiscountRate/12,$D$9,0,'Nominal Increments'!L239,0)))</f>
        <v>0</v>
      </c>
      <c r="M239" s="150">
        <f>IF($B239="NA","NA",IF($A$11=0,0,-PV(DiscountRate/12,$D$10,0,'Nominal Increments'!M239,0)))</f>
        <v>0</v>
      </c>
      <c r="N239" s="150">
        <f>IF($B239="NA","NA",IF($A$12=0,0,-PV(DiscountRate/12,$D$11,0,'Nominal Increments'!N239,0)))</f>
        <v>0</v>
      </c>
      <c r="O239" s="150">
        <f>IF($B239="NA","NA",IF($A$13=0,0,-PV(DiscountRate/12,$D$12,0,'Nominal Increments'!O239,0)))</f>
        <v>0</v>
      </c>
      <c r="P239" s="150">
        <f>IF($B239="NA","NA",IF($A$14=0,0,-PV(DiscountRate/12,$D$13,0,'Nominal Increments'!P239,0)))</f>
        <v>0</v>
      </c>
      <c r="Q239" s="150">
        <f>IF($B239="NA","NA",IF($A$15=0,0,-PV(DiscountRate/12,$D$14,0,'Nominal Increments'!Q239,0)))</f>
        <v>0</v>
      </c>
      <c r="R239" s="150">
        <f>IF($B239="NA","NA",IF($A$16=0,0,-PV(DiscountRate/12,$D$15,0,'Nominal Increments'!R239,0)))</f>
        <v>0</v>
      </c>
      <c r="S239" s="150">
        <f>IF($B239="NA","NA",IF($A$17=0,0,-PV(DiscountRate/12,$D$16,0,'Nominal Increments'!S239,0)))</f>
        <v>0</v>
      </c>
      <c r="T239" s="151">
        <f>IF($B239="NA","NA",IF($A$18=0,0,-PV(DiscountRate/12,$D$17,0,'Nominal Increments'!T239,0)))</f>
        <v>0</v>
      </c>
    </row>
    <row r="240" spans="1:20" x14ac:dyDescent="0.2">
      <c r="A240" s="86">
        <f t="shared" si="15"/>
        <v>6607</v>
      </c>
      <c r="B240" s="142">
        <f t="shared" si="16"/>
        <v>218</v>
      </c>
      <c r="C240" s="143">
        <f t="shared" si="17"/>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50">
        <f>IF(B240="NA","NA",IF(ISNUMBER(VLOOKUP($C240,'A4 Investment'!$A$24:$G$33,7,FALSE)),VLOOKUP($C240,'A4 Investment'!$A$24:$G$33,7,FALSE)*'A4 Investment'!G$18/12,0))</f>
        <v>0</v>
      </c>
      <c r="I240" s="151">
        <f t="shared" si="18"/>
        <v>8904.1666666666661</v>
      </c>
      <c r="J240" s="159">
        <f t="shared" si="19"/>
        <v>8904.1666666666661</v>
      </c>
      <c r="K240" s="150">
        <f>IF($B240="NA","NA",-PV(DiscountRate/12,0,0,'Nominal Increments'!K240,0))</f>
        <v>8904.1666666666661</v>
      </c>
      <c r="L240" s="150">
        <f>IF($B240="NA","NA",IF($A$10=0,0,-PV(DiscountRate/12,$D$9,0,'Nominal Increments'!L240,0)))</f>
        <v>0</v>
      </c>
      <c r="M240" s="150">
        <f>IF($B240="NA","NA",IF($A$11=0,0,-PV(DiscountRate/12,$D$10,0,'Nominal Increments'!M240,0)))</f>
        <v>0</v>
      </c>
      <c r="N240" s="150">
        <f>IF($B240="NA","NA",IF($A$12=0,0,-PV(DiscountRate/12,$D$11,0,'Nominal Increments'!N240,0)))</f>
        <v>0</v>
      </c>
      <c r="O240" s="150">
        <f>IF($B240="NA","NA",IF($A$13=0,0,-PV(DiscountRate/12,$D$12,0,'Nominal Increments'!O240,0)))</f>
        <v>0</v>
      </c>
      <c r="P240" s="150">
        <f>IF($B240="NA","NA",IF($A$14=0,0,-PV(DiscountRate/12,$D$13,0,'Nominal Increments'!P240,0)))</f>
        <v>0</v>
      </c>
      <c r="Q240" s="150">
        <f>IF($B240="NA","NA",IF($A$15=0,0,-PV(DiscountRate/12,$D$14,0,'Nominal Increments'!Q240,0)))</f>
        <v>0</v>
      </c>
      <c r="R240" s="150">
        <f>IF($B240="NA","NA",IF($A$16=0,0,-PV(DiscountRate/12,$D$15,0,'Nominal Increments'!R240,0)))</f>
        <v>0</v>
      </c>
      <c r="S240" s="150">
        <f>IF($B240="NA","NA",IF($A$17=0,0,-PV(DiscountRate/12,$D$16,0,'Nominal Increments'!S240,0)))</f>
        <v>0</v>
      </c>
      <c r="T240" s="151">
        <f>IF($B240="NA","NA",IF($A$18=0,0,-PV(DiscountRate/12,$D$17,0,'Nominal Increments'!T240,0)))</f>
        <v>0</v>
      </c>
    </row>
    <row r="241" spans="1:20" x14ac:dyDescent="0.2">
      <c r="A241" s="86">
        <f t="shared" si="15"/>
        <v>6635</v>
      </c>
      <c r="B241" s="142">
        <f t="shared" si="16"/>
        <v>219</v>
      </c>
      <c r="C241" s="143">
        <f t="shared" si="17"/>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50">
        <f>IF(B241="NA","NA",IF(ISNUMBER(VLOOKUP($C241,'A4 Investment'!$A$24:$G$33,7,FALSE)),VLOOKUP($C241,'A4 Investment'!$A$24:$G$33,7,FALSE)*'A4 Investment'!G$18/12,0))</f>
        <v>0</v>
      </c>
      <c r="I241" s="151">
        <f t="shared" si="18"/>
        <v>8904.1666666666661</v>
      </c>
      <c r="J241" s="159">
        <f t="shared" si="19"/>
        <v>8904.1666666666661</v>
      </c>
      <c r="K241" s="150">
        <f>IF($B241="NA","NA",-PV(DiscountRate/12,0,0,'Nominal Increments'!K241,0))</f>
        <v>8904.1666666666661</v>
      </c>
      <c r="L241" s="150">
        <f>IF($B241="NA","NA",IF($A$10=0,0,-PV(DiscountRate/12,$D$9,0,'Nominal Increments'!L241,0)))</f>
        <v>0</v>
      </c>
      <c r="M241" s="150">
        <f>IF($B241="NA","NA",IF($A$11=0,0,-PV(DiscountRate/12,$D$10,0,'Nominal Increments'!M241,0)))</f>
        <v>0</v>
      </c>
      <c r="N241" s="150">
        <f>IF($B241="NA","NA",IF($A$12=0,0,-PV(DiscountRate/12,$D$11,0,'Nominal Increments'!N241,0)))</f>
        <v>0</v>
      </c>
      <c r="O241" s="150">
        <f>IF($B241="NA","NA",IF($A$13=0,0,-PV(DiscountRate/12,$D$12,0,'Nominal Increments'!O241,0)))</f>
        <v>0</v>
      </c>
      <c r="P241" s="150">
        <f>IF($B241="NA","NA",IF($A$14=0,0,-PV(DiscountRate/12,$D$13,0,'Nominal Increments'!P241,0)))</f>
        <v>0</v>
      </c>
      <c r="Q241" s="150">
        <f>IF($B241="NA","NA",IF($A$15=0,0,-PV(DiscountRate/12,$D$14,0,'Nominal Increments'!Q241,0)))</f>
        <v>0</v>
      </c>
      <c r="R241" s="150">
        <f>IF($B241="NA","NA",IF($A$16=0,0,-PV(DiscountRate/12,$D$15,0,'Nominal Increments'!R241,0)))</f>
        <v>0</v>
      </c>
      <c r="S241" s="150">
        <f>IF($B241="NA","NA",IF($A$17=0,0,-PV(DiscountRate/12,$D$16,0,'Nominal Increments'!S241,0)))</f>
        <v>0</v>
      </c>
      <c r="T241" s="151">
        <f>IF($B241="NA","NA",IF($A$18=0,0,-PV(DiscountRate/12,$D$17,0,'Nominal Increments'!T241,0)))</f>
        <v>0</v>
      </c>
    </row>
    <row r="242" spans="1:20" x14ac:dyDescent="0.2">
      <c r="A242" s="86">
        <f t="shared" si="15"/>
        <v>6666</v>
      </c>
      <c r="B242" s="142">
        <f t="shared" si="16"/>
        <v>220</v>
      </c>
      <c r="C242" s="143">
        <f t="shared" si="17"/>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50">
        <f>IF(B242="NA","NA",IF(ISNUMBER(VLOOKUP($C242,'A4 Investment'!$A$24:$G$33,7,FALSE)),VLOOKUP($C242,'A4 Investment'!$A$24:$G$33,7,FALSE)*'A4 Investment'!G$18/12,0))</f>
        <v>0</v>
      </c>
      <c r="I242" s="151">
        <f t="shared" si="18"/>
        <v>8904.1666666666661</v>
      </c>
      <c r="J242" s="159">
        <f t="shared" si="19"/>
        <v>8904.1666666666661</v>
      </c>
      <c r="K242" s="150">
        <f>IF($B242="NA","NA",-PV(DiscountRate/12,0,0,'Nominal Increments'!K242,0))</f>
        <v>8904.1666666666661</v>
      </c>
      <c r="L242" s="150">
        <f>IF($B242="NA","NA",IF($A$10=0,0,-PV(DiscountRate/12,$D$9,0,'Nominal Increments'!L242,0)))</f>
        <v>0</v>
      </c>
      <c r="M242" s="150">
        <f>IF($B242="NA","NA",IF($A$11=0,0,-PV(DiscountRate/12,$D$10,0,'Nominal Increments'!M242,0)))</f>
        <v>0</v>
      </c>
      <c r="N242" s="150">
        <f>IF($B242="NA","NA",IF($A$12=0,0,-PV(DiscountRate/12,$D$11,0,'Nominal Increments'!N242,0)))</f>
        <v>0</v>
      </c>
      <c r="O242" s="150">
        <f>IF($B242="NA","NA",IF($A$13=0,0,-PV(DiscountRate/12,$D$12,0,'Nominal Increments'!O242,0)))</f>
        <v>0</v>
      </c>
      <c r="P242" s="150">
        <f>IF($B242="NA","NA",IF($A$14=0,0,-PV(DiscountRate/12,$D$13,0,'Nominal Increments'!P242,0)))</f>
        <v>0</v>
      </c>
      <c r="Q242" s="150">
        <f>IF($B242="NA","NA",IF($A$15=0,0,-PV(DiscountRate/12,$D$14,0,'Nominal Increments'!Q242,0)))</f>
        <v>0</v>
      </c>
      <c r="R242" s="150">
        <f>IF($B242="NA","NA",IF($A$16=0,0,-PV(DiscountRate/12,$D$15,0,'Nominal Increments'!R242,0)))</f>
        <v>0</v>
      </c>
      <c r="S242" s="150">
        <f>IF($B242="NA","NA",IF($A$17=0,0,-PV(DiscountRate/12,$D$16,0,'Nominal Increments'!S242,0)))</f>
        <v>0</v>
      </c>
      <c r="T242" s="151">
        <f>IF($B242="NA","NA",IF($A$18=0,0,-PV(DiscountRate/12,$D$17,0,'Nominal Increments'!T242,0)))</f>
        <v>0</v>
      </c>
    </row>
    <row r="243" spans="1:20" x14ac:dyDescent="0.2">
      <c r="A243" s="86">
        <f t="shared" si="15"/>
        <v>6696</v>
      </c>
      <c r="B243" s="142">
        <f t="shared" si="16"/>
        <v>221</v>
      </c>
      <c r="C243" s="143">
        <f t="shared" si="17"/>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50">
        <f>IF(B243="NA","NA",IF(ISNUMBER(VLOOKUP($C243,'A4 Investment'!$A$24:$G$33,7,FALSE)),VLOOKUP($C243,'A4 Investment'!$A$24:$G$33,7,FALSE)*'A4 Investment'!G$18/12,0))</f>
        <v>0</v>
      </c>
      <c r="I243" s="151">
        <f t="shared" si="18"/>
        <v>8904.1666666666661</v>
      </c>
      <c r="J243" s="159">
        <f t="shared" si="19"/>
        <v>8904.1666666666661</v>
      </c>
      <c r="K243" s="150">
        <f>IF($B243="NA","NA",-PV(DiscountRate/12,0,0,'Nominal Increments'!K243,0))</f>
        <v>8904.1666666666661</v>
      </c>
      <c r="L243" s="150">
        <f>IF($B243="NA","NA",IF($A$10=0,0,-PV(DiscountRate/12,$D$9,0,'Nominal Increments'!L243,0)))</f>
        <v>0</v>
      </c>
      <c r="M243" s="150">
        <f>IF($B243="NA","NA",IF($A$11=0,0,-PV(DiscountRate/12,$D$10,0,'Nominal Increments'!M243,0)))</f>
        <v>0</v>
      </c>
      <c r="N243" s="150">
        <f>IF($B243="NA","NA",IF($A$12=0,0,-PV(DiscountRate/12,$D$11,0,'Nominal Increments'!N243,0)))</f>
        <v>0</v>
      </c>
      <c r="O243" s="150">
        <f>IF($B243="NA","NA",IF($A$13=0,0,-PV(DiscountRate/12,$D$12,0,'Nominal Increments'!O243,0)))</f>
        <v>0</v>
      </c>
      <c r="P243" s="150">
        <f>IF($B243="NA","NA",IF($A$14=0,0,-PV(DiscountRate/12,$D$13,0,'Nominal Increments'!P243,0)))</f>
        <v>0</v>
      </c>
      <c r="Q243" s="150">
        <f>IF($B243="NA","NA",IF($A$15=0,0,-PV(DiscountRate/12,$D$14,0,'Nominal Increments'!Q243,0)))</f>
        <v>0</v>
      </c>
      <c r="R243" s="150">
        <f>IF($B243="NA","NA",IF($A$16=0,0,-PV(DiscountRate/12,$D$15,0,'Nominal Increments'!R243,0)))</f>
        <v>0</v>
      </c>
      <c r="S243" s="150">
        <f>IF($B243="NA","NA",IF($A$17=0,0,-PV(DiscountRate/12,$D$16,0,'Nominal Increments'!S243,0)))</f>
        <v>0</v>
      </c>
      <c r="T243" s="151">
        <f>IF($B243="NA","NA",IF($A$18=0,0,-PV(DiscountRate/12,$D$17,0,'Nominal Increments'!T243,0)))</f>
        <v>0</v>
      </c>
    </row>
    <row r="244" spans="1:20" x14ac:dyDescent="0.2">
      <c r="A244" s="86">
        <f t="shared" si="15"/>
        <v>6727</v>
      </c>
      <c r="B244" s="142">
        <f t="shared" si="16"/>
        <v>222</v>
      </c>
      <c r="C244" s="143">
        <f t="shared" si="17"/>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50">
        <f>IF(B244="NA","NA",IF(ISNUMBER(VLOOKUP($C244,'A4 Investment'!$A$24:$G$33,7,FALSE)),VLOOKUP($C244,'A4 Investment'!$A$24:$G$33,7,FALSE)*'A4 Investment'!G$18/12,0))</f>
        <v>0</v>
      </c>
      <c r="I244" s="151">
        <f t="shared" si="18"/>
        <v>8904.1666666666661</v>
      </c>
      <c r="J244" s="159">
        <f t="shared" si="19"/>
        <v>8904.1666666666661</v>
      </c>
      <c r="K244" s="150">
        <f>IF($B244="NA","NA",-PV(DiscountRate/12,0,0,'Nominal Increments'!K244,0))</f>
        <v>8904.1666666666661</v>
      </c>
      <c r="L244" s="150">
        <f>IF($B244="NA","NA",IF($A$10=0,0,-PV(DiscountRate/12,$D$9,0,'Nominal Increments'!L244,0)))</f>
        <v>0</v>
      </c>
      <c r="M244" s="150">
        <f>IF($B244="NA","NA",IF($A$11=0,0,-PV(DiscountRate/12,$D$10,0,'Nominal Increments'!M244,0)))</f>
        <v>0</v>
      </c>
      <c r="N244" s="150">
        <f>IF($B244="NA","NA",IF($A$12=0,0,-PV(DiscountRate/12,$D$11,0,'Nominal Increments'!N244,0)))</f>
        <v>0</v>
      </c>
      <c r="O244" s="150">
        <f>IF($B244="NA","NA",IF($A$13=0,0,-PV(DiscountRate/12,$D$12,0,'Nominal Increments'!O244,0)))</f>
        <v>0</v>
      </c>
      <c r="P244" s="150">
        <f>IF($B244="NA","NA",IF($A$14=0,0,-PV(DiscountRate/12,$D$13,0,'Nominal Increments'!P244,0)))</f>
        <v>0</v>
      </c>
      <c r="Q244" s="150">
        <f>IF($B244="NA","NA",IF($A$15=0,0,-PV(DiscountRate/12,$D$14,0,'Nominal Increments'!Q244,0)))</f>
        <v>0</v>
      </c>
      <c r="R244" s="150">
        <f>IF($B244="NA","NA",IF($A$16=0,0,-PV(DiscountRate/12,$D$15,0,'Nominal Increments'!R244,0)))</f>
        <v>0</v>
      </c>
      <c r="S244" s="150">
        <f>IF($B244="NA","NA",IF($A$17=0,0,-PV(DiscountRate/12,$D$16,0,'Nominal Increments'!S244,0)))</f>
        <v>0</v>
      </c>
      <c r="T244" s="151">
        <f>IF($B244="NA","NA",IF($A$18=0,0,-PV(DiscountRate/12,$D$17,0,'Nominal Increments'!T244,0)))</f>
        <v>0</v>
      </c>
    </row>
    <row r="245" spans="1:20" x14ac:dyDescent="0.2">
      <c r="A245" s="86">
        <f t="shared" si="15"/>
        <v>6757</v>
      </c>
      <c r="B245" s="142">
        <f t="shared" si="16"/>
        <v>223</v>
      </c>
      <c r="C245" s="143">
        <f t="shared" si="17"/>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50">
        <f>IF(B245="NA","NA",IF(ISNUMBER(VLOOKUP($C245,'A4 Investment'!$A$24:$G$33,7,FALSE)),VLOOKUP($C245,'A4 Investment'!$A$24:$G$33,7,FALSE)*'A4 Investment'!G$18/12,0))</f>
        <v>0</v>
      </c>
      <c r="I245" s="151">
        <f t="shared" si="18"/>
        <v>8904.1666666666661</v>
      </c>
      <c r="J245" s="159">
        <f t="shared" si="19"/>
        <v>8904.1666666666661</v>
      </c>
      <c r="K245" s="150">
        <f>IF($B245="NA","NA",-PV(DiscountRate/12,0,0,'Nominal Increments'!K245,0))</f>
        <v>8904.1666666666661</v>
      </c>
      <c r="L245" s="150">
        <f>IF($B245="NA","NA",IF($A$10=0,0,-PV(DiscountRate/12,$D$9,0,'Nominal Increments'!L245,0)))</f>
        <v>0</v>
      </c>
      <c r="M245" s="150">
        <f>IF($B245="NA","NA",IF($A$11=0,0,-PV(DiscountRate/12,$D$10,0,'Nominal Increments'!M245,0)))</f>
        <v>0</v>
      </c>
      <c r="N245" s="150">
        <f>IF($B245="NA","NA",IF($A$12=0,0,-PV(DiscountRate/12,$D$11,0,'Nominal Increments'!N245,0)))</f>
        <v>0</v>
      </c>
      <c r="O245" s="150">
        <f>IF($B245="NA","NA",IF($A$13=0,0,-PV(DiscountRate/12,$D$12,0,'Nominal Increments'!O245,0)))</f>
        <v>0</v>
      </c>
      <c r="P245" s="150">
        <f>IF($B245="NA","NA",IF($A$14=0,0,-PV(DiscountRate/12,$D$13,0,'Nominal Increments'!P245,0)))</f>
        <v>0</v>
      </c>
      <c r="Q245" s="150">
        <f>IF($B245="NA","NA",IF($A$15=0,0,-PV(DiscountRate/12,$D$14,0,'Nominal Increments'!Q245,0)))</f>
        <v>0</v>
      </c>
      <c r="R245" s="150">
        <f>IF($B245="NA","NA",IF($A$16=0,0,-PV(DiscountRate/12,$D$15,0,'Nominal Increments'!R245,0)))</f>
        <v>0</v>
      </c>
      <c r="S245" s="150">
        <f>IF($B245="NA","NA",IF($A$17=0,0,-PV(DiscountRate/12,$D$16,0,'Nominal Increments'!S245,0)))</f>
        <v>0</v>
      </c>
      <c r="T245" s="151">
        <f>IF($B245="NA","NA",IF($A$18=0,0,-PV(DiscountRate/12,$D$17,0,'Nominal Increments'!T245,0)))</f>
        <v>0</v>
      </c>
    </row>
    <row r="246" spans="1:20" x14ac:dyDescent="0.2">
      <c r="A246" s="86">
        <f t="shared" si="15"/>
        <v>6788</v>
      </c>
      <c r="B246" s="142">
        <f t="shared" si="16"/>
        <v>224</v>
      </c>
      <c r="C246" s="143">
        <f t="shared" si="17"/>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50">
        <f>IF(B246="NA","NA",IF(ISNUMBER(VLOOKUP($C246,'A4 Investment'!$A$24:$G$33,7,FALSE)),VLOOKUP($C246,'A4 Investment'!$A$24:$G$33,7,FALSE)*'A4 Investment'!G$18/12,0))</f>
        <v>0</v>
      </c>
      <c r="I246" s="151">
        <f t="shared" si="18"/>
        <v>8904.1666666666661</v>
      </c>
      <c r="J246" s="159">
        <f t="shared" si="19"/>
        <v>8904.1666666666661</v>
      </c>
      <c r="K246" s="150">
        <f>IF($B246="NA","NA",-PV(DiscountRate/12,0,0,'Nominal Increments'!K246,0))</f>
        <v>8904.1666666666661</v>
      </c>
      <c r="L246" s="150">
        <f>IF($B246="NA","NA",IF($A$10=0,0,-PV(DiscountRate/12,$D$9,0,'Nominal Increments'!L246,0)))</f>
        <v>0</v>
      </c>
      <c r="M246" s="150">
        <f>IF($B246="NA","NA",IF($A$11=0,0,-PV(DiscountRate/12,$D$10,0,'Nominal Increments'!M246,0)))</f>
        <v>0</v>
      </c>
      <c r="N246" s="150">
        <f>IF($B246="NA","NA",IF($A$12=0,0,-PV(DiscountRate/12,$D$11,0,'Nominal Increments'!N246,0)))</f>
        <v>0</v>
      </c>
      <c r="O246" s="150">
        <f>IF($B246="NA","NA",IF($A$13=0,0,-PV(DiscountRate/12,$D$12,0,'Nominal Increments'!O246,0)))</f>
        <v>0</v>
      </c>
      <c r="P246" s="150">
        <f>IF($B246="NA","NA",IF($A$14=0,0,-PV(DiscountRate/12,$D$13,0,'Nominal Increments'!P246,0)))</f>
        <v>0</v>
      </c>
      <c r="Q246" s="150">
        <f>IF($B246="NA","NA",IF($A$15=0,0,-PV(DiscountRate/12,$D$14,0,'Nominal Increments'!Q246,0)))</f>
        <v>0</v>
      </c>
      <c r="R246" s="150">
        <f>IF($B246="NA","NA",IF($A$16=0,0,-PV(DiscountRate/12,$D$15,0,'Nominal Increments'!R246,0)))</f>
        <v>0</v>
      </c>
      <c r="S246" s="150">
        <f>IF($B246="NA","NA",IF($A$17=0,0,-PV(DiscountRate/12,$D$16,0,'Nominal Increments'!S246,0)))</f>
        <v>0</v>
      </c>
      <c r="T246" s="151">
        <f>IF($B246="NA","NA",IF($A$18=0,0,-PV(DiscountRate/12,$D$17,0,'Nominal Increments'!T246,0)))</f>
        <v>0</v>
      </c>
    </row>
    <row r="247" spans="1:20" x14ac:dyDescent="0.2">
      <c r="A247" s="86">
        <f t="shared" si="15"/>
        <v>6819</v>
      </c>
      <c r="B247" s="142">
        <f t="shared" si="16"/>
        <v>225</v>
      </c>
      <c r="C247" s="143">
        <f t="shared" si="17"/>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50">
        <f>IF(B247="NA","NA",IF(ISNUMBER(VLOOKUP($C247,'A4 Investment'!$A$24:$G$33,7,FALSE)),VLOOKUP($C247,'A4 Investment'!$A$24:$G$33,7,FALSE)*'A4 Investment'!G$18/12,0))</f>
        <v>0</v>
      </c>
      <c r="I247" s="151">
        <f t="shared" si="18"/>
        <v>8904.1666666666661</v>
      </c>
      <c r="J247" s="159">
        <f t="shared" si="19"/>
        <v>8904.1666666666661</v>
      </c>
      <c r="K247" s="150">
        <f>IF($B247="NA","NA",-PV(DiscountRate/12,0,0,'Nominal Increments'!K247,0))</f>
        <v>8904.1666666666661</v>
      </c>
      <c r="L247" s="150">
        <f>IF($B247="NA","NA",IF($A$10=0,0,-PV(DiscountRate/12,$D$9,0,'Nominal Increments'!L247,0)))</f>
        <v>0</v>
      </c>
      <c r="M247" s="150">
        <f>IF($B247="NA","NA",IF($A$11=0,0,-PV(DiscountRate/12,$D$10,0,'Nominal Increments'!M247,0)))</f>
        <v>0</v>
      </c>
      <c r="N247" s="150">
        <f>IF($B247="NA","NA",IF($A$12=0,0,-PV(DiscountRate/12,$D$11,0,'Nominal Increments'!N247,0)))</f>
        <v>0</v>
      </c>
      <c r="O247" s="150">
        <f>IF($B247="NA","NA",IF($A$13=0,0,-PV(DiscountRate/12,$D$12,0,'Nominal Increments'!O247,0)))</f>
        <v>0</v>
      </c>
      <c r="P247" s="150">
        <f>IF($B247="NA","NA",IF($A$14=0,0,-PV(DiscountRate/12,$D$13,0,'Nominal Increments'!P247,0)))</f>
        <v>0</v>
      </c>
      <c r="Q247" s="150">
        <f>IF($B247="NA","NA",IF($A$15=0,0,-PV(DiscountRate/12,$D$14,0,'Nominal Increments'!Q247,0)))</f>
        <v>0</v>
      </c>
      <c r="R247" s="150">
        <f>IF($B247="NA","NA",IF($A$16=0,0,-PV(DiscountRate/12,$D$15,0,'Nominal Increments'!R247,0)))</f>
        <v>0</v>
      </c>
      <c r="S247" s="150">
        <f>IF($B247="NA","NA",IF($A$17=0,0,-PV(DiscountRate/12,$D$16,0,'Nominal Increments'!S247,0)))</f>
        <v>0</v>
      </c>
      <c r="T247" s="151">
        <f>IF($B247="NA","NA",IF($A$18=0,0,-PV(DiscountRate/12,$D$17,0,'Nominal Increments'!T247,0)))</f>
        <v>0</v>
      </c>
    </row>
    <row r="248" spans="1:20" x14ac:dyDescent="0.2">
      <c r="A248" s="86">
        <f t="shared" si="15"/>
        <v>6849</v>
      </c>
      <c r="B248" s="142">
        <f t="shared" si="16"/>
        <v>226</v>
      </c>
      <c r="C248" s="143">
        <f t="shared" si="17"/>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50">
        <f>IF(B248="NA","NA",IF(ISNUMBER(VLOOKUP($C248,'A4 Investment'!$A$24:$G$33,7,FALSE)),VLOOKUP($C248,'A4 Investment'!$A$24:$G$33,7,FALSE)*'A4 Investment'!G$18/12,0))</f>
        <v>0</v>
      </c>
      <c r="I248" s="151">
        <f t="shared" si="18"/>
        <v>8904.1666666666661</v>
      </c>
      <c r="J248" s="159">
        <f t="shared" si="19"/>
        <v>8904.1666666666661</v>
      </c>
      <c r="K248" s="150">
        <f>IF($B248="NA","NA",-PV(DiscountRate/12,0,0,'Nominal Increments'!K248,0))</f>
        <v>8904.1666666666661</v>
      </c>
      <c r="L248" s="150">
        <f>IF($B248="NA","NA",IF($A$10=0,0,-PV(DiscountRate/12,$D$9,0,'Nominal Increments'!L248,0)))</f>
        <v>0</v>
      </c>
      <c r="M248" s="150">
        <f>IF($B248="NA","NA",IF($A$11=0,0,-PV(DiscountRate/12,$D$10,0,'Nominal Increments'!M248,0)))</f>
        <v>0</v>
      </c>
      <c r="N248" s="150">
        <f>IF($B248="NA","NA",IF($A$12=0,0,-PV(DiscountRate/12,$D$11,0,'Nominal Increments'!N248,0)))</f>
        <v>0</v>
      </c>
      <c r="O248" s="150">
        <f>IF($B248="NA","NA",IF($A$13=0,0,-PV(DiscountRate/12,$D$12,0,'Nominal Increments'!O248,0)))</f>
        <v>0</v>
      </c>
      <c r="P248" s="150">
        <f>IF($B248="NA","NA",IF($A$14=0,0,-PV(DiscountRate/12,$D$13,0,'Nominal Increments'!P248,0)))</f>
        <v>0</v>
      </c>
      <c r="Q248" s="150">
        <f>IF($B248="NA","NA",IF($A$15=0,0,-PV(DiscountRate/12,$D$14,0,'Nominal Increments'!Q248,0)))</f>
        <v>0</v>
      </c>
      <c r="R248" s="150">
        <f>IF($B248="NA","NA",IF($A$16=0,0,-PV(DiscountRate/12,$D$15,0,'Nominal Increments'!R248,0)))</f>
        <v>0</v>
      </c>
      <c r="S248" s="150">
        <f>IF($B248="NA","NA",IF($A$17=0,0,-PV(DiscountRate/12,$D$16,0,'Nominal Increments'!S248,0)))</f>
        <v>0</v>
      </c>
      <c r="T248" s="151">
        <f>IF($B248="NA","NA",IF($A$18=0,0,-PV(DiscountRate/12,$D$17,0,'Nominal Increments'!T248,0)))</f>
        <v>0</v>
      </c>
    </row>
    <row r="249" spans="1:20" x14ac:dyDescent="0.2">
      <c r="A249" s="86">
        <f t="shared" si="15"/>
        <v>6880</v>
      </c>
      <c r="B249" s="142">
        <f t="shared" si="16"/>
        <v>227</v>
      </c>
      <c r="C249" s="143">
        <f t="shared" si="17"/>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50">
        <f>IF(B249="NA","NA",IF(ISNUMBER(VLOOKUP($C249,'A4 Investment'!$A$24:$G$33,7,FALSE)),VLOOKUP($C249,'A4 Investment'!$A$24:$G$33,7,FALSE)*'A4 Investment'!G$18/12,0))</f>
        <v>0</v>
      </c>
      <c r="I249" s="151">
        <f t="shared" si="18"/>
        <v>8904.1666666666661</v>
      </c>
      <c r="J249" s="159">
        <f t="shared" si="19"/>
        <v>8904.1666666666661</v>
      </c>
      <c r="K249" s="150">
        <f>IF($B249="NA","NA",-PV(DiscountRate/12,0,0,'Nominal Increments'!K249,0))</f>
        <v>8904.1666666666661</v>
      </c>
      <c r="L249" s="150">
        <f>IF($B249="NA","NA",IF($A$10=0,0,-PV(DiscountRate/12,$D$9,0,'Nominal Increments'!L249,0)))</f>
        <v>0</v>
      </c>
      <c r="M249" s="150">
        <f>IF($B249="NA","NA",IF($A$11=0,0,-PV(DiscountRate/12,$D$10,0,'Nominal Increments'!M249,0)))</f>
        <v>0</v>
      </c>
      <c r="N249" s="150">
        <f>IF($B249="NA","NA",IF($A$12=0,0,-PV(DiscountRate/12,$D$11,0,'Nominal Increments'!N249,0)))</f>
        <v>0</v>
      </c>
      <c r="O249" s="150">
        <f>IF($B249="NA","NA",IF($A$13=0,0,-PV(DiscountRate/12,$D$12,0,'Nominal Increments'!O249,0)))</f>
        <v>0</v>
      </c>
      <c r="P249" s="150">
        <f>IF($B249="NA","NA",IF($A$14=0,0,-PV(DiscountRate/12,$D$13,0,'Nominal Increments'!P249,0)))</f>
        <v>0</v>
      </c>
      <c r="Q249" s="150">
        <f>IF($B249="NA","NA",IF($A$15=0,0,-PV(DiscountRate/12,$D$14,0,'Nominal Increments'!Q249,0)))</f>
        <v>0</v>
      </c>
      <c r="R249" s="150">
        <f>IF($B249="NA","NA",IF($A$16=0,0,-PV(DiscountRate/12,$D$15,0,'Nominal Increments'!R249,0)))</f>
        <v>0</v>
      </c>
      <c r="S249" s="150">
        <f>IF($B249="NA","NA",IF($A$17=0,0,-PV(DiscountRate/12,$D$16,0,'Nominal Increments'!S249,0)))</f>
        <v>0</v>
      </c>
      <c r="T249" s="151">
        <f>IF($B249="NA","NA",IF($A$18=0,0,-PV(DiscountRate/12,$D$17,0,'Nominal Increments'!T249,0)))</f>
        <v>0</v>
      </c>
    </row>
    <row r="250" spans="1:20" x14ac:dyDescent="0.2">
      <c r="A250" s="86">
        <f t="shared" si="15"/>
        <v>6910</v>
      </c>
      <c r="B250" s="142">
        <f t="shared" si="16"/>
        <v>228</v>
      </c>
      <c r="C250" s="143">
        <f t="shared" si="17"/>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50">
        <f>IF(B250="NA","NA",IF(ISNUMBER(VLOOKUP($C250,'A4 Investment'!$A$24:$G$33,7,FALSE)),VLOOKUP($C250,'A4 Investment'!$A$24:$G$33,7,FALSE)*'A4 Investment'!G$18/12,0))</f>
        <v>0</v>
      </c>
      <c r="I250" s="151">
        <f t="shared" si="18"/>
        <v>8904.1666666666661</v>
      </c>
      <c r="J250" s="159">
        <f t="shared" si="19"/>
        <v>8904.1666666666661</v>
      </c>
      <c r="K250" s="150">
        <f>IF($B250="NA","NA",-PV(DiscountRate/12,0,0,'Nominal Increments'!K250,0))</f>
        <v>8904.1666666666661</v>
      </c>
      <c r="L250" s="150">
        <f>IF($B250="NA","NA",IF($A$10=0,0,-PV(DiscountRate/12,$D$9,0,'Nominal Increments'!L250,0)))</f>
        <v>0</v>
      </c>
      <c r="M250" s="150">
        <f>IF($B250="NA","NA",IF($A$11=0,0,-PV(DiscountRate/12,$D$10,0,'Nominal Increments'!M250,0)))</f>
        <v>0</v>
      </c>
      <c r="N250" s="150">
        <f>IF($B250="NA","NA",IF($A$12=0,0,-PV(DiscountRate/12,$D$11,0,'Nominal Increments'!N250,0)))</f>
        <v>0</v>
      </c>
      <c r="O250" s="150">
        <f>IF($B250="NA","NA",IF($A$13=0,0,-PV(DiscountRate/12,$D$12,0,'Nominal Increments'!O250,0)))</f>
        <v>0</v>
      </c>
      <c r="P250" s="150">
        <f>IF($B250="NA","NA",IF($A$14=0,0,-PV(DiscountRate/12,$D$13,0,'Nominal Increments'!P250,0)))</f>
        <v>0</v>
      </c>
      <c r="Q250" s="150">
        <f>IF($B250="NA","NA",IF($A$15=0,0,-PV(DiscountRate/12,$D$14,0,'Nominal Increments'!Q250,0)))</f>
        <v>0</v>
      </c>
      <c r="R250" s="150">
        <f>IF($B250="NA","NA",IF($A$16=0,0,-PV(DiscountRate/12,$D$15,0,'Nominal Increments'!R250,0)))</f>
        <v>0</v>
      </c>
      <c r="S250" s="150">
        <f>IF($B250="NA","NA",IF($A$17=0,0,-PV(DiscountRate/12,$D$16,0,'Nominal Increments'!S250,0)))</f>
        <v>0</v>
      </c>
      <c r="T250" s="151">
        <f>IF($B250="NA","NA",IF($A$18=0,0,-PV(DiscountRate/12,$D$17,0,'Nominal Increments'!T250,0)))</f>
        <v>0</v>
      </c>
    </row>
    <row r="251" spans="1:20" x14ac:dyDescent="0.2">
      <c r="A251" s="86">
        <f t="shared" si="15"/>
        <v>6941</v>
      </c>
      <c r="B251" s="142">
        <f t="shared" si="16"/>
        <v>229</v>
      </c>
      <c r="C251" s="143">
        <f t="shared" si="17"/>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50">
        <f>IF(B251="NA","NA",IF(ISNUMBER(VLOOKUP($C251,'A4 Investment'!$A$24:$G$33,7,FALSE)),VLOOKUP($C251,'A4 Investment'!$A$24:$G$33,7,FALSE)*'A4 Investment'!G$18/12,0))</f>
        <v>0</v>
      </c>
      <c r="I251" s="151">
        <f t="shared" si="18"/>
        <v>8904.1666666666661</v>
      </c>
      <c r="J251" s="159">
        <f t="shared" si="19"/>
        <v>8904.1666666666661</v>
      </c>
      <c r="K251" s="150">
        <f>IF($B251="NA","NA",-PV(DiscountRate/12,0,0,'Nominal Increments'!K251,0))</f>
        <v>8904.1666666666661</v>
      </c>
      <c r="L251" s="150">
        <f>IF($B251="NA","NA",IF($A$10=0,0,-PV(DiscountRate/12,$D$9,0,'Nominal Increments'!L251,0)))</f>
        <v>0</v>
      </c>
      <c r="M251" s="150">
        <f>IF($B251="NA","NA",IF($A$11=0,0,-PV(DiscountRate/12,$D$10,0,'Nominal Increments'!M251,0)))</f>
        <v>0</v>
      </c>
      <c r="N251" s="150">
        <f>IF($B251="NA","NA",IF($A$12=0,0,-PV(DiscountRate/12,$D$11,0,'Nominal Increments'!N251,0)))</f>
        <v>0</v>
      </c>
      <c r="O251" s="150">
        <f>IF($B251="NA","NA",IF($A$13=0,0,-PV(DiscountRate/12,$D$12,0,'Nominal Increments'!O251,0)))</f>
        <v>0</v>
      </c>
      <c r="P251" s="150">
        <f>IF($B251="NA","NA",IF($A$14=0,0,-PV(DiscountRate/12,$D$13,0,'Nominal Increments'!P251,0)))</f>
        <v>0</v>
      </c>
      <c r="Q251" s="150">
        <f>IF($B251="NA","NA",IF($A$15=0,0,-PV(DiscountRate/12,$D$14,0,'Nominal Increments'!Q251,0)))</f>
        <v>0</v>
      </c>
      <c r="R251" s="150">
        <f>IF($B251="NA","NA",IF($A$16=0,0,-PV(DiscountRate/12,$D$15,0,'Nominal Increments'!R251,0)))</f>
        <v>0</v>
      </c>
      <c r="S251" s="150">
        <f>IF($B251="NA","NA",IF($A$17=0,0,-PV(DiscountRate/12,$D$16,0,'Nominal Increments'!S251,0)))</f>
        <v>0</v>
      </c>
      <c r="T251" s="151">
        <f>IF($B251="NA","NA",IF($A$18=0,0,-PV(DiscountRate/12,$D$17,0,'Nominal Increments'!T251,0)))</f>
        <v>0</v>
      </c>
    </row>
    <row r="252" spans="1:20" x14ac:dyDescent="0.2">
      <c r="A252" s="86">
        <f t="shared" si="15"/>
        <v>6972</v>
      </c>
      <c r="B252" s="142">
        <f t="shared" si="16"/>
        <v>230</v>
      </c>
      <c r="C252" s="143">
        <f t="shared" si="17"/>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50">
        <f>IF(B252="NA","NA",IF(ISNUMBER(VLOOKUP($C252,'A4 Investment'!$A$24:$G$33,7,FALSE)),VLOOKUP($C252,'A4 Investment'!$A$24:$G$33,7,FALSE)*'A4 Investment'!G$18/12,0))</f>
        <v>0</v>
      </c>
      <c r="I252" s="151">
        <f t="shared" si="18"/>
        <v>8904.1666666666661</v>
      </c>
      <c r="J252" s="159">
        <f t="shared" si="19"/>
        <v>8904.1666666666661</v>
      </c>
      <c r="K252" s="150">
        <f>IF($B252="NA","NA",-PV(DiscountRate/12,0,0,'Nominal Increments'!K252,0))</f>
        <v>8904.1666666666661</v>
      </c>
      <c r="L252" s="150">
        <f>IF($B252="NA","NA",IF($A$10=0,0,-PV(DiscountRate/12,$D$9,0,'Nominal Increments'!L252,0)))</f>
        <v>0</v>
      </c>
      <c r="M252" s="150">
        <f>IF($B252="NA","NA",IF($A$11=0,0,-PV(DiscountRate/12,$D$10,0,'Nominal Increments'!M252,0)))</f>
        <v>0</v>
      </c>
      <c r="N252" s="150">
        <f>IF($B252="NA","NA",IF($A$12=0,0,-PV(DiscountRate/12,$D$11,0,'Nominal Increments'!N252,0)))</f>
        <v>0</v>
      </c>
      <c r="O252" s="150">
        <f>IF($B252="NA","NA",IF($A$13=0,0,-PV(DiscountRate/12,$D$12,0,'Nominal Increments'!O252,0)))</f>
        <v>0</v>
      </c>
      <c r="P252" s="150">
        <f>IF($B252="NA","NA",IF($A$14=0,0,-PV(DiscountRate/12,$D$13,0,'Nominal Increments'!P252,0)))</f>
        <v>0</v>
      </c>
      <c r="Q252" s="150">
        <f>IF($B252="NA","NA",IF($A$15=0,0,-PV(DiscountRate/12,$D$14,0,'Nominal Increments'!Q252,0)))</f>
        <v>0</v>
      </c>
      <c r="R252" s="150">
        <f>IF($B252="NA","NA",IF($A$16=0,0,-PV(DiscountRate/12,$D$15,0,'Nominal Increments'!R252,0)))</f>
        <v>0</v>
      </c>
      <c r="S252" s="150">
        <f>IF($B252="NA","NA",IF($A$17=0,0,-PV(DiscountRate/12,$D$16,0,'Nominal Increments'!S252,0)))</f>
        <v>0</v>
      </c>
      <c r="T252" s="151">
        <f>IF($B252="NA","NA",IF($A$18=0,0,-PV(DiscountRate/12,$D$17,0,'Nominal Increments'!T252,0)))</f>
        <v>0</v>
      </c>
    </row>
    <row r="253" spans="1:20" x14ac:dyDescent="0.2">
      <c r="A253" s="86">
        <f t="shared" si="15"/>
        <v>7000</v>
      </c>
      <c r="B253" s="142">
        <f t="shared" si="16"/>
        <v>231</v>
      </c>
      <c r="C253" s="143">
        <f t="shared" si="17"/>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50">
        <f>IF(B253="NA","NA",IF(ISNUMBER(VLOOKUP($C253,'A4 Investment'!$A$24:$G$33,7,FALSE)),VLOOKUP($C253,'A4 Investment'!$A$24:$G$33,7,FALSE)*'A4 Investment'!G$18/12,0))</f>
        <v>0</v>
      </c>
      <c r="I253" s="151">
        <f t="shared" si="18"/>
        <v>8904.1666666666661</v>
      </c>
      <c r="J253" s="159">
        <f t="shared" si="19"/>
        <v>8904.1666666666661</v>
      </c>
      <c r="K253" s="150">
        <f>IF($B253="NA","NA",-PV(DiscountRate/12,0,0,'Nominal Increments'!K253,0))</f>
        <v>8904.1666666666661</v>
      </c>
      <c r="L253" s="150">
        <f>IF($B253="NA","NA",IF($A$10=0,0,-PV(DiscountRate/12,$D$9,0,'Nominal Increments'!L253,0)))</f>
        <v>0</v>
      </c>
      <c r="M253" s="150">
        <f>IF($B253="NA","NA",IF($A$11=0,0,-PV(DiscountRate/12,$D$10,0,'Nominal Increments'!M253,0)))</f>
        <v>0</v>
      </c>
      <c r="N253" s="150">
        <f>IF($B253="NA","NA",IF($A$12=0,0,-PV(DiscountRate/12,$D$11,0,'Nominal Increments'!N253,0)))</f>
        <v>0</v>
      </c>
      <c r="O253" s="150">
        <f>IF($B253="NA","NA",IF($A$13=0,0,-PV(DiscountRate/12,$D$12,0,'Nominal Increments'!O253,0)))</f>
        <v>0</v>
      </c>
      <c r="P253" s="150">
        <f>IF($B253="NA","NA",IF($A$14=0,0,-PV(DiscountRate/12,$D$13,0,'Nominal Increments'!P253,0)))</f>
        <v>0</v>
      </c>
      <c r="Q253" s="150">
        <f>IF($B253="NA","NA",IF($A$15=0,0,-PV(DiscountRate/12,$D$14,0,'Nominal Increments'!Q253,0)))</f>
        <v>0</v>
      </c>
      <c r="R253" s="150">
        <f>IF($B253="NA","NA",IF($A$16=0,0,-PV(DiscountRate/12,$D$15,0,'Nominal Increments'!R253,0)))</f>
        <v>0</v>
      </c>
      <c r="S253" s="150">
        <f>IF($B253="NA","NA",IF($A$17=0,0,-PV(DiscountRate/12,$D$16,0,'Nominal Increments'!S253,0)))</f>
        <v>0</v>
      </c>
      <c r="T253" s="151">
        <f>IF($B253="NA","NA",IF($A$18=0,0,-PV(DiscountRate/12,$D$17,0,'Nominal Increments'!T253,0)))</f>
        <v>0</v>
      </c>
    </row>
    <row r="254" spans="1:20" x14ac:dyDescent="0.2">
      <c r="A254" s="86">
        <f t="shared" si="15"/>
        <v>7031</v>
      </c>
      <c r="B254" s="142">
        <f t="shared" si="16"/>
        <v>232</v>
      </c>
      <c r="C254" s="143">
        <f t="shared" si="17"/>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50">
        <f>IF(B254="NA","NA",IF(ISNUMBER(VLOOKUP($C254,'A4 Investment'!$A$24:$G$33,7,FALSE)),VLOOKUP($C254,'A4 Investment'!$A$24:$G$33,7,FALSE)*'A4 Investment'!G$18/12,0))</f>
        <v>0</v>
      </c>
      <c r="I254" s="151">
        <f t="shared" si="18"/>
        <v>8904.1666666666661</v>
      </c>
      <c r="J254" s="159">
        <f t="shared" si="19"/>
        <v>8904.1666666666661</v>
      </c>
      <c r="K254" s="150">
        <f>IF($B254="NA","NA",-PV(DiscountRate/12,0,0,'Nominal Increments'!K254,0))</f>
        <v>8904.1666666666661</v>
      </c>
      <c r="L254" s="150">
        <f>IF($B254="NA","NA",IF($A$10=0,0,-PV(DiscountRate/12,$D$9,0,'Nominal Increments'!L254,0)))</f>
        <v>0</v>
      </c>
      <c r="M254" s="150">
        <f>IF($B254="NA","NA",IF($A$11=0,0,-PV(DiscountRate/12,$D$10,0,'Nominal Increments'!M254,0)))</f>
        <v>0</v>
      </c>
      <c r="N254" s="150">
        <f>IF($B254="NA","NA",IF($A$12=0,0,-PV(DiscountRate/12,$D$11,0,'Nominal Increments'!N254,0)))</f>
        <v>0</v>
      </c>
      <c r="O254" s="150">
        <f>IF($B254="NA","NA",IF($A$13=0,0,-PV(DiscountRate/12,$D$12,0,'Nominal Increments'!O254,0)))</f>
        <v>0</v>
      </c>
      <c r="P254" s="150">
        <f>IF($B254="NA","NA",IF($A$14=0,0,-PV(DiscountRate/12,$D$13,0,'Nominal Increments'!P254,0)))</f>
        <v>0</v>
      </c>
      <c r="Q254" s="150">
        <f>IF($B254="NA","NA",IF($A$15=0,0,-PV(DiscountRate/12,$D$14,0,'Nominal Increments'!Q254,0)))</f>
        <v>0</v>
      </c>
      <c r="R254" s="150">
        <f>IF($B254="NA","NA",IF($A$16=0,0,-PV(DiscountRate/12,$D$15,0,'Nominal Increments'!R254,0)))</f>
        <v>0</v>
      </c>
      <c r="S254" s="150">
        <f>IF($B254="NA","NA",IF($A$17=0,0,-PV(DiscountRate/12,$D$16,0,'Nominal Increments'!S254,0)))</f>
        <v>0</v>
      </c>
      <c r="T254" s="151">
        <f>IF($B254="NA","NA",IF($A$18=0,0,-PV(DiscountRate/12,$D$17,0,'Nominal Increments'!T254,0)))</f>
        <v>0</v>
      </c>
    </row>
    <row r="255" spans="1:20" x14ac:dyDescent="0.2">
      <c r="A255" s="86">
        <f t="shared" si="15"/>
        <v>7061</v>
      </c>
      <c r="B255" s="142">
        <f t="shared" si="16"/>
        <v>233</v>
      </c>
      <c r="C255" s="143">
        <f t="shared" si="17"/>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50">
        <f>IF(B255="NA","NA",IF(ISNUMBER(VLOOKUP($C255,'A4 Investment'!$A$24:$G$33,7,FALSE)),VLOOKUP($C255,'A4 Investment'!$A$24:$G$33,7,FALSE)*'A4 Investment'!G$18/12,0))</f>
        <v>0</v>
      </c>
      <c r="I255" s="151">
        <f t="shared" si="18"/>
        <v>8904.1666666666661</v>
      </c>
      <c r="J255" s="159">
        <f t="shared" si="19"/>
        <v>8904.1666666666661</v>
      </c>
      <c r="K255" s="150">
        <f>IF($B255="NA","NA",-PV(DiscountRate/12,0,0,'Nominal Increments'!K255,0))</f>
        <v>8904.1666666666661</v>
      </c>
      <c r="L255" s="150">
        <f>IF($B255="NA","NA",IF($A$10=0,0,-PV(DiscountRate/12,$D$9,0,'Nominal Increments'!L255,0)))</f>
        <v>0</v>
      </c>
      <c r="M255" s="150">
        <f>IF($B255="NA","NA",IF($A$11=0,0,-PV(DiscountRate/12,$D$10,0,'Nominal Increments'!M255,0)))</f>
        <v>0</v>
      </c>
      <c r="N255" s="150">
        <f>IF($B255="NA","NA",IF($A$12=0,0,-PV(DiscountRate/12,$D$11,0,'Nominal Increments'!N255,0)))</f>
        <v>0</v>
      </c>
      <c r="O255" s="150">
        <f>IF($B255="NA","NA",IF($A$13=0,0,-PV(DiscountRate/12,$D$12,0,'Nominal Increments'!O255,0)))</f>
        <v>0</v>
      </c>
      <c r="P255" s="150">
        <f>IF($B255="NA","NA",IF($A$14=0,0,-PV(DiscountRate/12,$D$13,0,'Nominal Increments'!P255,0)))</f>
        <v>0</v>
      </c>
      <c r="Q255" s="150">
        <f>IF($B255="NA","NA",IF($A$15=0,0,-PV(DiscountRate/12,$D$14,0,'Nominal Increments'!Q255,0)))</f>
        <v>0</v>
      </c>
      <c r="R255" s="150">
        <f>IF($B255="NA","NA",IF($A$16=0,0,-PV(DiscountRate/12,$D$15,0,'Nominal Increments'!R255,0)))</f>
        <v>0</v>
      </c>
      <c r="S255" s="150">
        <f>IF($B255="NA","NA",IF($A$17=0,0,-PV(DiscountRate/12,$D$16,0,'Nominal Increments'!S255,0)))</f>
        <v>0</v>
      </c>
      <c r="T255" s="151">
        <f>IF($B255="NA","NA",IF($A$18=0,0,-PV(DiscountRate/12,$D$17,0,'Nominal Increments'!T255,0)))</f>
        <v>0</v>
      </c>
    </row>
    <row r="256" spans="1:20" x14ac:dyDescent="0.2">
      <c r="A256" s="86">
        <f t="shared" si="15"/>
        <v>7092</v>
      </c>
      <c r="B256" s="142">
        <f t="shared" si="16"/>
        <v>234</v>
      </c>
      <c r="C256" s="143">
        <f t="shared" si="17"/>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50">
        <f>IF(B256="NA","NA",IF(ISNUMBER(VLOOKUP($C256,'A4 Investment'!$A$24:$G$33,7,FALSE)),VLOOKUP($C256,'A4 Investment'!$A$24:$G$33,7,FALSE)*'A4 Investment'!G$18/12,0))</f>
        <v>0</v>
      </c>
      <c r="I256" s="151">
        <f t="shared" si="18"/>
        <v>8904.1666666666661</v>
      </c>
      <c r="J256" s="159">
        <f t="shared" si="19"/>
        <v>8904.1666666666661</v>
      </c>
      <c r="K256" s="150">
        <f>IF($B256="NA","NA",-PV(DiscountRate/12,0,0,'Nominal Increments'!K256,0))</f>
        <v>8904.1666666666661</v>
      </c>
      <c r="L256" s="150">
        <f>IF($B256="NA","NA",IF($A$10=0,0,-PV(DiscountRate/12,$D$9,0,'Nominal Increments'!L256,0)))</f>
        <v>0</v>
      </c>
      <c r="M256" s="150">
        <f>IF($B256="NA","NA",IF($A$11=0,0,-PV(DiscountRate/12,$D$10,0,'Nominal Increments'!M256,0)))</f>
        <v>0</v>
      </c>
      <c r="N256" s="150">
        <f>IF($B256="NA","NA",IF($A$12=0,0,-PV(DiscountRate/12,$D$11,0,'Nominal Increments'!N256,0)))</f>
        <v>0</v>
      </c>
      <c r="O256" s="150">
        <f>IF($B256="NA","NA",IF($A$13=0,0,-PV(DiscountRate/12,$D$12,0,'Nominal Increments'!O256,0)))</f>
        <v>0</v>
      </c>
      <c r="P256" s="150">
        <f>IF($B256="NA","NA",IF($A$14=0,0,-PV(DiscountRate/12,$D$13,0,'Nominal Increments'!P256,0)))</f>
        <v>0</v>
      </c>
      <c r="Q256" s="150">
        <f>IF($B256="NA","NA",IF($A$15=0,0,-PV(DiscountRate/12,$D$14,0,'Nominal Increments'!Q256,0)))</f>
        <v>0</v>
      </c>
      <c r="R256" s="150">
        <f>IF($B256="NA","NA",IF($A$16=0,0,-PV(DiscountRate/12,$D$15,0,'Nominal Increments'!R256,0)))</f>
        <v>0</v>
      </c>
      <c r="S256" s="150">
        <f>IF($B256="NA","NA",IF($A$17=0,0,-PV(DiscountRate/12,$D$16,0,'Nominal Increments'!S256,0)))</f>
        <v>0</v>
      </c>
      <c r="T256" s="151">
        <f>IF($B256="NA","NA",IF($A$18=0,0,-PV(DiscountRate/12,$D$17,0,'Nominal Increments'!T256,0)))</f>
        <v>0</v>
      </c>
    </row>
    <row r="257" spans="1:20" x14ac:dyDescent="0.2">
      <c r="A257" s="86">
        <f t="shared" si="15"/>
        <v>7122</v>
      </c>
      <c r="B257" s="142">
        <f t="shared" si="16"/>
        <v>235</v>
      </c>
      <c r="C257" s="143">
        <f t="shared" si="17"/>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50">
        <f>IF(B257="NA","NA",IF(ISNUMBER(VLOOKUP($C257,'A4 Investment'!$A$24:$G$33,7,FALSE)),VLOOKUP($C257,'A4 Investment'!$A$24:$G$33,7,FALSE)*'A4 Investment'!G$18/12,0))</f>
        <v>0</v>
      </c>
      <c r="I257" s="151">
        <f t="shared" si="18"/>
        <v>8904.1666666666661</v>
      </c>
      <c r="J257" s="159">
        <f t="shared" si="19"/>
        <v>8904.1666666666661</v>
      </c>
      <c r="K257" s="150">
        <f>IF($B257="NA","NA",-PV(DiscountRate/12,0,0,'Nominal Increments'!K257,0))</f>
        <v>8904.1666666666661</v>
      </c>
      <c r="L257" s="150">
        <f>IF($B257="NA","NA",IF($A$10=0,0,-PV(DiscountRate/12,$D$9,0,'Nominal Increments'!L257,0)))</f>
        <v>0</v>
      </c>
      <c r="M257" s="150">
        <f>IF($B257="NA","NA",IF($A$11=0,0,-PV(DiscountRate/12,$D$10,0,'Nominal Increments'!M257,0)))</f>
        <v>0</v>
      </c>
      <c r="N257" s="150">
        <f>IF($B257="NA","NA",IF($A$12=0,0,-PV(DiscountRate/12,$D$11,0,'Nominal Increments'!N257,0)))</f>
        <v>0</v>
      </c>
      <c r="O257" s="150">
        <f>IF($B257="NA","NA",IF($A$13=0,0,-PV(DiscountRate/12,$D$12,0,'Nominal Increments'!O257,0)))</f>
        <v>0</v>
      </c>
      <c r="P257" s="150">
        <f>IF($B257="NA","NA",IF($A$14=0,0,-PV(DiscountRate/12,$D$13,0,'Nominal Increments'!P257,0)))</f>
        <v>0</v>
      </c>
      <c r="Q257" s="150">
        <f>IF($B257="NA","NA",IF($A$15=0,0,-PV(DiscountRate/12,$D$14,0,'Nominal Increments'!Q257,0)))</f>
        <v>0</v>
      </c>
      <c r="R257" s="150">
        <f>IF($B257="NA","NA",IF($A$16=0,0,-PV(DiscountRate/12,$D$15,0,'Nominal Increments'!R257,0)))</f>
        <v>0</v>
      </c>
      <c r="S257" s="150">
        <f>IF($B257="NA","NA",IF($A$17=0,0,-PV(DiscountRate/12,$D$16,0,'Nominal Increments'!S257,0)))</f>
        <v>0</v>
      </c>
      <c r="T257" s="151">
        <f>IF($B257="NA","NA",IF($A$18=0,0,-PV(DiscountRate/12,$D$17,0,'Nominal Increments'!T257,0)))</f>
        <v>0</v>
      </c>
    </row>
    <row r="258" spans="1:20" x14ac:dyDescent="0.2">
      <c r="A258" s="86">
        <f t="shared" si="15"/>
        <v>7153</v>
      </c>
      <c r="B258" s="142">
        <f t="shared" si="16"/>
        <v>236</v>
      </c>
      <c r="C258" s="143">
        <f t="shared" si="17"/>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50">
        <f>IF(B258="NA","NA",IF(ISNUMBER(VLOOKUP($C258,'A4 Investment'!$A$24:$G$33,7,FALSE)),VLOOKUP($C258,'A4 Investment'!$A$24:$G$33,7,FALSE)*'A4 Investment'!G$18/12,0))</f>
        <v>0</v>
      </c>
      <c r="I258" s="151">
        <f t="shared" si="18"/>
        <v>8904.1666666666661</v>
      </c>
      <c r="J258" s="159">
        <f t="shared" si="19"/>
        <v>8904.1666666666661</v>
      </c>
      <c r="K258" s="150">
        <f>IF($B258="NA","NA",-PV(DiscountRate/12,0,0,'Nominal Increments'!K258,0))</f>
        <v>8904.1666666666661</v>
      </c>
      <c r="L258" s="150">
        <f>IF($B258="NA","NA",IF($A$10=0,0,-PV(DiscountRate/12,$D$9,0,'Nominal Increments'!L258,0)))</f>
        <v>0</v>
      </c>
      <c r="M258" s="150">
        <f>IF($B258="NA","NA",IF($A$11=0,0,-PV(DiscountRate/12,$D$10,0,'Nominal Increments'!M258,0)))</f>
        <v>0</v>
      </c>
      <c r="N258" s="150">
        <f>IF($B258="NA","NA",IF($A$12=0,0,-PV(DiscountRate/12,$D$11,0,'Nominal Increments'!N258,0)))</f>
        <v>0</v>
      </c>
      <c r="O258" s="150">
        <f>IF($B258="NA","NA",IF($A$13=0,0,-PV(DiscountRate/12,$D$12,0,'Nominal Increments'!O258,0)))</f>
        <v>0</v>
      </c>
      <c r="P258" s="150">
        <f>IF($B258="NA","NA",IF($A$14=0,0,-PV(DiscountRate/12,$D$13,0,'Nominal Increments'!P258,0)))</f>
        <v>0</v>
      </c>
      <c r="Q258" s="150">
        <f>IF($B258="NA","NA",IF($A$15=0,0,-PV(DiscountRate/12,$D$14,0,'Nominal Increments'!Q258,0)))</f>
        <v>0</v>
      </c>
      <c r="R258" s="150">
        <f>IF($B258="NA","NA",IF($A$16=0,0,-PV(DiscountRate/12,$D$15,0,'Nominal Increments'!R258,0)))</f>
        <v>0</v>
      </c>
      <c r="S258" s="150">
        <f>IF($B258="NA","NA",IF($A$17=0,0,-PV(DiscountRate/12,$D$16,0,'Nominal Increments'!S258,0)))</f>
        <v>0</v>
      </c>
      <c r="T258" s="151">
        <f>IF($B258="NA","NA",IF($A$18=0,0,-PV(DiscountRate/12,$D$17,0,'Nominal Increments'!T258,0)))</f>
        <v>0</v>
      </c>
    </row>
    <row r="259" spans="1:20" x14ac:dyDescent="0.2">
      <c r="A259" s="86">
        <f t="shared" si="15"/>
        <v>7184</v>
      </c>
      <c r="B259" s="142">
        <f t="shared" si="16"/>
        <v>237</v>
      </c>
      <c r="C259" s="143">
        <f t="shared" si="17"/>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50">
        <f>IF(B259="NA","NA",IF(ISNUMBER(VLOOKUP($C259,'A4 Investment'!$A$24:$G$33,7,FALSE)),VLOOKUP($C259,'A4 Investment'!$A$24:$G$33,7,FALSE)*'A4 Investment'!G$18/12,0))</f>
        <v>0</v>
      </c>
      <c r="I259" s="151">
        <f t="shared" si="18"/>
        <v>8904.1666666666661</v>
      </c>
      <c r="J259" s="159">
        <f t="shared" si="19"/>
        <v>8904.1666666666661</v>
      </c>
      <c r="K259" s="150">
        <f>IF($B259="NA","NA",-PV(DiscountRate/12,0,0,'Nominal Increments'!K259,0))</f>
        <v>8904.1666666666661</v>
      </c>
      <c r="L259" s="150">
        <f>IF($B259="NA","NA",IF($A$10=0,0,-PV(DiscountRate/12,$D$9,0,'Nominal Increments'!L259,0)))</f>
        <v>0</v>
      </c>
      <c r="M259" s="150">
        <f>IF($B259="NA","NA",IF($A$11=0,0,-PV(DiscountRate/12,$D$10,0,'Nominal Increments'!M259,0)))</f>
        <v>0</v>
      </c>
      <c r="N259" s="150">
        <f>IF($B259="NA","NA",IF($A$12=0,0,-PV(DiscountRate/12,$D$11,0,'Nominal Increments'!N259,0)))</f>
        <v>0</v>
      </c>
      <c r="O259" s="150">
        <f>IF($B259="NA","NA",IF($A$13=0,0,-PV(DiscountRate/12,$D$12,0,'Nominal Increments'!O259,0)))</f>
        <v>0</v>
      </c>
      <c r="P259" s="150">
        <f>IF($B259="NA","NA",IF($A$14=0,0,-PV(DiscountRate/12,$D$13,0,'Nominal Increments'!P259,0)))</f>
        <v>0</v>
      </c>
      <c r="Q259" s="150">
        <f>IF($B259="NA","NA",IF($A$15=0,0,-PV(DiscountRate/12,$D$14,0,'Nominal Increments'!Q259,0)))</f>
        <v>0</v>
      </c>
      <c r="R259" s="150">
        <f>IF($B259="NA","NA",IF($A$16=0,0,-PV(DiscountRate/12,$D$15,0,'Nominal Increments'!R259,0)))</f>
        <v>0</v>
      </c>
      <c r="S259" s="150">
        <f>IF($B259="NA","NA",IF($A$17=0,0,-PV(DiscountRate/12,$D$16,0,'Nominal Increments'!S259,0)))</f>
        <v>0</v>
      </c>
      <c r="T259" s="151">
        <f>IF($B259="NA","NA",IF($A$18=0,0,-PV(DiscountRate/12,$D$17,0,'Nominal Increments'!T259,0)))</f>
        <v>0</v>
      </c>
    </row>
    <row r="260" spans="1:20" x14ac:dyDescent="0.2">
      <c r="A260" s="86">
        <f t="shared" si="15"/>
        <v>7214</v>
      </c>
      <c r="B260" s="142">
        <f t="shared" si="16"/>
        <v>238</v>
      </c>
      <c r="C260" s="143">
        <f t="shared" si="17"/>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50">
        <f>IF(B260="NA","NA",IF(ISNUMBER(VLOOKUP($C260,'A4 Investment'!$A$24:$G$33,7,FALSE)),VLOOKUP($C260,'A4 Investment'!$A$24:$G$33,7,FALSE)*'A4 Investment'!G$18/12,0))</f>
        <v>0</v>
      </c>
      <c r="I260" s="151">
        <f t="shared" si="18"/>
        <v>8904.1666666666661</v>
      </c>
      <c r="J260" s="159">
        <f t="shared" si="19"/>
        <v>8904.1666666666661</v>
      </c>
      <c r="K260" s="150">
        <f>IF($B260="NA","NA",-PV(DiscountRate/12,0,0,'Nominal Increments'!K260,0))</f>
        <v>8904.1666666666661</v>
      </c>
      <c r="L260" s="150">
        <f>IF($B260="NA","NA",IF($A$10=0,0,-PV(DiscountRate/12,$D$9,0,'Nominal Increments'!L260,0)))</f>
        <v>0</v>
      </c>
      <c r="M260" s="150">
        <f>IF($B260="NA","NA",IF($A$11=0,0,-PV(DiscountRate/12,$D$10,0,'Nominal Increments'!M260,0)))</f>
        <v>0</v>
      </c>
      <c r="N260" s="150">
        <f>IF($B260="NA","NA",IF($A$12=0,0,-PV(DiscountRate/12,$D$11,0,'Nominal Increments'!N260,0)))</f>
        <v>0</v>
      </c>
      <c r="O260" s="150">
        <f>IF($B260="NA","NA",IF($A$13=0,0,-PV(DiscountRate/12,$D$12,0,'Nominal Increments'!O260,0)))</f>
        <v>0</v>
      </c>
      <c r="P260" s="150">
        <f>IF($B260="NA","NA",IF($A$14=0,0,-PV(DiscountRate/12,$D$13,0,'Nominal Increments'!P260,0)))</f>
        <v>0</v>
      </c>
      <c r="Q260" s="150">
        <f>IF($B260="NA","NA",IF($A$15=0,0,-PV(DiscountRate/12,$D$14,0,'Nominal Increments'!Q260,0)))</f>
        <v>0</v>
      </c>
      <c r="R260" s="150">
        <f>IF($B260="NA","NA",IF($A$16=0,0,-PV(DiscountRate/12,$D$15,0,'Nominal Increments'!R260,0)))</f>
        <v>0</v>
      </c>
      <c r="S260" s="150">
        <f>IF($B260="NA","NA",IF($A$17=0,0,-PV(DiscountRate/12,$D$16,0,'Nominal Increments'!S260,0)))</f>
        <v>0</v>
      </c>
      <c r="T260" s="151">
        <f>IF($B260="NA","NA",IF($A$18=0,0,-PV(DiscountRate/12,$D$17,0,'Nominal Increments'!T260,0)))</f>
        <v>0</v>
      </c>
    </row>
    <row r="261" spans="1:20" x14ac:dyDescent="0.2">
      <c r="A261" s="86">
        <f t="shared" si="15"/>
        <v>7245</v>
      </c>
      <c r="B261" s="142">
        <f t="shared" si="16"/>
        <v>239</v>
      </c>
      <c r="C261" s="143">
        <f t="shared" si="17"/>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50">
        <f>IF(B261="NA","NA",IF(ISNUMBER(VLOOKUP($C261,'A4 Investment'!$A$24:$G$33,7,FALSE)),VLOOKUP($C261,'A4 Investment'!$A$24:$G$33,7,FALSE)*'A4 Investment'!G$18/12,0))</f>
        <v>0</v>
      </c>
      <c r="I261" s="151">
        <f t="shared" si="18"/>
        <v>8904.1666666666661</v>
      </c>
      <c r="J261" s="159">
        <f t="shared" si="19"/>
        <v>8904.1666666666661</v>
      </c>
      <c r="K261" s="150">
        <f>IF($B261="NA","NA",-PV(DiscountRate/12,0,0,'Nominal Increments'!K261,0))</f>
        <v>8904.1666666666661</v>
      </c>
      <c r="L261" s="150">
        <f>IF($B261="NA","NA",IF($A$10=0,0,-PV(DiscountRate/12,$D$9,0,'Nominal Increments'!L261,0)))</f>
        <v>0</v>
      </c>
      <c r="M261" s="150">
        <f>IF($B261="NA","NA",IF($A$11=0,0,-PV(DiscountRate/12,$D$10,0,'Nominal Increments'!M261,0)))</f>
        <v>0</v>
      </c>
      <c r="N261" s="150">
        <f>IF($B261="NA","NA",IF($A$12=0,0,-PV(DiscountRate/12,$D$11,0,'Nominal Increments'!N261,0)))</f>
        <v>0</v>
      </c>
      <c r="O261" s="150">
        <f>IF($B261="NA","NA",IF($A$13=0,0,-PV(DiscountRate/12,$D$12,0,'Nominal Increments'!O261,0)))</f>
        <v>0</v>
      </c>
      <c r="P261" s="150">
        <f>IF($B261="NA","NA",IF($A$14=0,0,-PV(DiscountRate/12,$D$13,0,'Nominal Increments'!P261,0)))</f>
        <v>0</v>
      </c>
      <c r="Q261" s="150">
        <f>IF($B261="NA","NA",IF($A$15=0,0,-PV(DiscountRate/12,$D$14,0,'Nominal Increments'!Q261,0)))</f>
        <v>0</v>
      </c>
      <c r="R261" s="150">
        <f>IF($B261="NA","NA",IF($A$16=0,0,-PV(DiscountRate/12,$D$15,0,'Nominal Increments'!R261,0)))</f>
        <v>0</v>
      </c>
      <c r="S261" s="150">
        <f>IF($B261="NA","NA",IF($A$17=0,0,-PV(DiscountRate/12,$D$16,0,'Nominal Increments'!S261,0)))</f>
        <v>0</v>
      </c>
      <c r="T261" s="151">
        <f>IF($B261="NA","NA",IF($A$18=0,0,-PV(DiscountRate/12,$D$17,0,'Nominal Increments'!T261,0)))</f>
        <v>0</v>
      </c>
    </row>
    <row r="262" spans="1:20" x14ac:dyDescent="0.2">
      <c r="A262" s="87">
        <f t="shared" si="15"/>
        <v>7275</v>
      </c>
      <c r="B262" s="144">
        <f t="shared" si="16"/>
        <v>240</v>
      </c>
      <c r="C262" s="145">
        <f t="shared" si="17"/>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53">
        <f>IF(B262="NA","NA",IF(ISNUMBER(VLOOKUP($C262,'A4 Investment'!$A$24:$G$33,7,FALSE)),VLOOKUP($C262,'A4 Investment'!$A$24:$G$33,7,FALSE)*'A4 Investment'!G$18/12,0))</f>
        <v>0</v>
      </c>
      <c r="I262" s="154">
        <f t="shared" si="18"/>
        <v>8904.1666666666661</v>
      </c>
      <c r="J262" s="161">
        <f t="shared" si="19"/>
        <v>8904.1666666666661</v>
      </c>
      <c r="K262" s="153">
        <f>IF($B262="NA","NA",-PV(DiscountRate/12,0,0,'Nominal Increments'!K262,0))</f>
        <v>8904.1666666666661</v>
      </c>
      <c r="L262" s="153">
        <f>IF($B262="NA","NA",IF($A$10=0,0,-PV(DiscountRate/12,$D$9,0,'Nominal Increments'!L262,0)))</f>
        <v>0</v>
      </c>
      <c r="M262" s="153">
        <f>IF($B262="NA","NA",IF($A$11=0,0,-PV(DiscountRate/12,$D$10,0,'Nominal Increments'!M262,0)))</f>
        <v>0</v>
      </c>
      <c r="N262" s="153">
        <f>IF($B262="NA","NA",IF($A$12=0,0,-PV(DiscountRate/12,$D$11,0,'Nominal Increments'!N262,0)))</f>
        <v>0</v>
      </c>
      <c r="O262" s="153">
        <f>IF($B262="NA","NA",IF($A$13=0,0,-PV(DiscountRate/12,$D$12,0,'Nominal Increments'!O262,0)))</f>
        <v>0</v>
      </c>
      <c r="P262" s="153">
        <f>IF($B262="NA","NA",IF($A$14=0,0,-PV(DiscountRate/12,$D$13,0,'Nominal Increments'!P262,0)))</f>
        <v>0</v>
      </c>
      <c r="Q262" s="153">
        <f>IF($B262="NA","NA",IF($A$15=0,0,-PV(DiscountRate/12,$D$14,0,'Nominal Increments'!Q262,0)))</f>
        <v>0</v>
      </c>
      <c r="R262" s="153">
        <f>IF($B262="NA","NA",IF($A$16=0,0,-PV(DiscountRate/12,$D$15,0,'Nominal Increments'!R262,0)))</f>
        <v>0</v>
      </c>
      <c r="S262" s="153">
        <f>IF($B262="NA","NA",IF($A$17=0,0,-PV(DiscountRate/12,$D$16,0,'Nominal Increments'!S262,0)))</f>
        <v>0</v>
      </c>
      <c r="T262" s="154">
        <f>IF($B262="NA","NA",IF($A$18=0,0,-PV(DiscountRate/12,$D$17,0,'Nominal Increments'!T262,0)))</f>
        <v>0</v>
      </c>
    </row>
  </sheetData>
  <mergeCells count="21">
    <mergeCell ref="B17:C17"/>
    <mergeCell ref="B18:C18"/>
    <mergeCell ref="D21:H21"/>
    <mergeCell ref="A20:I20"/>
    <mergeCell ref="J20:T20"/>
    <mergeCell ref="K21:T21"/>
    <mergeCell ref="B8:C8"/>
    <mergeCell ref="B9:C9"/>
    <mergeCell ref="B10:C10"/>
    <mergeCell ref="B16:C16"/>
    <mergeCell ref="B15:C15"/>
    <mergeCell ref="B11:C11"/>
    <mergeCell ref="B12:C12"/>
    <mergeCell ref="B13:C13"/>
    <mergeCell ref="B14:C14"/>
    <mergeCell ref="A1:J1"/>
    <mergeCell ref="A7:D7"/>
    <mergeCell ref="C3:G3"/>
    <mergeCell ref="C4:G4"/>
    <mergeCell ref="C5:D5"/>
    <mergeCell ref="F5:H5"/>
  </mergeCells>
  <phoneticPr fontId="5" type="noConversion"/>
  <conditionalFormatting sqref="A83:J262 K23:T262">
    <cfRule type="cellIs" dxfId="11"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62"/>
  <sheetViews>
    <sheetView showGridLines="0" topLeftCell="A218" workbookViewId="0">
      <selection activeCell="G229" sqref="G229"/>
    </sheetView>
  </sheetViews>
  <sheetFormatPr defaultColWidth="10.7109375" defaultRowHeight="12.75" x14ac:dyDescent="0.2"/>
  <cols>
    <col min="1" max="1" width="10.7109375" customWidth="1"/>
    <col min="2" max="3" width="5.7109375" customWidth="1"/>
    <col min="4" max="8" width="9.42578125" customWidth="1"/>
    <col min="9" max="10" width="10.7109375" customWidth="1"/>
    <col min="11" max="20" width="9" customWidth="1"/>
  </cols>
  <sheetData>
    <row r="1" spans="1:10" s="137" customFormat="1" ht="18.75" x14ac:dyDescent="0.4">
      <c r="A1" s="505" t="s">
        <v>164</v>
      </c>
      <c r="B1" s="505"/>
      <c r="C1" s="505"/>
      <c r="D1" s="505"/>
      <c r="E1" s="505"/>
      <c r="F1" s="505"/>
      <c r="G1" s="505"/>
      <c r="H1" s="505"/>
      <c r="I1" s="505"/>
      <c r="J1" s="505"/>
    </row>
    <row r="2" spans="1:10" s="138" customFormat="1" ht="8.25" x14ac:dyDescent="0.15"/>
    <row r="3" spans="1:10" x14ac:dyDescent="0.2">
      <c r="A3" t="s">
        <v>3</v>
      </c>
      <c r="C3" s="443" t="str">
        <f>ParticipantName</f>
        <v>Name of Market Participant</v>
      </c>
      <c r="D3" s="443"/>
      <c r="E3" s="443"/>
      <c r="F3" s="443"/>
      <c r="G3" s="443"/>
      <c r="I3" s="108" t="s">
        <v>0</v>
      </c>
      <c r="J3" t="str">
        <f>'A1 Costs and Contract'!I10</f>
        <v>AESO 2021</v>
      </c>
    </row>
    <row r="4" spans="1:10" x14ac:dyDescent="0.2">
      <c r="A4" s="307" t="s">
        <v>321</v>
      </c>
      <c r="C4" s="443" t="str">
        <f>ProjectName</f>
        <v>Project Name</v>
      </c>
      <c r="D4" s="443"/>
      <c r="E4" s="443"/>
      <c r="F4" s="443"/>
      <c r="G4" s="443"/>
      <c r="I4" s="108" t="s">
        <v>1</v>
      </c>
      <c r="J4" s="295">
        <f>'A1 Costs and Contract'!I11</f>
        <v>44197</v>
      </c>
    </row>
    <row r="5" spans="1:10" x14ac:dyDescent="0.2">
      <c r="A5" s="307" t="s">
        <v>322</v>
      </c>
      <c r="C5" s="444" t="str">
        <f>ProjectNumber</f>
        <v>Project Number</v>
      </c>
      <c r="D5" s="444"/>
      <c r="E5" s="3" t="s">
        <v>2</v>
      </c>
      <c r="F5" s="506" t="str">
        <f>ProjectType</f>
        <v>DTS Only</v>
      </c>
      <c r="G5" s="506"/>
      <c r="H5" s="506"/>
      <c r="I5" s="108" t="s">
        <v>13</v>
      </c>
      <c r="J5" s="295" t="str">
        <f>'A1 Costs and Contract'!I12</f>
        <v>Current</v>
      </c>
    </row>
    <row r="7" spans="1:10" x14ac:dyDescent="0.2">
      <c r="A7" s="484" t="s">
        <v>77</v>
      </c>
      <c r="B7" s="485"/>
      <c r="C7" s="485"/>
      <c r="D7" s="486"/>
    </row>
    <row r="8" spans="1:10" x14ac:dyDescent="0.2">
      <c r="A8" s="169" t="s">
        <v>9</v>
      </c>
      <c r="B8" s="507">
        <v>0</v>
      </c>
      <c r="C8" s="507"/>
      <c r="D8" s="170">
        <f>SUM(B$8:B8)</f>
        <v>0</v>
      </c>
    </row>
    <row r="9" spans="1:10" x14ac:dyDescent="0.2">
      <c r="A9" s="12">
        <f>'A1 Costs and Contract'!A47</f>
        <v>1</v>
      </c>
      <c r="B9" s="508">
        <f>SUM('A1 Costs and Contract'!C47)</f>
        <v>240</v>
      </c>
      <c r="C9" s="508"/>
      <c r="D9" s="88">
        <f>SUM(B$8:B9)</f>
        <v>240</v>
      </c>
    </row>
    <row r="10" spans="1:10" x14ac:dyDescent="0.2">
      <c r="A10" s="20">
        <f>'A1 Costs and Contract'!A48</f>
        <v>0</v>
      </c>
      <c r="B10" s="509">
        <f>IF(A10=0,0,SUM('A1 Costs and Contract'!C48))</f>
        <v>0</v>
      </c>
      <c r="C10" s="509"/>
      <c r="D10" s="172" t="str">
        <f>IF(A10=0,"",SUM(B$8:B10))</f>
        <v/>
      </c>
    </row>
    <row r="11" spans="1:10" x14ac:dyDescent="0.2">
      <c r="A11" s="13">
        <f>'A1 Costs and Contract'!A49</f>
        <v>0</v>
      </c>
      <c r="B11" s="509">
        <f>IF(A11=0,0,SUM('A1 Costs and Contract'!C49))</f>
        <v>0</v>
      </c>
      <c r="C11" s="509"/>
      <c r="D11" s="172" t="str">
        <f>IF(A11=0,"",SUM(B$8:B11))</f>
        <v/>
      </c>
    </row>
    <row r="12" spans="1:10" x14ac:dyDescent="0.2">
      <c r="A12" s="13">
        <f>'A1 Costs and Contract'!A50</f>
        <v>0</v>
      </c>
      <c r="B12" s="509">
        <f>IF(A12=0,0,SUM('A1 Costs and Contract'!C50))</f>
        <v>0</v>
      </c>
      <c r="C12" s="509"/>
      <c r="D12" s="172" t="str">
        <f>IF(A12=0,"",SUM(B$8:B12))</f>
        <v/>
      </c>
    </row>
    <row r="13" spans="1:10" x14ac:dyDescent="0.2">
      <c r="A13" s="13">
        <f>'A1 Costs and Contract'!A51</f>
        <v>0</v>
      </c>
      <c r="B13" s="509">
        <f>IF(A13=0,0,SUM('A1 Costs and Contract'!C51))</f>
        <v>0</v>
      </c>
      <c r="C13" s="509"/>
      <c r="D13" s="172" t="str">
        <f>IF(A13=0,"",SUM(B$8:B13))</f>
        <v/>
      </c>
    </row>
    <row r="14" spans="1:10" x14ac:dyDescent="0.2">
      <c r="A14" s="13">
        <f>'A1 Costs and Contract'!A52</f>
        <v>0</v>
      </c>
      <c r="B14" s="509">
        <f>IF(A14=0,0,SUM('A1 Costs and Contract'!C52))</f>
        <v>0</v>
      </c>
      <c r="C14" s="509"/>
      <c r="D14" s="172" t="str">
        <f>IF(A14=0,"",SUM(B$8:B14))</f>
        <v/>
      </c>
    </row>
    <row r="15" spans="1:10" x14ac:dyDescent="0.2">
      <c r="A15" s="13">
        <f>'A1 Costs and Contract'!A53</f>
        <v>0</v>
      </c>
      <c r="B15" s="509">
        <f>IF(A15=0,0,SUM('A1 Costs and Contract'!C53))</f>
        <v>0</v>
      </c>
      <c r="C15" s="509"/>
      <c r="D15" s="172" t="str">
        <f>IF(A15=0,"",SUM(B$8:B15))</f>
        <v/>
      </c>
    </row>
    <row r="16" spans="1:10" x14ac:dyDescent="0.2">
      <c r="A16" s="13">
        <f>'A1 Costs and Contract'!A54</f>
        <v>0</v>
      </c>
      <c r="B16" s="509">
        <f>IF(A16=0,0,SUM('A1 Costs and Contract'!C54))</f>
        <v>0</v>
      </c>
      <c r="C16" s="509"/>
      <c r="D16" s="172" t="str">
        <f>IF(A16=0,"",SUM(B$8:B16))</f>
        <v/>
      </c>
    </row>
    <row r="17" spans="1:20" x14ac:dyDescent="0.2">
      <c r="A17" s="13">
        <f>'A1 Costs and Contract'!A55</f>
        <v>0</v>
      </c>
      <c r="B17" s="509">
        <f>IF(A17=0,0,SUM('A1 Costs and Contract'!C55))</f>
        <v>0</v>
      </c>
      <c r="C17" s="509"/>
      <c r="D17" s="172" t="str">
        <f>IF(A17=0,"",SUM(B$8:B17))</f>
        <v/>
      </c>
    </row>
    <row r="18" spans="1:20" x14ac:dyDescent="0.2">
      <c r="A18" s="14">
        <f>'A1 Costs and Contract'!A56</f>
        <v>0</v>
      </c>
      <c r="B18" s="510">
        <f>IF(A18=0,0,SUM('A1 Costs and Contract'!C56))</f>
        <v>0</v>
      </c>
      <c r="C18" s="510"/>
      <c r="D18" s="173" t="str">
        <f>IF(A18=0,"",SUM(B$8:B18))</f>
        <v/>
      </c>
    </row>
    <row r="19" spans="1:20" x14ac:dyDescent="0.2">
      <c r="A19" s="125"/>
      <c r="B19" s="126"/>
      <c r="C19" s="126"/>
      <c r="D19" s="126"/>
    </row>
    <row r="20" spans="1:20" x14ac:dyDescent="0.2">
      <c r="A20" s="484" t="s">
        <v>149</v>
      </c>
      <c r="B20" s="485"/>
      <c r="C20" s="485"/>
      <c r="D20" s="485"/>
      <c r="E20" s="485"/>
      <c r="F20" s="485"/>
      <c r="G20" s="485"/>
      <c r="H20" s="485"/>
      <c r="I20" s="486"/>
      <c r="J20" s="484" t="s">
        <v>144</v>
      </c>
      <c r="K20" s="485"/>
      <c r="L20" s="485"/>
      <c r="M20" s="485"/>
      <c r="N20" s="485"/>
      <c r="O20" s="485"/>
      <c r="P20" s="485"/>
      <c r="Q20" s="485"/>
      <c r="R20" s="485"/>
      <c r="S20" s="485"/>
      <c r="T20" s="486"/>
    </row>
    <row r="21" spans="1:20" x14ac:dyDescent="0.2">
      <c r="A21" s="6"/>
      <c r="B21" s="33"/>
      <c r="C21" s="34"/>
      <c r="D21" s="482" t="s">
        <v>141</v>
      </c>
      <c r="E21" s="511"/>
      <c r="F21" s="511"/>
      <c r="G21" s="511"/>
      <c r="H21" s="511"/>
      <c r="I21" s="8" t="s">
        <v>8</v>
      </c>
      <c r="J21" s="184" t="s">
        <v>145</v>
      </c>
      <c r="K21" s="513" t="s">
        <v>143</v>
      </c>
      <c r="L21" s="511"/>
      <c r="M21" s="511"/>
      <c r="N21" s="511"/>
      <c r="O21" s="511"/>
      <c r="P21" s="511"/>
      <c r="Q21" s="511"/>
      <c r="R21" s="511"/>
      <c r="S21" s="511"/>
      <c r="T21" s="512"/>
    </row>
    <row r="22" spans="1:20" x14ac:dyDescent="0.2">
      <c r="A22" s="9" t="s">
        <v>39</v>
      </c>
      <c r="B22" s="10" t="s">
        <v>44</v>
      </c>
      <c r="C22" s="32" t="s">
        <v>9</v>
      </c>
      <c r="D22" s="2" t="s">
        <v>26</v>
      </c>
      <c r="E22" s="52" t="s">
        <v>31</v>
      </c>
      <c r="F22" s="52" t="s">
        <v>32</v>
      </c>
      <c r="G22" s="52" t="s">
        <v>33</v>
      </c>
      <c r="H22" s="31" t="s">
        <v>34</v>
      </c>
      <c r="I22" s="32" t="s">
        <v>142</v>
      </c>
      <c r="J22" s="185" t="s">
        <v>49</v>
      </c>
      <c r="K22" s="197" t="s">
        <v>119</v>
      </c>
      <c r="L22" s="199" t="s">
        <v>132</v>
      </c>
      <c r="M22" s="201" t="s">
        <v>133</v>
      </c>
      <c r="N22" s="198" t="s">
        <v>134</v>
      </c>
      <c r="O22" s="200" t="s">
        <v>135</v>
      </c>
      <c r="P22" s="202" t="s">
        <v>136</v>
      </c>
      <c r="Q22" s="204" t="s">
        <v>137</v>
      </c>
      <c r="R22" s="205" t="s">
        <v>138</v>
      </c>
      <c r="S22" s="203" t="s">
        <v>139</v>
      </c>
      <c r="T22" s="206" t="s">
        <v>140</v>
      </c>
    </row>
    <row r="23" spans="1:20" x14ac:dyDescent="0.2">
      <c r="A23" s="85">
        <f>DATE(YEAR(CommOperDate),MONTH(CommOperDate),1)</f>
        <v>1</v>
      </c>
      <c r="B23" s="140">
        <v>1</v>
      </c>
      <c r="C23" s="141">
        <f t="shared" ref="C23:C54" si="0">MATCH(B23-1,$D$8:$D$18,1)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47">
        <f>IF(ISNUMBER(VLOOKUP($C23,'A4 Investment'!$A$24:$G$33,7,FALSE)),VLOOKUP($C23,'A4 Investment'!$A$24:$G$33,7,FALSE)*'A4 Investment'!G$18/12,0)</f>
        <v>0</v>
      </c>
      <c r="I23" s="148">
        <f t="shared" ref="I23:I54" si="1">SUM(D23:H23)</f>
        <v>8904.1666666666661</v>
      </c>
      <c r="J23" s="146">
        <f t="shared" ref="J23:J86" si="2">IF($B23="NA","NA",SUM(K23:T23))</f>
        <v>8904.1666666666661</v>
      </c>
      <c r="K23" s="147">
        <f>IF($B23="NA","NA",IF($B23&lt;=$D$8,0,MIN(IF($B23=($D$8+1),'Stage (1) Investment'!$I23,K22),'Stage (2) Investment:Stage (10) Investment'!$I23)))</f>
        <v>8904.1666666666661</v>
      </c>
      <c r="L23" s="147">
        <f>IF($B23="NA","NA",IF($B23&lt;=$D$9,0,MIN(IF($B23=($D$9+1),'Stage (2) Investment'!$I23,SUM($K22:L22)),'Stage (3) Investment:Stage (10) Investment'!$I23)-K23))</f>
        <v>0</v>
      </c>
      <c r="M23" s="147">
        <f>IF($B23="NA","NA",IF($B23&lt;=$D$10,0,MIN(IF($B23=($D$10+1),'Stage (3) Investment'!$I23,SUM($K22:M22)),'Stage (4) Investment:Stage (10) Investment'!$I23)-SUM($K23:L23)))</f>
        <v>0</v>
      </c>
      <c r="N23" s="147">
        <f>IF($B23="NA","NA",IF($B23&lt;=$D$11,0,MIN(IF($B23=($D$11+1),'Stage (4) Investment'!$I23,SUM($K22:N22)),'Stage (5) Investment:Stage (10) Investment'!$I23)-SUM($K23:M23)))</f>
        <v>0</v>
      </c>
      <c r="O23" s="147">
        <f>IF($B23="NA","NA",IF($B23&lt;=$D$12,0,MIN(IF($B23=($D$12+1),'Stage (5) Investment'!$I23,SUM($K22:O22)),'Stage (6) Investment:Stage (10) Investment'!$I23)-SUM($K23:N23)))</f>
        <v>0</v>
      </c>
      <c r="P23" s="147">
        <f>IF($B23="NA","NA",IF($B23&lt;=$D$13,0,MIN(IF($B23=($D$13+1),'Stage (6) Investment'!$I23,SUM($K22:P22)),'Stage (7) Investment:Stage (10) Investment'!$I23)-SUM($K23:O23)))</f>
        <v>0</v>
      </c>
      <c r="Q23" s="147">
        <f>IF($B23="NA","NA",IF($B23&lt;=$D$14,0,MIN(IF($B23=($D$14+1),'Stage (7) Investment'!$I23,SUM($K22:Q22)),'Stage (8) Investment:Stage (10) Investment'!$I23)-SUM($K23:P23)))</f>
        <v>0</v>
      </c>
      <c r="R23" s="147">
        <f>IF($B23="NA","NA",IF($B23&lt;=$D$15,0,MIN(IF($B23=($D$15+1),'Stage (8) Investment'!$I23,SUM($K22:R22)),'Stage (9) Investment:Stage (10) Investment'!$I23)-SUM($K23:Q23)))</f>
        <v>0</v>
      </c>
      <c r="S23" s="147">
        <f>IF($B23="NA","NA",IF($B23&lt;=$D$16,0,MIN(IF($B23=($D$16+1),'Stage (9) Investment'!$I23,SUM($K22:S22)),'Stage (10) Investment'!$I23)-SUM($K23:R23)))</f>
        <v>0</v>
      </c>
      <c r="T23" s="148">
        <f>IF($B23="NA","NA",IF($B23&lt;=$D$17,0,IF($B23=($D$17+1),'Stage (10) Investment'!$I23,SUM($K22:T22))-SUM($K23:S23)))</f>
        <v>0</v>
      </c>
    </row>
    <row r="24" spans="1:20" x14ac:dyDescent="0.2">
      <c r="A24" s="86">
        <f>DATE(YEAR(A23),MONTH(A23)+1,1)</f>
        <v>32</v>
      </c>
      <c r="B24" s="142">
        <f t="shared" ref="B24:B55" si="3">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50">
        <f>IF(ISNUMBER(VLOOKUP($C24,'A4 Investment'!$A$24:$G$33,7,FALSE)),VLOOKUP($C24,'A4 Investment'!$A$24:$G$33,7,FALSE)*'A4 Investment'!G$18/12,0)</f>
        <v>0</v>
      </c>
      <c r="I24" s="151">
        <f t="shared" si="1"/>
        <v>8904.1666666666661</v>
      </c>
      <c r="J24" s="149">
        <f t="shared" si="2"/>
        <v>8904.1666666666661</v>
      </c>
      <c r="K24" s="150">
        <f>IF($B24="NA","NA",IF($B24&lt;=$D$8,0,MIN(IF($B24=($D$8+1),'Stage (1) Investment'!$I24,K23),'Stage (2) Investment:Stage (10) Investment'!$I24)))</f>
        <v>8904.1666666666661</v>
      </c>
      <c r="L24" s="150">
        <f>IF($B24="NA","NA",IF($B24&lt;=$D$9,0,MIN(IF($B24=($D$9+1),'Stage (2) Investment'!$I24,SUM($K23:L23)),'Stage (3) Investment:Stage (10) Investment'!$I24)-K24))</f>
        <v>0</v>
      </c>
      <c r="M24" s="150">
        <f>IF($B24="NA","NA",IF($B24&lt;=$D$10,0,MIN(IF($B24=($D$10+1),'Stage (3) Investment'!$I24,SUM($K23:M23)),'Stage (4) Investment:Stage (10) Investment'!$I24)-SUM($K24:L24)))</f>
        <v>0</v>
      </c>
      <c r="N24" s="150">
        <f>IF($B24="NA","NA",IF($B24&lt;=$D$11,0,MIN(IF($B24=($D$11+1),'Stage (4) Investment'!$I24,SUM($K23:N23)),'Stage (5) Investment:Stage (10) Investment'!$I24)-SUM($K24:M24)))</f>
        <v>0</v>
      </c>
      <c r="O24" s="150">
        <f>IF($B24="NA","NA",IF($B24&lt;=$D$12,0,MIN(IF($B24=($D$12+1),'Stage (5) Investment'!$I24,SUM($K23:O23)),'Stage (6) Investment:Stage (10) Investment'!$I24)-SUM($K24:N24)))</f>
        <v>0</v>
      </c>
      <c r="P24" s="150">
        <f>IF($B24="NA","NA",IF($B24&lt;=$D$13,0,MIN(IF($B24=($D$13+1),'Stage (6) Investment'!$I24,SUM($K23:P23)),'Stage (7) Investment:Stage (10) Investment'!$I24)-SUM($K24:O24)))</f>
        <v>0</v>
      </c>
      <c r="Q24" s="150">
        <f>IF($B24="NA","NA",IF($B24&lt;=$D$14,0,MIN(IF($B24=($D$14+1),'Stage (7) Investment'!$I24,SUM($K23:Q23)),'Stage (8) Investment:Stage (10) Investment'!$I24)-SUM($K24:P24)))</f>
        <v>0</v>
      </c>
      <c r="R24" s="150">
        <f>IF($B24="NA","NA",IF($B24&lt;=$D$15,0,MIN(IF($B24=($D$15+1),'Stage (8) Investment'!$I24,SUM($K23:R23)),'Stage (9) Investment:Stage (10) Investment'!$I24)-SUM($K24:Q24)))</f>
        <v>0</v>
      </c>
      <c r="S24" s="150">
        <f>IF($B24="NA","NA",IF($B24&lt;=$D$16,0,MIN(IF($B24=($D$16+1),'Stage (9) Investment'!$I24,SUM($K23:S23)),'Stage (10) Investment'!$I24)-SUM($K24:R24)))</f>
        <v>0</v>
      </c>
      <c r="T24" s="151">
        <f>IF($B24="NA","NA",IF($B24&lt;=$D$17,0,IF($B24=($D$17+1),'Stage (10) Investment'!$I24,SUM($K23:T23))-SUM($K24:S24)))</f>
        <v>0</v>
      </c>
    </row>
    <row r="25" spans="1:20" x14ac:dyDescent="0.2">
      <c r="A25" s="86">
        <f t="shared" ref="A25:A82" si="4">DATE(YEAR(A24),MONTH(A24)+1,1)</f>
        <v>61</v>
      </c>
      <c r="B25" s="142">
        <f t="shared" si="3"/>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50">
        <f>IF(ISNUMBER(VLOOKUP($C25,'A4 Investment'!$A$24:$G$33,7,FALSE)),VLOOKUP($C25,'A4 Investment'!$A$24:$G$33,7,FALSE)*'A4 Investment'!G$18/12,0)</f>
        <v>0</v>
      </c>
      <c r="I25" s="151">
        <f t="shared" si="1"/>
        <v>8904.1666666666661</v>
      </c>
      <c r="J25" s="149">
        <f t="shared" si="2"/>
        <v>8904.1666666666661</v>
      </c>
      <c r="K25" s="150">
        <f>IF($B25="NA","NA",IF($B25&lt;=$D$8,0,MIN(IF($B25=($D$8+1),'Stage (1) Investment'!$I25,K24),'Stage (2) Investment:Stage (10) Investment'!$I25)))</f>
        <v>8904.1666666666661</v>
      </c>
      <c r="L25" s="150">
        <f>IF($B25="NA","NA",IF($B25&lt;=$D$9,0,MIN(IF($B25=($D$9+1),'Stage (2) Investment'!$I25,SUM($K24:L24)),'Stage (3) Investment:Stage (10) Investment'!$I25)-K25))</f>
        <v>0</v>
      </c>
      <c r="M25" s="150">
        <f>IF($B25="NA","NA",IF($B25&lt;=$D$10,0,MIN(IF($B25=($D$10+1),'Stage (3) Investment'!$I25,SUM($K24:M24)),'Stage (4) Investment:Stage (10) Investment'!$I25)-SUM($K25:L25)))</f>
        <v>0</v>
      </c>
      <c r="N25" s="150">
        <f>IF($B25="NA","NA",IF($B25&lt;=$D$11,0,MIN(IF($B25=($D$11+1),'Stage (4) Investment'!$I25,SUM($K24:N24)),'Stage (5) Investment:Stage (10) Investment'!$I25)-SUM($K25:M25)))</f>
        <v>0</v>
      </c>
      <c r="O25" s="150">
        <f>IF($B25="NA","NA",IF($B25&lt;=$D$12,0,MIN(IF($B25=($D$12+1),'Stage (5) Investment'!$I25,SUM($K24:O24)),'Stage (6) Investment:Stage (10) Investment'!$I25)-SUM($K25:N25)))</f>
        <v>0</v>
      </c>
      <c r="P25" s="150">
        <f>IF($B25="NA","NA",IF($B25&lt;=$D$13,0,MIN(IF($B25=($D$13+1),'Stage (6) Investment'!$I25,SUM($K24:P24)),'Stage (7) Investment:Stage (10) Investment'!$I25)-SUM($K25:O25)))</f>
        <v>0</v>
      </c>
      <c r="Q25" s="150">
        <f>IF($B25="NA","NA",IF($B25&lt;=$D$14,0,MIN(IF($B25=($D$14+1),'Stage (7) Investment'!$I25,SUM($K24:Q24)),'Stage (8) Investment:Stage (10) Investment'!$I25)-SUM($K25:P25)))</f>
        <v>0</v>
      </c>
      <c r="R25" s="150">
        <f>IF($B25="NA","NA",IF($B25&lt;=$D$15,0,MIN(IF($B25=($D$15+1),'Stage (8) Investment'!$I25,SUM($K24:R24)),'Stage (9) Investment:Stage (10) Investment'!$I25)-SUM($K25:Q25)))</f>
        <v>0</v>
      </c>
      <c r="S25" s="150">
        <f>IF($B25="NA","NA",IF($B25&lt;=$D$16,0,MIN(IF($B25=($D$16+1),'Stage (9) Investment'!$I25,SUM($K24:S24)),'Stage (10) Investment'!$I25)-SUM($K25:R25)))</f>
        <v>0</v>
      </c>
      <c r="T25" s="151">
        <f>IF($B25="NA","NA",IF($B25&lt;=$D$17,0,IF($B25=($D$17+1),'Stage (10) Investment'!$I25,SUM($K24:T24))-SUM($K25:S25)))</f>
        <v>0</v>
      </c>
    </row>
    <row r="26" spans="1:20" x14ac:dyDescent="0.2">
      <c r="A26" s="86">
        <f t="shared" si="4"/>
        <v>92</v>
      </c>
      <c r="B26" s="142">
        <f t="shared" si="3"/>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50">
        <f>IF(ISNUMBER(VLOOKUP($C26,'A4 Investment'!$A$24:$G$33,7,FALSE)),VLOOKUP($C26,'A4 Investment'!$A$24:$G$33,7,FALSE)*'A4 Investment'!G$18/12,0)</f>
        <v>0</v>
      </c>
      <c r="I26" s="151">
        <f t="shared" si="1"/>
        <v>8904.1666666666661</v>
      </c>
      <c r="J26" s="149">
        <f t="shared" si="2"/>
        <v>8904.1666666666661</v>
      </c>
      <c r="K26" s="150">
        <f>IF($B26="NA","NA",IF($B26&lt;=$D$8,0,MIN(IF($B26=($D$8+1),'Stage (1) Investment'!$I26,K25),'Stage (2) Investment:Stage (10) Investment'!$I26)))</f>
        <v>8904.1666666666661</v>
      </c>
      <c r="L26" s="150">
        <f>IF($B26="NA","NA",IF($B26&lt;=$D$9,0,MIN(IF($B26=($D$9+1),'Stage (2) Investment'!$I26,SUM($K25:L25)),'Stage (3) Investment:Stage (10) Investment'!$I26)-K26))</f>
        <v>0</v>
      </c>
      <c r="M26" s="150">
        <f>IF($B26="NA","NA",IF($B26&lt;=$D$10,0,MIN(IF($B26=($D$10+1),'Stage (3) Investment'!$I26,SUM($K25:M25)),'Stage (4) Investment:Stage (10) Investment'!$I26)-SUM($K26:L26)))</f>
        <v>0</v>
      </c>
      <c r="N26" s="150">
        <f>IF($B26="NA","NA",IF($B26&lt;=$D$11,0,MIN(IF($B26=($D$11+1),'Stage (4) Investment'!$I26,SUM($K25:N25)),'Stage (5) Investment:Stage (10) Investment'!$I26)-SUM($K26:M26)))</f>
        <v>0</v>
      </c>
      <c r="O26" s="150">
        <f>IF($B26="NA","NA",IF($B26&lt;=$D$12,0,MIN(IF($B26=($D$12+1),'Stage (5) Investment'!$I26,SUM($K25:O25)),'Stage (6) Investment:Stage (10) Investment'!$I26)-SUM($K26:N26)))</f>
        <v>0</v>
      </c>
      <c r="P26" s="150">
        <f>IF($B26="NA","NA",IF($B26&lt;=$D$13,0,MIN(IF($B26=($D$13+1),'Stage (6) Investment'!$I26,SUM($K25:P25)),'Stage (7) Investment:Stage (10) Investment'!$I26)-SUM($K26:O26)))</f>
        <v>0</v>
      </c>
      <c r="Q26" s="150">
        <f>IF($B26="NA","NA",IF($B26&lt;=$D$14,0,MIN(IF($B26=($D$14+1),'Stage (7) Investment'!$I26,SUM($K25:Q25)),'Stage (8) Investment:Stage (10) Investment'!$I26)-SUM($K26:P26)))</f>
        <v>0</v>
      </c>
      <c r="R26" s="150">
        <f>IF($B26="NA","NA",IF($B26&lt;=$D$15,0,MIN(IF($B26=($D$15+1),'Stage (8) Investment'!$I26,SUM($K25:R25)),'Stage (9) Investment:Stage (10) Investment'!$I26)-SUM($K26:Q26)))</f>
        <v>0</v>
      </c>
      <c r="S26" s="150">
        <f>IF($B26="NA","NA",IF($B26&lt;=$D$16,0,MIN(IF($B26=($D$16+1),'Stage (9) Investment'!$I26,SUM($K25:S25)),'Stage (10) Investment'!$I26)-SUM($K26:R26)))</f>
        <v>0</v>
      </c>
      <c r="T26" s="151">
        <f>IF($B26="NA","NA",IF($B26&lt;=$D$17,0,IF($B26=($D$17+1),'Stage (10) Investment'!$I26,SUM($K25:T25))-SUM($K26:S26)))</f>
        <v>0</v>
      </c>
    </row>
    <row r="27" spans="1:20" x14ac:dyDescent="0.2">
      <c r="A27" s="86">
        <f t="shared" si="4"/>
        <v>122</v>
      </c>
      <c r="B27" s="142">
        <f t="shared" si="3"/>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50">
        <f>IF(ISNUMBER(VLOOKUP($C27,'A4 Investment'!$A$24:$G$33,7,FALSE)),VLOOKUP($C27,'A4 Investment'!$A$24:$G$33,7,FALSE)*'A4 Investment'!G$18/12,0)</f>
        <v>0</v>
      </c>
      <c r="I27" s="151">
        <f t="shared" si="1"/>
        <v>8904.1666666666661</v>
      </c>
      <c r="J27" s="149">
        <f t="shared" si="2"/>
        <v>8904.1666666666661</v>
      </c>
      <c r="K27" s="150">
        <f>IF($B27="NA","NA",IF($B27&lt;=$D$8,0,MIN(IF($B27=($D$8+1),'Stage (1) Investment'!$I27,K26),'Stage (2) Investment:Stage (10) Investment'!$I27)))</f>
        <v>8904.1666666666661</v>
      </c>
      <c r="L27" s="150">
        <f>IF($B27="NA","NA",IF($B27&lt;=$D$9,0,MIN(IF($B27=($D$9+1),'Stage (2) Investment'!$I27,SUM($K26:L26)),'Stage (3) Investment:Stage (10) Investment'!$I27)-K27))</f>
        <v>0</v>
      </c>
      <c r="M27" s="150">
        <f>IF($B27="NA","NA",IF($B27&lt;=$D$10,0,MIN(IF($B27=($D$10+1),'Stage (3) Investment'!$I27,SUM($K26:M26)),'Stage (4) Investment:Stage (10) Investment'!$I27)-SUM($K27:L27)))</f>
        <v>0</v>
      </c>
      <c r="N27" s="150">
        <f>IF($B27="NA","NA",IF($B27&lt;=$D$11,0,MIN(IF($B27=($D$11+1),'Stage (4) Investment'!$I27,SUM($K26:N26)),'Stage (5) Investment:Stage (10) Investment'!$I27)-SUM($K27:M27)))</f>
        <v>0</v>
      </c>
      <c r="O27" s="150">
        <f>IF($B27="NA","NA",IF($B27&lt;=$D$12,0,MIN(IF($B27=($D$12+1),'Stage (5) Investment'!$I27,SUM($K26:O26)),'Stage (6) Investment:Stage (10) Investment'!$I27)-SUM($K27:N27)))</f>
        <v>0</v>
      </c>
      <c r="P27" s="150">
        <f>IF($B27="NA","NA",IF($B27&lt;=$D$13,0,MIN(IF($B27=($D$13+1),'Stage (6) Investment'!$I27,SUM($K26:P26)),'Stage (7) Investment:Stage (10) Investment'!$I27)-SUM($K27:O27)))</f>
        <v>0</v>
      </c>
      <c r="Q27" s="150">
        <f>IF($B27="NA","NA",IF($B27&lt;=$D$14,0,MIN(IF($B27=($D$14+1),'Stage (7) Investment'!$I27,SUM($K26:Q26)),'Stage (8) Investment:Stage (10) Investment'!$I27)-SUM($K27:P27)))</f>
        <v>0</v>
      </c>
      <c r="R27" s="150">
        <f>IF($B27="NA","NA",IF($B27&lt;=$D$15,0,MIN(IF($B27=($D$15+1),'Stage (8) Investment'!$I27,SUM($K26:R26)),'Stage (9) Investment:Stage (10) Investment'!$I27)-SUM($K27:Q27)))</f>
        <v>0</v>
      </c>
      <c r="S27" s="150">
        <f>IF($B27="NA","NA",IF($B27&lt;=$D$16,0,MIN(IF($B27=($D$16+1),'Stage (9) Investment'!$I27,SUM($K26:S26)),'Stage (10) Investment'!$I27)-SUM($K27:R27)))</f>
        <v>0</v>
      </c>
      <c r="T27" s="151">
        <f>IF($B27="NA","NA",IF($B27&lt;=$D$17,0,IF($B27=($D$17+1),'Stage (10) Investment'!$I27,SUM($K26:T26))-SUM($K27:S27)))</f>
        <v>0</v>
      </c>
    </row>
    <row r="28" spans="1:20" x14ac:dyDescent="0.2">
      <c r="A28" s="86">
        <f t="shared" si="4"/>
        <v>153</v>
      </c>
      <c r="B28" s="142">
        <f t="shared" si="3"/>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50">
        <f>IF(ISNUMBER(VLOOKUP($C28,'A4 Investment'!$A$24:$G$33,7,FALSE)),VLOOKUP($C28,'A4 Investment'!$A$24:$G$33,7,FALSE)*'A4 Investment'!G$18/12,0)</f>
        <v>0</v>
      </c>
      <c r="I28" s="151">
        <f t="shared" si="1"/>
        <v>8904.1666666666661</v>
      </c>
      <c r="J28" s="149">
        <f t="shared" si="2"/>
        <v>8904.1666666666661</v>
      </c>
      <c r="K28" s="150">
        <f>IF($B28="NA","NA",IF($B28&lt;=$D$8,0,MIN(IF($B28=($D$8+1),'Stage (1) Investment'!$I28,K27),'Stage (2) Investment:Stage (10) Investment'!$I28)))</f>
        <v>8904.1666666666661</v>
      </c>
      <c r="L28" s="150">
        <f>IF($B28="NA","NA",IF($B28&lt;=$D$9,0,MIN(IF($B28=($D$9+1),'Stage (2) Investment'!$I28,SUM($K27:L27)),'Stage (3) Investment:Stage (10) Investment'!$I28)-K28))</f>
        <v>0</v>
      </c>
      <c r="M28" s="150">
        <f>IF($B28="NA","NA",IF($B28&lt;=$D$10,0,MIN(IF($B28=($D$10+1),'Stage (3) Investment'!$I28,SUM($K27:M27)),'Stage (4) Investment:Stage (10) Investment'!$I28)-SUM($K28:L28)))</f>
        <v>0</v>
      </c>
      <c r="N28" s="150">
        <f>IF($B28="NA","NA",IF($B28&lt;=$D$11,0,MIN(IF($B28=($D$11+1),'Stage (4) Investment'!$I28,SUM($K27:N27)),'Stage (5) Investment:Stage (10) Investment'!$I28)-SUM($K28:M28)))</f>
        <v>0</v>
      </c>
      <c r="O28" s="150">
        <f>IF($B28="NA","NA",IF($B28&lt;=$D$12,0,MIN(IF($B28=($D$12+1),'Stage (5) Investment'!$I28,SUM($K27:O27)),'Stage (6) Investment:Stage (10) Investment'!$I28)-SUM($K28:N28)))</f>
        <v>0</v>
      </c>
      <c r="P28" s="150">
        <f>IF($B28="NA","NA",IF($B28&lt;=$D$13,0,MIN(IF($B28=($D$13+1),'Stage (6) Investment'!$I28,SUM($K27:P27)),'Stage (7) Investment:Stage (10) Investment'!$I28)-SUM($K28:O28)))</f>
        <v>0</v>
      </c>
      <c r="Q28" s="150">
        <f>IF($B28="NA","NA",IF($B28&lt;=$D$14,0,MIN(IF($B28=($D$14+1),'Stage (7) Investment'!$I28,SUM($K27:Q27)),'Stage (8) Investment:Stage (10) Investment'!$I28)-SUM($K28:P28)))</f>
        <v>0</v>
      </c>
      <c r="R28" s="150">
        <f>IF($B28="NA","NA",IF($B28&lt;=$D$15,0,MIN(IF($B28=($D$15+1),'Stage (8) Investment'!$I28,SUM($K27:R27)),'Stage (9) Investment:Stage (10) Investment'!$I28)-SUM($K28:Q28)))</f>
        <v>0</v>
      </c>
      <c r="S28" s="150">
        <f>IF($B28="NA","NA",IF($B28&lt;=$D$16,0,MIN(IF($B28=($D$16+1),'Stage (9) Investment'!$I28,SUM($K27:S27)),'Stage (10) Investment'!$I28)-SUM($K28:R28)))</f>
        <v>0</v>
      </c>
      <c r="T28" s="151">
        <f>IF($B28="NA","NA",IF($B28&lt;=$D$17,0,IF($B28=($D$17+1),'Stage (10) Investment'!$I28,SUM($K27:T27))-SUM($K28:S28)))</f>
        <v>0</v>
      </c>
    </row>
    <row r="29" spans="1:20" x14ac:dyDescent="0.2">
      <c r="A29" s="86">
        <f t="shared" si="4"/>
        <v>183</v>
      </c>
      <c r="B29" s="142">
        <f t="shared" si="3"/>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50">
        <f>IF(ISNUMBER(VLOOKUP($C29,'A4 Investment'!$A$24:$G$33,7,FALSE)),VLOOKUP($C29,'A4 Investment'!$A$24:$G$33,7,FALSE)*'A4 Investment'!G$18/12,0)</f>
        <v>0</v>
      </c>
      <c r="I29" s="151">
        <f t="shared" si="1"/>
        <v>8904.1666666666661</v>
      </c>
      <c r="J29" s="149">
        <f t="shared" si="2"/>
        <v>8904.1666666666661</v>
      </c>
      <c r="K29" s="150">
        <f>IF($B29="NA","NA",IF($B29&lt;=$D$8,0,MIN(IF($B29=($D$8+1),'Stage (1) Investment'!$I29,K28),'Stage (2) Investment:Stage (10) Investment'!$I29)))</f>
        <v>8904.1666666666661</v>
      </c>
      <c r="L29" s="150">
        <f>IF($B29="NA","NA",IF($B29&lt;=$D$9,0,MIN(IF($B29=($D$9+1),'Stage (2) Investment'!$I29,SUM($K28:L28)),'Stage (3) Investment:Stage (10) Investment'!$I29)-K29))</f>
        <v>0</v>
      </c>
      <c r="M29" s="150">
        <f>IF($B29="NA","NA",IF($B29&lt;=$D$10,0,MIN(IF($B29=($D$10+1),'Stage (3) Investment'!$I29,SUM($K28:M28)),'Stage (4) Investment:Stage (10) Investment'!$I29)-SUM($K29:L29)))</f>
        <v>0</v>
      </c>
      <c r="N29" s="150">
        <f>IF($B29="NA","NA",IF($B29&lt;=$D$11,0,MIN(IF($B29=($D$11+1),'Stage (4) Investment'!$I29,SUM($K28:N28)),'Stage (5) Investment:Stage (10) Investment'!$I29)-SUM($K29:M29)))</f>
        <v>0</v>
      </c>
      <c r="O29" s="150">
        <f>IF($B29="NA","NA",IF($B29&lt;=$D$12,0,MIN(IF($B29=($D$12+1),'Stage (5) Investment'!$I29,SUM($K28:O28)),'Stage (6) Investment:Stage (10) Investment'!$I29)-SUM($K29:N29)))</f>
        <v>0</v>
      </c>
      <c r="P29" s="150">
        <f>IF($B29="NA","NA",IF($B29&lt;=$D$13,0,MIN(IF($B29=($D$13+1),'Stage (6) Investment'!$I29,SUM($K28:P28)),'Stage (7) Investment:Stage (10) Investment'!$I29)-SUM($K29:O29)))</f>
        <v>0</v>
      </c>
      <c r="Q29" s="150">
        <f>IF($B29="NA","NA",IF($B29&lt;=$D$14,0,MIN(IF($B29=($D$14+1),'Stage (7) Investment'!$I29,SUM($K28:Q28)),'Stage (8) Investment:Stage (10) Investment'!$I29)-SUM($K29:P29)))</f>
        <v>0</v>
      </c>
      <c r="R29" s="150">
        <f>IF($B29="NA","NA",IF($B29&lt;=$D$15,0,MIN(IF($B29=($D$15+1),'Stage (8) Investment'!$I29,SUM($K28:R28)),'Stage (9) Investment:Stage (10) Investment'!$I29)-SUM($K29:Q29)))</f>
        <v>0</v>
      </c>
      <c r="S29" s="150">
        <f>IF($B29="NA","NA",IF($B29&lt;=$D$16,0,MIN(IF($B29=($D$16+1),'Stage (9) Investment'!$I29,SUM($K28:S28)),'Stage (10) Investment'!$I29)-SUM($K29:R29)))</f>
        <v>0</v>
      </c>
      <c r="T29" s="151">
        <f>IF($B29="NA","NA",IF($B29&lt;=$D$17,0,IF($B29=($D$17+1),'Stage (10) Investment'!$I29,SUM($K28:T28))-SUM($K29:S29)))</f>
        <v>0</v>
      </c>
    </row>
    <row r="30" spans="1:20" x14ac:dyDescent="0.2">
      <c r="A30" s="86">
        <f t="shared" si="4"/>
        <v>214</v>
      </c>
      <c r="B30" s="142">
        <f t="shared" si="3"/>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50">
        <f>IF(ISNUMBER(VLOOKUP($C30,'A4 Investment'!$A$24:$G$33,7,FALSE)),VLOOKUP($C30,'A4 Investment'!$A$24:$G$33,7,FALSE)*'A4 Investment'!G$18/12,0)</f>
        <v>0</v>
      </c>
      <c r="I30" s="151">
        <f t="shared" si="1"/>
        <v>8904.1666666666661</v>
      </c>
      <c r="J30" s="149">
        <f t="shared" si="2"/>
        <v>8904.1666666666661</v>
      </c>
      <c r="K30" s="150">
        <f>IF($B30="NA","NA",IF($B30&lt;=$D$8,0,MIN(IF($B30=($D$8+1),'Stage (1) Investment'!$I30,K29),'Stage (2) Investment:Stage (10) Investment'!$I30)))</f>
        <v>8904.1666666666661</v>
      </c>
      <c r="L30" s="150">
        <f>IF($B30="NA","NA",IF($B30&lt;=$D$9,0,MIN(IF($B30=($D$9+1),'Stage (2) Investment'!$I30,SUM($K29:L29)),'Stage (3) Investment:Stage (10) Investment'!$I30)-K30))</f>
        <v>0</v>
      </c>
      <c r="M30" s="150">
        <f>IF($B30="NA","NA",IF($B30&lt;=$D$10,0,MIN(IF($B30=($D$10+1),'Stage (3) Investment'!$I30,SUM($K29:M29)),'Stage (4) Investment:Stage (10) Investment'!$I30)-SUM($K30:L30)))</f>
        <v>0</v>
      </c>
      <c r="N30" s="150">
        <f>IF($B30="NA","NA",IF($B30&lt;=$D$11,0,MIN(IF($B30=($D$11+1),'Stage (4) Investment'!$I30,SUM($K29:N29)),'Stage (5) Investment:Stage (10) Investment'!$I30)-SUM($K30:M30)))</f>
        <v>0</v>
      </c>
      <c r="O30" s="150">
        <f>IF($B30="NA","NA",IF($B30&lt;=$D$12,0,MIN(IF($B30=($D$12+1),'Stage (5) Investment'!$I30,SUM($K29:O29)),'Stage (6) Investment:Stage (10) Investment'!$I30)-SUM($K30:N30)))</f>
        <v>0</v>
      </c>
      <c r="P30" s="150">
        <f>IF($B30="NA","NA",IF($B30&lt;=$D$13,0,MIN(IF($B30=($D$13+1),'Stage (6) Investment'!$I30,SUM($K29:P29)),'Stage (7) Investment:Stage (10) Investment'!$I30)-SUM($K30:O30)))</f>
        <v>0</v>
      </c>
      <c r="Q30" s="150">
        <f>IF($B30="NA","NA",IF($B30&lt;=$D$14,0,MIN(IF($B30=($D$14+1),'Stage (7) Investment'!$I30,SUM($K29:Q29)),'Stage (8) Investment:Stage (10) Investment'!$I30)-SUM($K30:P30)))</f>
        <v>0</v>
      </c>
      <c r="R30" s="150">
        <f>IF($B30="NA","NA",IF($B30&lt;=$D$15,0,MIN(IF($B30=($D$15+1),'Stage (8) Investment'!$I30,SUM($K29:R29)),'Stage (9) Investment:Stage (10) Investment'!$I30)-SUM($K30:Q30)))</f>
        <v>0</v>
      </c>
      <c r="S30" s="150">
        <f>IF($B30="NA","NA",IF($B30&lt;=$D$16,0,MIN(IF($B30=($D$16+1),'Stage (9) Investment'!$I30,SUM($K29:S29)),'Stage (10) Investment'!$I30)-SUM($K30:R30)))</f>
        <v>0</v>
      </c>
      <c r="T30" s="151">
        <f>IF($B30="NA","NA",IF($B30&lt;=$D$17,0,IF($B30=($D$17+1),'Stage (10) Investment'!$I30,SUM($K29:T29))-SUM($K30:S30)))</f>
        <v>0</v>
      </c>
    </row>
    <row r="31" spans="1:20" x14ac:dyDescent="0.2">
      <c r="A31" s="86">
        <f t="shared" si="4"/>
        <v>245</v>
      </c>
      <c r="B31" s="142">
        <f t="shared" si="3"/>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50">
        <f>IF(ISNUMBER(VLOOKUP($C31,'A4 Investment'!$A$24:$G$33,7,FALSE)),VLOOKUP($C31,'A4 Investment'!$A$24:$G$33,7,FALSE)*'A4 Investment'!G$18/12,0)</f>
        <v>0</v>
      </c>
      <c r="I31" s="151">
        <f t="shared" si="1"/>
        <v>8904.1666666666661</v>
      </c>
      <c r="J31" s="149">
        <f t="shared" si="2"/>
        <v>8904.1666666666661</v>
      </c>
      <c r="K31" s="150">
        <f>IF($B31="NA","NA",IF($B31&lt;=$D$8,0,MIN(IF($B31=($D$8+1),'Stage (1) Investment'!$I31,K30),'Stage (2) Investment:Stage (10) Investment'!$I31)))</f>
        <v>8904.1666666666661</v>
      </c>
      <c r="L31" s="150">
        <f>IF($B31="NA","NA",IF($B31&lt;=$D$9,0,MIN(IF($B31=($D$9+1),'Stage (2) Investment'!$I31,SUM($K30:L30)),'Stage (3) Investment:Stage (10) Investment'!$I31)-K31))</f>
        <v>0</v>
      </c>
      <c r="M31" s="150">
        <f>IF($B31="NA","NA",IF($B31&lt;=$D$10,0,MIN(IF($B31=($D$10+1),'Stage (3) Investment'!$I31,SUM($K30:M30)),'Stage (4) Investment:Stage (10) Investment'!$I31)-SUM($K31:L31)))</f>
        <v>0</v>
      </c>
      <c r="N31" s="150">
        <f>IF($B31="NA","NA",IF($B31&lt;=$D$11,0,MIN(IF($B31=($D$11+1),'Stage (4) Investment'!$I31,SUM($K30:N30)),'Stage (5) Investment:Stage (10) Investment'!$I31)-SUM($K31:M31)))</f>
        <v>0</v>
      </c>
      <c r="O31" s="150">
        <f>IF($B31="NA","NA",IF($B31&lt;=$D$12,0,MIN(IF($B31=($D$12+1),'Stage (5) Investment'!$I31,SUM($K30:O30)),'Stage (6) Investment:Stage (10) Investment'!$I31)-SUM($K31:N31)))</f>
        <v>0</v>
      </c>
      <c r="P31" s="150">
        <f>IF($B31="NA","NA",IF($B31&lt;=$D$13,0,MIN(IF($B31=($D$13+1),'Stage (6) Investment'!$I31,SUM($K30:P30)),'Stage (7) Investment:Stage (10) Investment'!$I31)-SUM($K31:O31)))</f>
        <v>0</v>
      </c>
      <c r="Q31" s="150">
        <f>IF($B31="NA","NA",IF($B31&lt;=$D$14,0,MIN(IF($B31=($D$14+1),'Stage (7) Investment'!$I31,SUM($K30:Q30)),'Stage (8) Investment:Stage (10) Investment'!$I31)-SUM($K31:P31)))</f>
        <v>0</v>
      </c>
      <c r="R31" s="150">
        <f>IF($B31="NA","NA",IF($B31&lt;=$D$15,0,MIN(IF($B31=($D$15+1),'Stage (8) Investment'!$I31,SUM($K30:R30)),'Stage (9) Investment:Stage (10) Investment'!$I31)-SUM($K31:Q31)))</f>
        <v>0</v>
      </c>
      <c r="S31" s="150">
        <f>IF($B31="NA","NA",IF($B31&lt;=$D$16,0,MIN(IF($B31=($D$16+1),'Stage (9) Investment'!$I31,SUM($K30:S30)),'Stage (10) Investment'!$I31)-SUM($K31:R31)))</f>
        <v>0</v>
      </c>
      <c r="T31" s="151">
        <f>IF($B31="NA","NA",IF($B31&lt;=$D$17,0,IF($B31=($D$17+1),'Stage (10) Investment'!$I31,SUM($K30:T30))-SUM($K31:S31)))</f>
        <v>0</v>
      </c>
    </row>
    <row r="32" spans="1:20" x14ac:dyDescent="0.2">
      <c r="A32" s="86">
        <f t="shared" si="4"/>
        <v>275</v>
      </c>
      <c r="B32" s="142">
        <f t="shared" si="3"/>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50">
        <f>IF(ISNUMBER(VLOOKUP($C32,'A4 Investment'!$A$24:$G$33,7,FALSE)),VLOOKUP($C32,'A4 Investment'!$A$24:$G$33,7,FALSE)*'A4 Investment'!G$18/12,0)</f>
        <v>0</v>
      </c>
      <c r="I32" s="151">
        <f t="shared" si="1"/>
        <v>8904.1666666666661</v>
      </c>
      <c r="J32" s="149">
        <f t="shared" si="2"/>
        <v>8904.1666666666661</v>
      </c>
      <c r="K32" s="150">
        <f>IF($B32="NA","NA",IF($B32&lt;=$D$8,0,MIN(IF($B32=($D$8+1),'Stage (1) Investment'!$I32,K31),'Stage (2) Investment:Stage (10) Investment'!$I32)))</f>
        <v>8904.1666666666661</v>
      </c>
      <c r="L32" s="150">
        <f>IF($B32="NA","NA",IF($B32&lt;=$D$9,0,MIN(IF($B32=($D$9+1),'Stage (2) Investment'!$I32,SUM($K31:L31)),'Stage (3) Investment:Stage (10) Investment'!$I32)-K32))</f>
        <v>0</v>
      </c>
      <c r="M32" s="150">
        <f>IF($B32="NA","NA",IF($B32&lt;=$D$10,0,MIN(IF($B32=($D$10+1),'Stage (3) Investment'!$I32,SUM($K31:M31)),'Stage (4) Investment:Stage (10) Investment'!$I32)-SUM($K32:L32)))</f>
        <v>0</v>
      </c>
      <c r="N32" s="150">
        <f>IF($B32="NA","NA",IF($B32&lt;=$D$11,0,MIN(IF($B32=($D$11+1),'Stage (4) Investment'!$I32,SUM($K31:N31)),'Stage (5) Investment:Stage (10) Investment'!$I32)-SUM($K32:M32)))</f>
        <v>0</v>
      </c>
      <c r="O32" s="150">
        <f>IF($B32="NA","NA",IF($B32&lt;=$D$12,0,MIN(IF($B32=($D$12+1),'Stage (5) Investment'!$I32,SUM($K31:O31)),'Stage (6) Investment:Stage (10) Investment'!$I32)-SUM($K32:N32)))</f>
        <v>0</v>
      </c>
      <c r="P32" s="150">
        <f>IF($B32="NA","NA",IF($B32&lt;=$D$13,0,MIN(IF($B32=($D$13+1),'Stage (6) Investment'!$I32,SUM($K31:P31)),'Stage (7) Investment:Stage (10) Investment'!$I32)-SUM($K32:O32)))</f>
        <v>0</v>
      </c>
      <c r="Q32" s="150">
        <f>IF($B32="NA","NA",IF($B32&lt;=$D$14,0,MIN(IF($B32=($D$14+1),'Stage (7) Investment'!$I32,SUM($K31:Q31)),'Stage (8) Investment:Stage (10) Investment'!$I32)-SUM($K32:P32)))</f>
        <v>0</v>
      </c>
      <c r="R32" s="150">
        <f>IF($B32="NA","NA",IF($B32&lt;=$D$15,0,MIN(IF($B32=($D$15+1),'Stage (8) Investment'!$I32,SUM($K31:R31)),'Stage (9) Investment:Stage (10) Investment'!$I32)-SUM($K32:Q32)))</f>
        <v>0</v>
      </c>
      <c r="S32" s="150">
        <f>IF($B32="NA","NA",IF($B32&lt;=$D$16,0,MIN(IF($B32=($D$16+1),'Stage (9) Investment'!$I32,SUM($K31:S31)),'Stage (10) Investment'!$I32)-SUM($K32:R32)))</f>
        <v>0</v>
      </c>
      <c r="T32" s="151">
        <f>IF($B32="NA","NA",IF($B32&lt;=$D$17,0,IF($B32=($D$17+1),'Stage (10) Investment'!$I32,SUM($K31:T31))-SUM($K32:S32)))</f>
        <v>0</v>
      </c>
    </row>
    <row r="33" spans="1:20" x14ac:dyDescent="0.2">
      <c r="A33" s="86">
        <f t="shared" si="4"/>
        <v>306</v>
      </c>
      <c r="B33" s="142">
        <f t="shared" si="3"/>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50">
        <f>IF(ISNUMBER(VLOOKUP($C33,'A4 Investment'!$A$24:$G$33,7,FALSE)),VLOOKUP($C33,'A4 Investment'!$A$24:$G$33,7,FALSE)*'A4 Investment'!G$18/12,0)</f>
        <v>0</v>
      </c>
      <c r="I33" s="151">
        <f t="shared" si="1"/>
        <v>8904.1666666666661</v>
      </c>
      <c r="J33" s="149">
        <f t="shared" si="2"/>
        <v>8904.1666666666661</v>
      </c>
      <c r="K33" s="150">
        <f>IF($B33="NA","NA",IF($B33&lt;=$D$8,0,MIN(IF($B33=($D$8+1),'Stage (1) Investment'!$I33,K32),'Stage (2) Investment:Stage (10) Investment'!$I33)))</f>
        <v>8904.1666666666661</v>
      </c>
      <c r="L33" s="150">
        <f>IF($B33="NA","NA",IF($B33&lt;=$D$9,0,MIN(IF($B33=($D$9+1),'Stage (2) Investment'!$I33,SUM($K32:L32)),'Stage (3) Investment:Stage (10) Investment'!$I33)-K33))</f>
        <v>0</v>
      </c>
      <c r="M33" s="150">
        <f>IF($B33="NA","NA",IF($B33&lt;=$D$10,0,MIN(IF($B33=($D$10+1),'Stage (3) Investment'!$I33,SUM($K32:M32)),'Stage (4) Investment:Stage (10) Investment'!$I33)-SUM($K33:L33)))</f>
        <v>0</v>
      </c>
      <c r="N33" s="150">
        <f>IF($B33="NA","NA",IF($B33&lt;=$D$11,0,MIN(IF($B33=($D$11+1),'Stage (4) Investment'!$I33,SUM($K32:N32)),'Stage (5) Investment:Stage (10) Investment'!$I33)-SUM($K33:M33)))</f>
        <v>0</v>
      </c>
      <c r="O33" s="150">
        <f>IF($B33="NA","NA",IF($B33&lt;=$D$12,0,MIN(IF($B33=($D$12+1),'Stage (5) Investment'!$I33,SUM($K32:O32)),'Stage (6) Investment:Stage (10) Investment'!$I33)-SUM($K33:N33)))</f>
        <v>0</v>
      </c>
      <c r="P33" s="150">
        <f>IF($B33="NA","NA",IF($B33&lt;=$D$13,0,MIN(IF($B33=($D$13+1),'Stage (6) Investment'!$I33,SUM($K32:P32)),'Stage (7) Investment:Stage (10) Investment'!$I33)-SUM($K33:O33)))</f>
        <v>0</v>
      </c>
      <c r="Q33" s="150">
        <f>IF($B33="NA","NA",IF($B33&lt;=$D$14,0,MIN(IF($B33=($D$14+1),'Stage (7) Investment'!$I33,SUM($K32:Q32)),'Stage (8) Investment:Stage (10) Investment'!$I33)-SUM($K33:P33)))</f>
        <v>0</v>
      </c>
      <c r="R33" s="150">
        <f>IF($B33="NA","NA",IF($B33&lt;=$D$15,0,MIN(IF($B33=($D$15+1),'Stage (8) Investment'!$I33,SUM($K32:R32)),'Stage (9) Investment:Stage (10) Investment'!$I33)-SUM($K33:Q33)))</f>
        <v>0</v>
      </c>
      <c r="S33" s="150">
        <f>IF($B33="NA","NA",IF($B33&lt;=$D$16,0,MIN(IF($B33=($D$16+1),'Stage (9) Investment'!$I33,SUM($K32:S32)),'Stage (10) Investment'!$I33)-SUM($K33:R33)))</f>
        <v>0</v>
      </c>
      <c r="T33" s="151">
        <f>IF($B33="NA","NA",IF($B33&lt;=$D$17,0,IF($B33=($D$17+1),'Stage (10) Investment'!$I33,SUM($K32:T32))-SUM($K33:S33)))</f>
        <v>0</v>
      </c>
    </row>
    <row r="34" spans="1:20" x14ac:dyDescent="0.2">
      <c r="A34" s="86">
        <f t="shared" si="4"/>
        <v>336</v>
      </c>
      <c r="B34" s="142">
        <f t="shared" si="3"/>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50">
        <f>IF(ISNUMBER(VLOOKUP($C34,'A4 Investment'!$A$24:$G$33,7,FALSE)),VLOOKUP($C34,'A4 Investment'!$A$24:$G$33,7,FALSE)*'A4 Investment'!G$18/12,0)</f>
        <v>0</v>
      </c>
      <c r="I34" s="151">
        <f t="shared" si="1"/>
        <v>8904.1666666666661</v>
      </c>
      <c r="J34" s="149">
        <f t="shared" si="2"/>
        <v>8904.1666666666661</v>
      </c>
      <c r="K34" s="150">
        <f>IF($B34="NA","NA",IF($B34&lt;=$D$8,0,MIN(IF($B34=($D$8+1),'Stage (1) Investment'!$I34,K33),'Stage (2) Investment:Stage (10) Investment'!$I34)))</f>
        <v>8904.1666666666661</v>
      </c>
      <c r="L34" s="150">
        <f>IF($B34="NA","NA",IF($B34&lt;=$D$9,0,MIN(IF($B34=($D$9+1),'Stage (2) Investment'!$I34,SUM($K33:L33)),'Stage (3) Investment:Stage (10) Investment'!$I34)-K34))</f>
        <v>0</v>
      </c>
      <c r="M34" s="150">
        <f>IF($B34="NA","NA",IF($B34&lt;=$D$10,0,MIN(IF($B34=($D$10+1),'Stage (3) Investment'!$I34,SUM($K33:M33)),'Stage (4) Investment:Stage (10) Investment'!$I34)-SUM($K34:L34)))</f>
        <v>0</v>
      </c>
      <c r="N34" s="150">
        <f>IF($B34="NA","NA",IF($B34&lt;=$D$11,0,MIN(IF($B34=($D$11+1),'Stage (4) Investment'!$I34,SUM($K33:N33)),'Stage (5) Investment:Stage (10) Investment'!$I34)-SUM($K34:M34)))</f>
        <v>0</v>
      </c>
      <c r="O34" s="150">
        <f>IF($B34="NA","NA",IF($B34&lt;=$D$12,0,MIN(IF($B34=($D$12+1),'Stage (5) Investment'!$I34,SUM($K33:O33)),'Stage (6) Investment:Stage (10) Investment'!$I34)-SUM($K34:N34)))</f>
        <v>0</v>
      </c>
      <c r="P34" s="150">
        <f>IF($B34="NA","NA",IF($B34&lt;=$D$13,0,MIN(IF($B34=($D$13+1),'Stage (6) Investment'!$I34,SUM($K33:P33)),'Stage (7) Investment:Stage (10) Investment'!$I34)-SUM($K34:O34)))</f>
        <v>0</v>
      </c>
      <c r="Q34" s="150">
        <f>IF($B34="NA","NA",IF($B34&lt;=$D$14,0,MIN(IF($B34=($D$14+1),'Stage (7) Investment'!$I34,SUM($K33:Q33)),'Stage (8) Investment:Stage (10) Investment'!$I34)-SUM($K34:P34)))</f>
        <v>0</v>
      </c>
      <c r="R34" s="150">
        <f>IF($B34="NA","NA",IF($B34&lt;=$D$15,0,MIN(IF($B34=($D$15+1),'Stage (8) Investment'!$I34,SUM($K33:R33)),'Stage (9) Investment:Stage (10) Investment'!$I34)-SUM($K34:Q34)))</f>
        <v>0</v>
      </c>
      <c r="S34" s="150">
        <f>IF($B34="NA","NA",IF($B34&lt;=$D$16,0,MIN(IF($B34=($D$16+1),'Stage (9) Investment'!$I34,SUM($K33:S33)),'Stage (10) Investment'!$I34)-SUM($K34:R34)))</f>
        <v>0</v>
      </c>
      <c r="T34" s="151">
        <f>IF($B34="NA","NA",IF($B34&lt;=$D$17,0,IF($B34=($D$17+1),'Stage (10) Investment'!$I34,SUM($K33:T33))-SUM($K34:S34)))</f>
        <v>0</v>
      </c>
    </row>
    <row r="35" spans="1:20" x14ac:dyDescent="0.2">
      <c r="A35" s="86">
        <f t="shared" si="4"/>
        <v>367</v>
      </c>
      <c r="B35" s="142">
        <f t="shared" si="3"/>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50">
        <f>IF(ISNUMBER(VLOOKUP($C35,'A4 Investment'!$A$24:$G$33,7,FALSE)),VLOOKUP($C35,'A4 Investment'!$A$24:$G$33,7,FALSE)*'A4 Investment'!G$18/12,0)</f>
        <v>0</v>
      </c>
      <c r="I35" s="151">
        <f t="shared" si="1"/>
        <v>8904.1666666666661</v>
      </c>
      <c r="J35" s="149">
        <f t="shared" si="2"/>
        <v>8904.1666666666661</v>
      </c>
      <c r="K35" s="150">
        <f>IF($B35="NA","NA",IF($B35&lt;=$D$8,0,MIN(IF($B35=($D$8+1),'Stage (1) Investment'!$I35,K34),'Stage (2) Investment:Stage (10) Investment'!$I35)))</f>
        <v>8904.1666666666661</v>
      </c>
      <c r="L35" s="150">
        <f>IF($B35="NA","NA",IF($B35&lt;=$D$9,0,MIN(IF($B35=($D$9+1),'Stage (2) Investment'!$I35,SUM($K34:L34)),'Stage (3) Investment:Stage (10) Investment'!$I35)-K35))</f>
        <v>0</v>
      </c>
      <c r="M35" s="150">
        <f>IF($B35="NA","NA",IF($B35&lt;=$D$10,0,MIN(IF($B35=($D$10+1),'Stage (3) Investment'!$I35,SUM($K34:M34)),'Stage (4) Investment:Stage (10) Investment'!$I35)-SUM($K35:L35)))</f>
        <v>0</v>
      </c>
      <c r="N35" s="150">
        <f>IF($B35="NA","NA",IF($B35&lt;=$D$11,0,MIN(IF($B35=($D$11+1),'Stage (4) Investment'!$I35,SUM($K34:N34)),'Stage (5) Investment:Stage (10) Investment'!$I35)-SUM($K35:M35)))</f>
        <v>0</v>
      </c>
      <c r="O35" s="150">
        <f>IF($B35="NA","NA",IF($B35&lt;=$D$12,0,MIN(IF($B35=($D$12+1),'Stage (5) Investment'!$I35,SUM($K34:O34)),'Stage (6) Investment:Stage (10) Investment'!$I35)-SUM($K35:N35)))</f>
        <v>0</v>
      </c>
      <c r="P35" s="150">
        <f>IF($B35="NA","NA",IF($B35&lt;=$D$13,0,MIN(IF($B35=($D$13+1),'Stage (6) Investment'!$I35,SUM($K34:P34)),'Stage (7) Investment:Stage (10) Investment'!$I35)-SUM($K35:O35)))</f>
        <v>0</v>
      </c>
      <c r="Q35" s="150">
        <f>IF($B35="NA","NA",IF($B35&lt;=$D$14,0,MIN(IF($B35=($D$14+1),'Stage (7) Investment'!$I35,SUM($K34:Q34)),'Stage (8) Investment:Stage (10) Investment'!$I35)-SUM($K35:P35)))</f>
        <v>0</v>
      </c>
      <c r="R35" s="150">
        <f>IF($B35="NA","NA",IF($B35&lt;=$D$15,0,MIN(IF($B35=($D$15+1),'Stage (8) Investment'!$I35,SUM($K34:R34)),'Stage (9) Investment:Stage (10) Investment'!$I35)-SUM($K35:Q35)))</f>
        <v>0</v>
      </c>
      <c r="S35" s="150">
        <f>IF($B35="NA","NA",IF($B35&lt;=$D$16,0,MIN(IF($B35=($D$16+1),'Stage (9) Investment'!$I35,SUM($K34:S34)),'Stage (10) Investment'!$I35)-SUM($K35:R35)))</f>
        <v>0</v>
      </c>
      <c r="T35" s="151">
        <f>IF($B35="NA","NA",IF($B35&lt;=$D$17,0,IF($B35=($D$17+1),'Stage (10) Investment'!$I35,SUM($K34:T34))-SUM($K35:S35)))</f>
        <v>0</v>
      </c>
    </row>
    <row r="36" spans="1:20" x14ac:dyDescent="0.2">
      <c r="A36" s="86">
        <f t="shared" si="4"/>
        <v>398</v>
      </c>
      <c r="B36" s="142">
        <f t="shared" si="3"/>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50">
        <f>IF(ISNUMBER(VLOOKUP($C36,'A4 Investment'!$A$24:$G$33,7,FALSE)),VLOOKUP($C36,'A4 Investment'!$A$24:$G$33,7,FALSE)*'A4 Investment'!G$18/12,0)</f>
        <v>0</v>
      </c>
      <c r="I36" s="151">
        <f t="shared" si="1"/>
        <v>8904.1666666666661</v>
      </c>
      <c r="J36" s="149">
        <f t="shared" si="2"/>
        <v>8904.1666666666661</v>
      </c>
      <c r="K36" s="150">
        <f>IF($B36="NA","NA",IF($B36&lt;=$D$8,0,MIN(IF($B36=($D$8+1),'Stage (1) Investment'!$I36,K35),'Stage (2) Investment:Stage (10) Investment'!$I36)))</f>
        <v>8904.1666666666661</v>
      </c>
      <c r="L36" s="150">
        <f>IF($B36="NA","NA",IF($B36&lt;=$D$9,0,MIN(IF($B36=($D$9+1),'Stage (2) Investment'!$I36,SUM($K35:L35)),'Stage (3) Investment:Stage (10) Investment'!$I36)-K36))</f>
        <v>0</v>
      </c>
      <c r="M36" s="150">
        <f>IF($B36="NA","NA",IF($B36&lt;=$D$10,0,MIN(IF($B36=($D$10+1),'Stage (3) Investment'!$I36,SUM($K35:M35)),'Stage (4) Investment:Stage (10) Investment'!$I36)-SUM($K36:L36)))</f>
        <v>0</v>
      </c>
      <c r="N36" s="150">
        <f>IF($B36="NA","NA",IF($B36&lt;=$D$11,0,MIN(IF($B36=($D$11+1),'Stage (4) Investment'!$I36,SUM($K35:N35)),'Stage (5) Investment:Stage (10) Investment'!$I36)-SUM($K36:M36)))</f>
        <v>0</v>
      </c>
      <c r="O36" s="150">
        <f>IF($B36="NA","NA",IF($B36&lt;=$D$12,0,MIN(IF($B36=($D$12+1),'Stage (5) Investment'!$I36,SUM($K35:O35)),'Stage (6) Investment:Stage (10) Investment'!$I36)-SUM($K36:N36)))</f>
        <v>0</v>
      </c>
      <c r="P36" s="150">
        <f>IF($B36="NA","NA",IF($B36&lt;=$D$13,0,MIN(IF($B36=($D$13+1),'Stage (6) Investment'!$I36,SUM($K35:P35)),'Stage (7) Investment:Stage (10) Investment'!$I36)-SUM($K36:O36)))</f>
        <v>0</v>
      </c>
      <c r="Q36" s="150">
        <f>IF($B36="NA","NA",IF($B36&lt;=$D$14,0,MIN(IF($B36=($D$14+1),'Stage (7) Investment'!$I36,SUM($K35:Q35)),'Stage (8) Investment:Stage (10) Investment'!$I36)-SUM($K36:P36)))</f>
        <v>0</v>
      </c>
      <c r="R36" s="150">
        <f>IF($B36="NA","NA",IF($B36&lt;=$D$15,0,MIN(IF($B36=($D$15+1),'Stage (8) Investment'!$I36,SUM($K35:R35)),'Stage (9) Investment:Stage (10) Investment'!$I36)-SUM($K36:Q36)))</f>
        <v>0</v>
      </c>
      <c r="S36" s="150">
        <f>IF($B36="NA","NA",IF($B36&lt;=$D$16,0,MIN(IF($B36=($D$16+1),'Stage (9) Investment'!$I36,SUM($K35:S35)),'Stage (10) Investment'!$I36)-SUM($K36:R36)))</f>
        <v>0</v>
      </c>
      <c r="T36" s="151">
        <f>IF($B36="NA","NA",IF($B36&lt;=$D$17,0,IF($B36=($D$17+1),'Stage (10) Investment'!$I36,SUM($K35:T35))-SUM($K36:S36)))</f>
        <v>0</v>
      </c>
    </row>
    <row r="37" spans="1:20" x14ac:dyDescent="0.2">
      <c r="A37" s="86">
        <f t="shared" si="4"/>
        <v>426</v>
      </c>
      <c r="B37" s="142">
        <f t="shared" si="3"/>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50">
        <f>IF(ISNUMBER(VLOOKUP($C37,'A4 Investment'!$A$24:$G$33,7,FALSE)),VLOOKUP($C37,'A4 Investment'!$A$24:$G$33,7,FALSE)*'A4 Investment'!G$18/12,0)</f>
        <v>0</v>
      </c>
      <c r="I37" s="151">
        <f t="shared" si="1"/>
        <v>8904.1666666666661</v>
      </c>
      <c r="J37" s="149">
        <f t="shared" si="2"/>
        <v>8904.1666666666661</v>
      </c>
      <c r="K37" s="150">
        <f>IF($B37="NA","NA",IF($B37&lt;=$D$8,0,MIN(IF($B37=($D$8+1),'Stage (1) Investment'!$I37,K36),'Stage (2) Investment:Stage (10) Investment'!$I37)))</f>
        <v>8904.1666666666661</v>
      </c>
      <c r="L37" s="150">
        <f>IF($B37="NA","NA",IF($B37&lt;=$D$9,0,MIN(IF($B37=($D$9+1),'Stage (2) Investment'!$I37,SUM($K36:L36)),'Stage (3) Investment:Stage (10) Investment'!$I37)-K37))</f>
        <v>0</v>
      </c>
      <c r="M37" s="150">
        <f>IF($B37="NA","NA",IF($B37&lt;=$D$10,0,MIN(IF($B37=($D$10+1),'Stage (3) Investment'!$I37,SUM($K36:M36)),'Stage (4) Investment:Stage (10) Investment'!$I37)-SUM($K37:L37)))</f>
        <v>0</v>
      </c>
      <c r="N37" s="150">
        <f>IF($B37="NA","NA",IF($B37&lt;=$D$11,0,MIN(IF($B37=($D$11+1),'Stage (4) Investment'!$I37,SUM($K36:N36)),'Stage (5) Investment:Stage (10) Investment'!$I37)-SUM($K37:M37)))</f>
        <v>0</v>
      </c>
      <c r="O37" s="150">
        <f>IF($B37="NA","NA",IF($B37&lt;=$D$12,0,MIN(IF($B37=($D$12+1),'Stage (5) Investment'!$I37,SUM($K36:O36)),'Stage (6) Investment:Stage (10) Investment'!$I37)-SUM($K37:N37)))</f>
        <v>0</v>
      </c>
      <c r="P37" s="150">
        <f>IF($B37="NA","NA",IF($B37&lt;=$D$13,0,MIN(IF($B37=($D$13+1),'Stage (6) Investment'!$I37,SUM($K36:P36)),'Stage (7) Investment:Stage (10) Investment'!$I37)-SUM($K37:O37)))</f>
        <v>0</v>
      </c>
      <c r="Q37" s="150">
        <f>IF($B37="NA","NA",IF($B37&lt;=$D$14,0,MIN(IF($B37=($D$14+1),'Stage (7) Investment'!$I37,SUM($K36:Q36)),'Stage (8) Investment:Stage (10) Investment'!$I37)-SUM($K37:P37)))</f>
        <v>0</v>
      </c>
      <c r="R37" s="150">
        <f>IF($B37="NA","NA",IF($B37&lt;=$D$15,0,MIN(IF($B37=($D$15+1),'Stage (8) Investment'!$I37,SUM($K36:R36)),'Stage (9) Investment:Stage (10) Investment'!$I37)-SUM($K37:Q37)))</f>
        <v>0</v>
      </c>
      <c r="S37" s="150">
        <f>IF($B37="NA","NA",IF($B37&lt;=$D$16,0,MIN(IF($B37=($D$16+1),'Stage (9) Investment'!$I37,SUM($K36:S36)),'Stage (10) Investment'!$I37)-SUM($K37:R37)))</f>
        <v>0</v>
      </c>
      <c r="T37" s="151">
        <f>IF($B37="NA","NA",IF($B37&lt;=$D$17,0,IF($B37=($D$17+1),'Stage (10) Investment'!$I37,SUM($K36:T36))-SUM($K37:S37)))</f>
        <v>0</v>
      </c>
    </row>
    <row r="38" spans="1:20" x14ac:dyDescent="0.2">
      <c r="A38" s="86">
        <f t="shared" si="4"/>
        <v>457</v>
      </c>
      <c r="B38" s="142">
        <f t="shared" si="3"/>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50">
        <f>IF(ISNUMBER(VLOOKUP($C38,'A4 Investment'!$A$24:$G$33,7,FALSE)),VLOOKUP($C38,'A4 Investment'!$A$24:$G$33,7,FALSE)*'A4 Investment'!G$18/12,0)</f>
        <v>0</v>
      </c>
      <c r="I38" s="151">
        <f t="shared" si="1"/>
        <v>8904.1666666666661</v>
      </c>
      <c r="J38" s="149">
        <f t="shared" si="2"/>
        <v>8904.1666666666661</v>
      </c>
      <c r="K38" s="150">
        <f>IF($B38="NA","NA",IF($B38&lt;=$D$8,0,MIN(IF($B38=($D$8+1),'Stage (1) Investment'!$I38,K37),'Stage (2) Investment:Stage (10) Investment'!$I38)))</f>
        <v>8904.1666666666661</v>
      </c>
      <c r="L38" s="150">
        <f>IF($B38="NA","NA",IF($B38&lt;=$D$9,0,MIN(IF($B38=($D$9+1),'Stage (2) Investment'!$I38,SUM($K37:L37)),'Stage (3) Investment:Stage (10) Investment'!$I38)-K38))</f>
        <v>0</v>
      </c>
      <c r="M38" s="150">
        <f>IF($B38="NA","NA",IF($B38&lt;=$D$10,0,MIN(IF($B38=($D$10+1),'Stage (3) Investment'!$I38,SUM($K37:M37)),'Stage (4) Investment:Stage (10) Investment'!$I38)-SUM($K38:L38)))</f>
        <v>0</v>
      </c>
      <c r="N38" s="150">
        <f>IF($B38="NA","NA",IF($B38&lt;=$D$11,0,MIN(IF($B38=($D$11+1),'Stage (4) Investment'!$I38,SUM($K37:N37)),'Stage (5) Investment:Stage (10) Investment'!$I38)-SUM($K38:M38)))</f>
        <v>0</v>
      </c>
      <c r="O38" s="150">
        <f>IF($B38="NA","NA",IF($B38&lt;=$D$12,0,MIN(IF($B38=($D$12+1),'Stage (5) Investment'!$I38,SUM($K37:O37)),'Stage (6) Investment:Stage (10) Investment'!$I38)-SUM($K38:N38)))</f>
        <v>0</v>
      </c>
      <c r="P38" s="150">
        <f>IF($B38="NA","NA",IF($B38&lt;=$D$13,0,MIN(IF($B38=($D$13+1),'Stage (6) Investment'!$I38,SUM($K37:P37)),'Stage (7) Investment:Stage (10) Investment'!$I38)-SUM($K38:O38)))</f>
        <v>0</v>
      </c>
      <c r="Q38" s="150">
        <f>IF($B38="NA","NA",IF($B38&lt;=$D$14,0,MIN(IF($B38=($D$14+1),'Stage (7) Investment'!$I38,SUM($K37:Q37)),'Stage (8) Investment:Stage (10) Investment'!$I38)-SUM($K38:P38)))</f>
        <v>0</v>
      </c>
      <c r="R38" s="150">
        <f>IF($B38="NA","NA",IF($B38&lt;=$D$15,0,MIN(IF($B38=($D$15+1),'Stage (8) Investment'!$I38,SUM($K37:R37)),'Stage (9) Investment:Stage (10) Investment'!$I38)-SUM($K38:Q38)))</f>
        <v>0</v>
      </c>
      <c r="S38" s="150">
        <f>IF($B38="NA","NA",IF($B38&lt;=$D$16,0,MIN(IF($B38=($D$16+1),'Stage (9) Investment'!$I38,SUM($K37:S37)),'Stage (10) Investment'!$I38)-SUM($K38:R38)))</f>
        <v>0</v>
      </c>
      <c r="T38" s="151">
        <f>IF($B38="NA","NA",IF($B38&lt;=$D$17,0,IF($B38=($D$17+1),'Stage (10) Investment'!$I38,SUM($K37:T37))-SUM($K38:S38)))</f>
        <v>0</v>
      </c>
    </row>
    <row r="39" spans="1:20" x14ac:dyDescent="0.2">
      <c r="A39" s="86">
        <f t="shared" si="4"/>
        <v>487</v>
      </c>
      <c r="B39" s="142">
        <f t="shared" si="3"/>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50">
        <f>IF(ISNUMBER(VLOOKUP($C39,'A4 Investment'!$A$24:$G$33,7,FALSE)),VLOOKUP($C39,'A4 Investment'!$A$24:$G$33,7,FALSE)*'A4 Investment'!G$18/12,0)</f>
        <v>0</v>
      </c>
      <c r="I39" s="151">
        <f t="shared" si="1"/>
        <v>8904.1666666666661</v>
      </c>
      <c r="J39" s="149">
        <f t="shared" si="2"/>
        <v>8904.1666666666661</v>
      </c>
      <c r="K39" s="150">
        <f>IF($B39="NA","NA",IF($B39&lt;=$D$8,0,MIN(IF($B39=($D$8+1),'Stage (1) Investment'!$I39,K38),'Stage (2) Investment:Stage (10) Investment'!$I39)))</f>
        <v>8904.1666666666661</v>
      </c>
      <c r="L39" s="150">
        <f>IF($B39="NA","NA",IF($B39&lt;=$D$9,0,MIN(IF($B39=($D$9+1),'Stage (2) Investment'!$I39,SUM($K38:L38)),'Stage (3) Investment:Stage (10) Investment'!$I39)-K39))</f>
        <v>0</v>
      </c>
      <c r="M39" s="150">
        <f>IF($B39="NA","NA",IF($B39&lt;=$D$10,0,MIN(IF($B39=($D$10+1),'Stage (3) Investment'!$I39,SUM($K38:M38)),'Stage (4) Investment:Stage (10) Investment'!$I39)-SUM($K39:L39)))</f>
        <v>0</v>
      </c>
      <c r="N39" s="150">
        <f>IF($B39="NA","NA",IF($B39&lt;=$D$11,0,MIN(IF($B39=($D$11+1),'Stage (4) Investment'!$I39,SUM($K38:N38)),'Stage (5) Investment:Stage (10) Investment'!$I39)-SUM($K39:M39)))</f>
        <v>0</v>
      </c>
      <c r="O39" s="150">
        <f>IF($B39="NA","NA",IF($B39&lt;=$D$12,0,MIN(IF($B39=($D$12+1),'Stage (5) Investment'!$I39,SUM($K38:O38)),'Stage (6) Investment:Stage (10) Investment'!$I39)-SUM($K39:N39)))</f>
        <v>0</v>
      </c>
      <c r="P39" s="150">
        <f>IF($B39="NA","NA",IF($B39&lt;=$D$13,0,MIN(IF($B39=($D$13+1),'Stage (6) Investment'!$I39,SUM($K38:P38)),'Stage (7) Investment:Stage (10) Investment'!$I39)-SUM($K39:O39)))</f>
        <v>0</v>
      </c>
      <c r="Q39" s="150">
        <f>IF($B39="NA","NA",IF($B39&lt;=$D$14,0,MIN(IF($B39=($D$14+1),'Stage (7) Investment'!$I39,SUM($K38:Q38)),'Stage (8) Investment:Stage (10) Investment'!$I39)-SUM($K39:P39)))</f>
        <v>0</v>
      </c>
      <c r="R39" s="150">
        <f>IF($B39="NA","NA",IF($B39&lt;=$D$15,0,MIN(IF($B39=($D$15+1),'Stage (8) Investment'!$I39,SUM($K38:R38)),'Stage (9) Investment:Stage (10) Investment'!$I39)-SUM($K39:Q39)))</f>
        <v>0</v>
      </c>
      <c r="S39" s="150">
        <f>IF($B39="NA","NA",IF($B39&lt;=$D$16,0,MIN(IF($B39=($D$16+1),'Stage (9) Investment'!$I39,SUM($K38:S38)),'Stage (10) Investment'!$I39)-SUM($K39:R39)))</f>
        <v>0</v>
      </c>
      <c r="T39" s="151">
        <f>IF($B39="NA","NA",IF($B39&lt;=$D$17,0,IF($B39=($D$17+1),'Stage (10) Investment'!$I39,SUM($K38:T38))-SUM($K39:S39)))</f>
        <v>0</v>
      </c>
    </row>
    <row r="40" spans="1:20" x14ac:dyDescent="0.2">
      <c r="A40" s="86">
        <f t="shared" si="4"/>
        <v>518</v>
      </c>
      <c r="B40" s="142">
        <f t="shared" si="3"/>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50">
        <f>IF(ISNUMBER(VLOOKUP($C40,'A4 Investment'!$A$24:$G$33,7,FALSE)),VLOOKUP($C40,'A4 Investment'!$A$24:$G$33,7,FALSE)*'A4 Investment'!G$18/12,0)</f>
        <v>0</v>
      </c>
      <c r="I40" s="151">
        <f t="shared" si="1"/>
        <v>8904.1666666666661</v>
      </c>
      <c r="J40" s="149">
        <f t="shared" si="2"/>
        <v>8904.1666666666661</v>
      </c>
      <c r="K40" s="150">
        <f>IF($B40="NA","NA",IF($B40&lt;=$D$8,0,MIN(IF($B40=($D$8+1),'Stage (1) Investment'!$I40,K39),'Stage (2) Investment:Stage (10) Investment'!$I40)))</f>
        <v>8904.1666666666661</v>
      </c>
      <c r="L40" s="150">
        <f>IF($B40="NA","NA",IF($B40&lt;=$D$9,0,MIN(IF($B40=($D$9+1),'Stage (2) Investment'!$I40,SUM($K39:L39)),'Stage (3) Investment:Stage (10) Investment'!$I40)-K40))</f>
        <v>0</v>
      </c>
      <c r="M40" s="150">
        <f>IF($B40="NA","NA",IF($B40&lt;=$D$10,0,MIN(IF($B40=($D$10+1),'Stage (3) Investment'!$I40,SUM($K39:M39)),'Stage (4) Investment:Stage (10) Investment'!$I40)-SUM($K40:L40)))</f>
        <v>0</v>
      </c>
      <c r="N40" s="150">
        <f>IF($B40="NA","NA",IF($B40&lt;=$D$11,0,MIN(IF($B40=($D$11+1),'Stage (4) Investment'!$I40,SUM($K39:N39)),'Stage (5) Investment:Stage (10) Investment'!$I40)-SUM($K40:M40)))</f>
        <v>0</v>
      </c>
      <c r="O40" s="150">
        <f>IF($B40="NA","NA",IF($B40&lt;=$D$12,0,MIN(IF($B40=($D$12+1),'Stage (5) Investment'!$I40,SUM($K39:O39)),'Stage (6) Investment:Stage (10) Investment'!$I40)-SUM($K40:N40)))</f>
        <v>0</v>
      </c>
      <c r="P40" s="150">
        <f>IF($B40="NA","NA",IF($B40&lt;=$D$13,0,MIN(IF($B40=($D$13+1),'Stage (6) Investment'!$I40,SUM($K39:P39)),'Stage (7) Investment:Stage (10) Investment'!$I40)-SUM($K40:O40)))</f>
        <v>0</v>
      </c>
      <c r="Q40" s="150">
        <f>IF($B40="NA","NA",IF($B40&lt;=$D$14,0,MIN(IF($B40=($D$14+1),'Stage (7) Investment'!$I40,SUM($K39:Q39)),'Stage (8) Investment:Stage (10) Investment'!$I40)-SUM($K40:P40)))</f>
        <v>0</v>
      </c>
      <c r="R40" s="150">
        <f>IF($B40="NA","NA",IF($B40&lt;=$D$15,0,MIN(IF($B40=($D$15+1),'Stage (8) Investment'!$I40,SUM($K39:R39)),'Stage (9) Investment:Stage (10) Investment'!$I40)-SUM($K40:Q40)))</f>
        <v>0</v>
      </c>
      <c r="S40" s="150">
        <f>IF($B40="NA","NA",IF($B40&lt;=$D$16,0,MIN(IF($B40=($D$16+1),'Stage (9) Investment'!$I40,SUM($K39:S39)),'Stage (10) Investment'!$I40)-SUM($K40:R40)))</f>
        <v>0</v>
      </c>
      <c r="T40" s="151">
        <f>IF($B40="NA","NA",IF($B40&lt;=$D$17,0,IF($B40=($D$17+1),'Stage (10) Investment'!$I40,SUM($K39:T39))-SUM($K40:S40)))</f>
        <v>0</v>
      </c>
    </row>
    <row r="41" spans="1:20" x14ac:dyDescent="0.2">
      <c r="A41" s="86">
        <f t="shared" si="4"/>
        <v>548</v>
      </c>
      <c r="B41" s="142">
        <f t="shared" si="3"/>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50">
        <f>IF(ISNUMBER(VLOOKUP($C41,'A4 Investment'!$A$24:$G$33,7,FALSE)),VLOOKUP($C41,'A4 Investment'!$A$24:$G$33,7,FALSE)*'A4 Investment'!G$18/12,0)</f>
        <v>0</v>
      </c>
      <c r="I41" s="151">
        <f t="shared" si="1"/>
        <v>8904.1666666666661</v>
      </c>
      <c r="J41" s="149">
        <f t="shared" si="2"/>
        <v>8904.1666666666661</v>
      </c>
      <c r="K41" s="150">
        <f>IF($B41="NA","NA",IF($B41&lt;=$D$8,0,MIN(IF($B41=($D$8+1),'Stage (1) Investment'!$I41,K40),'Stage (2) Investment:Stage (10) Investment'!$I41)))</f>
        <v>8904.1666666666661</v>
      </c>
      <c r="L41" s="150">
        <f>IF($B41="NA","NA",IF($B41&lt;=$D$9,0,MIN(IF($B41=($D$9+1),'Stage (2) Investment'!$I41,SUM($K40:L40)),'Stage (3) Investment:Stage (10) Investment'!$I41)-K41))</f>
        <v>0</v>
      </c>
      <c r="M41" s="150">
        <f>IF($B41="NA","NA",IF($B41&lt;=$D$10,0,MIN(IF($B41=($D$10+1),'Stage (3) Investment'!$I41,SUM($K40:M40)),'Stage (4) Investment:Stage (10) Investment'!$I41)-SUM($K41:L41)))</f>
        <v>0</v>
      </c>
      <c r="N41" s="150">
        <f>IF($B41="NA","NA",IF($B41&lt;=$D$11,0,MIN(IF($B41=($D$11+1),'Stage (4) Investment'!$I41,SUM($K40:N40)),'Stage (5) Investment:Stage (10) Investment'!$I41)-SUM($K41:M41)))</f>
        <v>0</v>
      </c>
      <c r="O41" s="150">
        <f>IF($B41="NA","NA",IF($B41&lt;=$D$12,0,MIN(IF($B41=($D$12+1),'Stage (5) Investment'!$I41,SUM($K40:O40)),'Stage (6) Investment:Stage (10) Investment'!$I41)-SUM($K41:N41)))</f>
        <v>0</v>
      </c>
      <c r="P41" s="150">
        <f>IF($B41="NA","NA",IF($B41&lt;=$D$13,0,MIN(IF($B41=($D$13+1),'Stage (6) Investment'!$I41,SUM($K40:P40)),'Stage (7) Investment:Stage (10) Investment'!$I41)-SUM($K41:O41)))</f>
        <v>0</v>
      </c>
      <c r="Q41" s="150">
        <f>IF($B41="NA","NA",IF($B41&lt;=$D$14,0,MIN(IF($B41=($D$14+1),'Stage (7) Investment'!$I41,SUM($K40:Q40)),'Stage (8) Investment:Stage (10) Investment'!$I41)-SUM($K41:P41)))</f>
        <v>0</v>
      </c>
      <c r="R41" s="150">
        <f>IF($B41="NA","NA",IF($B41&lt;=$D$15,0,MIN(IF($B41=($D$15+1),'Stage (8) Investment'!$I41,SUM($K40:R40)),'Stage (9) Investment:Stage (10) Investment'!$I41)-SUM($K41:Q41)))</f>
        <v>0</v>
      </c>
      <c r="S41" s="150">
        <f>IF($B41="NA","NA",IF($B41&lt;=$D$16,0,MIN(IF($B41=($D$16+1),'Stage (9) Investment'!$I41,SUM($K40:S40)),'Stage (10) Investment'!$I41)-SUM($K41:R41)))</f>
        <v>0</v>
      </c>
      <c r="T41" s="151">
        <f>IF($B41="NA","NA",IF($B41&lt;=$D$17,0,IF($B41=($D$17+1),'Stage (10) Investment'!$I41,SUM($K40:T40))-SUM($K41:S41)))</f>
        <v>0</v>
      </c>
    </row>
    <row r="42" spans="1:20" x14ac:dyDescent="0.2">
      <c r="A42" s="86">
        <f t="shared" si="4"/>
        <v>579</v>
      </c>
      <c r="B42" s="142">
        <f t="shared" si="3"/>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50">
        <f>IF(ISNUMBER(VLOOKUP($C42,'A4 Investment'!$A$24:$G$33,7,FALSE)),VLOOKUP($C42,'A4 Investment'!$A$24:$G$33,7,FALSE)*'A4 Investment'!G$18/12,0)</f>
        <v>0</v>
      </c>
      <c r="I42" s="151">
        <f t="shared" si="1"/>
        <v>8904.1666666666661</v>
      </c>
      <c r="J42" s="149">
        <f t="shared" si="2"/>
        <v>8904.1666666666661</v>
      </c>
      <c r="K42" s="150">
        <f>IF($B42="NA","NA",IF($B42&lt;=$D$8,0,MIN(IF($B42=($D$8+1),'Stage (1) Investment'!$I42,K41),'Stage (2) Investment:Stage (10) Investment'!$I42)))</f>
        <v>8904.1666666666661</v>
      </c>
      <c r="L42" s="150">
        <f>IF($B42="NA","NA",IF($B42&lt;=$D$9,0,MIN(IF($B42=($D$9+1),'Stage (2) Investment'!$I42,SUM($K41:L41)),'Stage (3) Investment:Stage (10) Investment'!$I42)-K42))</f>
        <v>0</v>
      </c>
      <c r="M42" s="150">
        <f>IF($B42="NA","NA",IF($B42&lt;=$D$10,0,MIN(IF($B42=($D$10+1),'Stage (3) Investment'!$I42,SUM($K41:M41)),'Stage (4) Investment:Stage (10) Investment'!$I42)-SUM($K42:L42)))</f>
        <v>0</v>
      </c>
      <c r="N42" s="150">
        <f>IF($B42="NA","NA",IF($B42&lt;=$D$11,0,MIN(IF($B42=($D$11+1),'Stage (4) Investment'!$I42,SUM($K41:N41)),'Stage (5) Investment:Stage (10) Investment'!$I42)-SUM($K42:M42)))</f>
        <v>0</v>
      </c>
      <c r="O42" s="150">
        <f>IF($B42="NA","NA",IF($B42&lt;=$D$12,0,MIN(IF($B42=($D$12+1),'Stage (5) Investment'!$I42,SUM($K41:O41)),'Stage (6) Investment:Stage (10) Investment'!$I42)-SUM($K42:N42)))</f>
        <v>0</v>
      </c>
      <c r="P42" s="150">
        <f>IF($B42="NA","NA",IF($B42&lt;=$D$13,0,MIN(IF($B42=($D$13+1),'Stage (6) Investment'!$I42,SUM($K41:P41)),'Stage (7) Investment:Stage (10) Investment'!$I42)-SUM($K42:O42)))</f>
        <v>0</v>
      </c>
      <c r="Q42" s="150">
        <f>IF($B42="NA","NA",IF($B42&lt;=$D$14,0,MIN(IF($B42=($D$14+1),'Stage (7) Investment'!$I42,SUM($K41:Q41)),'Stage (8) Investment:Stage (10) Investment'!$I42)-SUM($K42:P42)))</f>
        <v>0</v>
      </c>
      <c r="R42" s="150">
        <f>IF($B42="NA","NA",IF($B42&lt;=$D$15,0,MIN(IF($B42=($D$15+1),'Stage (8) Investment'!$I42,SUM($K41:R41)),'Stage (9) Investment:Stage (10) Investment'!$I42)-SUM($K42:Q42)))</f>
        <v>0</v>
      </c>
      <c r="S42" s="150">
        <f>IF($B42="NA","NA",IF($B42&lt;=$D$16,0,MIN(IF($B42=($D$16+1),'Stage (9) Investment'!$I42,SUM($K41:S41)),'Stage (10) Investment'!$I42)-SUM($K42:R42)))</f>
        <v>0</v>
      </c>
      <c r="T42" s="151">
        <f>IF($B42="NA","NA",IF($B42&lt;=$D$17,0,IF($B42=($D$17+1),'Stage (10) Investment'!$I42,SUM($K41:T41))-SUM($K42:S42)))</f>
        <v>0</v>
      </c>
    </row>
    <row r="43" spans="1:20" x14ac:dyDescent="0.2">
      <c r="A43" s="86">
        <f t="shared" si="4"/>
        <v>610</v>
      </c>
      <c r="B43" s="142">
        <f t="shared" si="3"/>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50">
        <f>IF(ISNUMBER(VLOOKUP($C43,'A4 Investment'!$A$24:$G$33,7,FALSE)),VLOOKUP($C43,'A4 Investment'!$A$24:$G$33,7,FALSE)*'A4 Investment'!G$18/12,0)</f>
        <v>0</v>
      </c>
      <c r="I43" s="151">
        <f t="shared" si="1"/>
        <v>8904.1666666666661</v>
      </c>
      <c r="J43" s="149">
        <f t="shared" si="2"/>
        <v>8904.1666666666661</v>
      </c>
      <c r="K43" s="150">
        <f>IF($B43="NA","NA",IF($B43&lt;=$D$8,0,MIN(IF($B43=($D$8+1),'Stage (1) Investment'!$I43,K42),'Stage (2) Investment:Stage (10) Investment'!$I43)))</f>
        <v>8904.1666666666661</v>
      </c>
      <c r="L43" s="150">
        <f>IF($B43="NA","NA",IF($B43&lt;=$D$9,0,MIN(IF($B43=($D$9+1),'Stage (2) Investment'!$I43,SUM($K42:L42)),'Stage (3) Investment:Stage (10) Investment'!$I43)-K43))</f>
        <v>0</v>
      </c>
      <c r="M43" s="150">
        <f>IF($B43="NA","NA",IF($B43&lt;=$D$10,0,MIN(IF($B43=($D$10+1),'Stage (3) Investment'!$I43,SUM($K42:M42)),'Stage (4) Investment:Stage (10) Investment'!$I43)-SUM($K43:L43)))</f>
        <v>0</v>
      </c>
      <c r="N43" s="150">
        <f>IF($B43="NA","NA",IF($B43&lt;=$D$11,0,MIN(IF($B43=($D$11+1),'Stage (4) Investment'!$I43,SUM($K42:N42)),'Stage (5) Investment:Stage (10) Investment'!$I43)-SUM($K43:M43)))</f>
        <v>0</v>
      </c>
      <c r="O43" s="150">
        <f>IF($B43="NA","NA",IF($B43&lt;=$D$12,0,MIN(IF($B43=($D$12+1),'Stage (5) Investment'!$I43,SUM($K42:O42)),'Stage (6) Investment:Stage (10) Investment'!$I43)-SUM($K43:N43)))</f>
        <v>0</v>
      </c>
      <c r="P43" s="150">
        <f>IF($B43="NA","NA",IF($B43&lt;=$D$13,0,MIN(IF($B43=($D$13+1),'Stage (6) Investment'!$I43,SUM($K42:P42)),'Stage (7) Investment:Stage (10) Investment'!$I43)-SUM($K43:O43)))</f>
        <v>0</v>
      </c>
      <c r="Q43" s="150">
        <f>IF($B43="NA","NA",IF($B43&lt;=$D$14,0,MIN(IF($B43=($D$14+1),'Stage (7) Investment'!$I43,SUM($K42:Q42)),'Stage (8) Investment:Stage (10) Investment'!$I43)-SUM($K43:P43)))</f>
        <v>0</v>
      </c>
      <c r="R43" s="150">
        <f>IF($B43="NA","NA",IF($B43&lt;=$D$15,0,MIN(IF($B43=($D$15+1),'Stage (8) Investment'!$I43,SUM($K42:R42)),'Stage (9) Investment:Stage (10) Investment'!$I43)-SUM($K43:Q43)))</f>
        <v>0</v>
      </c>
      <c r="S43" s="150">
        <f>IF($B43="NA","NA",IF($B43&lt;=$D$16,0,MIN(IF($B43=($D$16+1),'Stage (9) Investment'!$I43,SUM($K42:S42)),'Stage (10) Investment'!$I43)-SUM($K43:R43)))</f>
        <v>0</v>
      </c>
      <c r="T43" s="151">
        <f>IF($B43="NA","NA",IF($B43&lt;=$D$17,0,IF($B43=($D$17+1),'Stage (10) Investment'!$I43,SUM($K42:T42))-SUM($K43:S43)))</f>
        <v>0</v>
      </c>
    </row>
    <row r="44" spans="1:20" x14ac:dyDescent="0.2">
      <c r="A44" s="86">
        <f t="shared" si="4"/>
        <v>640</v>
      </c>
      <c r="B44" s="142">
        <f t="shared" si="3"/>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50">
        <f>IF(ISNUMBER(VLOOKUP($C44,'A4 Investment'!$A$24:$G$33,7,FALSE)),VLOOKUP($C44,'A4 Investment'!$A$24:$G$33,7,FALSE)*'A4 Investment'!G$18/12,0)</f>
        <v>0</v>
      </c>
      <c r="I44" s="151">
        <f t="shared" si="1"/>
        <v>8904.1666666666661</v>
      </c>
      <c r="J44" s="149">
        <f t="shared" si="2"/>
        <v>8904.1666666666661</v>
      </c>
      <c r="K44" s="150">
        <f>IF($B44="NA","NA",IF($B44&lt;=$D$8,0,MIN(IF($B44=($D$8+1),'Stage (1) Investment'!$I44,K43),'Stage (2) Investment:Stage (10) Investment'!$I44)))</f>
        <v>8904.1666666666661</v>
      </c>
      <c r="L44" s="150">
        <f>IF($B44="NA","NA",IF($B44&lt;=$D$9,0,MIN(IF($B44=($D$9+1),'Stage (2) Investment'!$I44,SUM($K43:L43)),'Stage (3) Investment:Stage (10) Investment'!$I44)-K44))</f>
        <v>0</v>
      </c>
      <c r="M44" s="150">
        <f>IF($B44="NA","NA",IF($B44&lt;=$D$10,0,MIN(IF($B44=($D$10+1),'Stage (3) Investment'!$I44,SUM($K43:M43)),'Stage (4) Investment:Stage (10) Investment'!$I44)-SUM($K44:L44)))</f>
        <v>0</v>
      </c>
      <c r="N44" s="150">
        <f>IF($B44="NA","NA",IF($B44&lt;=$D$11,0,MIN(IF($B44=($D$11+1),'Stage (4) Investment'!$I44,SUM($K43:N43)),'Stage (5) Investment:Stage (10) Investment'!$I44)-SUM($K44:M44)))</f>
        <v>0</v>
      </c>
      <c r="O44" s="150">
        <f>IF($B44="NA","NA",IF($B44&lt;=$D$12,0,MIN(IF($B44=($D$12+1),'Stage (5) Investment'!$I44,SUM($K43:O43)),'Stage (6) Investment:Stage (10) Investment'!$I44)-SUM($K44:N44)))</f>
        <v>0</v>
      </c>
      <c r="P44" s="150">
        <f>IF($B44="NA","NA",IF($B44&lt;=$D$13,0,MIN(IF($B44=($D$13+1),'Stage (6) Investment'!$I44,SUM($K43:P43)),'Stage (7) Investment:Stage (10) Investment'!$I44)-SUM($K44:O44)))</f>
        <v>0</v>
      </c>
      <c r="Q44" s="150">
        <f>IF($B44="NA","NA",IF($B44&lt;=$D$14,0,MIN(IF($B44=($D$14+1),'Stage (7) Investment'!$I44,SUM($K43:Q43)),'Stage (8) Investment:Stage (10) Investment'!$I44)-SUM($K44:P44)))</f>
        <v>0</v>
      </c>
      <c r="R44" s="150">
        <f>IF($B44="NA","NA",IF($B44&lt;=$D$15,0,MIN(IF($B44=($D$15+1),'Stage (8) Investment'!$I44,SUM($K43:R43)),'Stage (9) Investment:Stage (10) Investment'!$I44)-SUM($K44:Q44)))</f>
        <v>0</v>
      </c>
      <c r="S44" s="150">
        <f>IF($B44="NA","NA",IF($B44&lt;=$D$16,0,MIN(IF($B44=($D$16+1),'Stage (9) Investment'!$I44,SUM($K43:S43)),'Stage (10) Investment'!$I44)-SUM($K44:R44)))</f>
        <v>0</v>
      </c>
      <c r="T44" s="151">
        <f>IF($B44="NA","NA",IF($B44&lt;=$D$17,0,IF($B44=($D$17+1),'Stage (10) Investment'!$I44,SUM($K43:T43))-SUM($K44:S44)))</f>
        <v>0</v>
      </c>
    </row>
    <row r="45" spans="1:20" x14ac:dyDescent="0.2">
      <c r="A45" s="86">
        <f t="shared" si="4"/>
        <v>671</v>
      </c>
      <c r="B45" s="142">
        <f t="shared" si="3"/>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50">
        <f>IF(ISNUMBER(VLOOKUP($C45,'A4 Investment'!$A$24:$G$33,7,FALSE)),VLOOKUP($C45,'A4 Investment'!$A$24:$G$33,7,FALSE)*'A4 Investment'!G$18/12,0)</f>
        <v>0</v>
      </c>
      <c r="I45" s="151">
        <f t="shared" si="1"/>
        <v>8904.1666666666661</v>
      </c>
      <c r="J45" s="149">
        <f t="shared" si="2"/>
        <v>8904.1666666666661</v>
      </c>
      <c r="K45" s="150">
        <f>IF($B45="NA","NA",IF($B45&lt;=$D$8,0,MIN(IF($B45=($D$8+1),'Stage (1) Investment'!$I45,K44),'Stage (2) Investment:Stage (10) Investment'!$I45)))</f>
        <v>8904.1666666666661</v>
      </c>
      <c r="L45" s="150">
        <f>IF($B45="NA","NA",IF($B45&lt;=$D$9,0,MIN(IF($B45=($D$9+1),'Stage (2) Investment'!$I45,SUM($K44:L44)),'Stage (3) Investment:Stage (10) Investment'!$I45)-K45))</f>
        <v>0</v>
      </c>
      <c r="M45" s="150">
        <f>IF($B45="NA","NA",IF($B45&lt;=$D$10,0,MIN(IF($B45=($D$10+1),'Stage (3) Investment'!$I45,SUM($K44:M44)),'Stage (4) Investment:Stage (10) Investment'!$I45)-SUM($K45:L45)))</f>
        <v>0</v>
      </c>
      <c r="N45" s="150">
        <f>IF($B45="NA","NA",IF($B45&lt;=$D$11,0,MIN(IF($B45=($D$11+1),'Stage (4) Investment'!$I45,SUM($K44:N44)),'Stage (5) Investment:Stage (10) Investment'!$I45)-SUM($K45:M45)))</f>
        <v>0</v>
      </c>
      <c r="O45" s="150">
        <f>IF($B45="NA","NA",IF($B45&lt;=$D$12,0,MIN(IF($B45=($D$12+1),'Stage (5) Investment'!$I45,SUM($K44:O44)),'Stage (6) Investment:Stage (10) Investment'!$I45)-SUM($K45:N45)))</f>
        <v>0</v>
      </c>
      <c r="P45" s="150">
        <f>IF($B45="NA","NA",IF($B45&lt;=$D$13,0,MIN(IF($B45=($D$13+1),'Stage (6) Investment'!$I45,SUM($K44:P44)),'Stage (7) Investment:Stage (10) Investment'!$I45)-SUM($K45:O45)))</f>
        <v>0</v>
      </c>
      <c r="Q45" s="150">
        <f>IF($B45="NA","NA",IF($B45&lt;=$D$14,0,MIN(IF($B45=($D$14+1),'Stage (7) Investment'!$I45,SUM($K44:Q44)),'Stage (8) Investment:Stage (10) Investment'!$I45)-SUM($K45:P45)))</f>
        <v>0</v>
      </c>
      <c r="R45" s="150">
        <f>IF($B45="NA","NA",IF($B45&lt;=$D$15,0,MIN(IF($B45=($D$15+1),'Stage (8) Investment'!$I45,SUM($K44:R44)),'Stage (9) Investment:Stage (10) Investment'!$I45)-SUM($K45:Q45)))</f>
        <v>0</v>
      </c>
      <c r="S45" s="150">
        <f>IF($B45="NA","NA",IF($B45&lt;=$D$16,0,MIN(IF($B45=($D$16+1),'Stage (9) Investment'!$I45,SUM($K44:S44)),'Stage (10) Investment'!$I45)-SUM($K45:R45)))</f>
        <v>0</v>
      </c>
      <c r="T45" s="151">
        <f>IF($B45="NA","NA",IF($B45&lt;=$D$17,0,IF($B45=($D$17+1),'Stage (10) Investment'!$I45,SUM($K44:T44))-SUM($K45:S45)))</f>
        <v>0</v>
      </c>
    </row>
    <row r="46" spans="1:20" x14ac:dyDescent="0.2">
      <c r="A46" s="86">
        <f t="shared" si="4"/>
        <v>701</v>
      </c>
      <c r="B46" s="142">
        <f t="shared" si="3"/>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50">
        <f>IF(ISNUMBER(VLOOKUP($C46,'A4 Investment'!$A$24:$G$33,7,FALSE)),VLOOKUP($C46,'A4 Investment'!$A$24:$G$33,7,FALSE)*'A4 Investment'!G$18/12,0)</f>
        <v>0</v>
      </c>
      <c r="I46" s="151">
        <f t="shared" si="1"/>
        <v>8904.1666666666661</v>
      </c>
      <c r="J46" s="149">
        <f t="shared" si="2"/>
        <v>8904.1666666666661</v>
      </c>
      <c r="K46" s="150">
        <f>IF($B46="NA","NA",IF($B46&lt;=$D$8,0,MIN(IF($B46=($D$8+1),'Stage (1) Investment'!$I46,K45),'Stage (2) Investment:Stage (10) Investment'!$I46)))</f>
        <v>8904.1666666666661</v>
      </c>
      <c r="L46" s="150">
        <f>IF($B46="NA","NA",IF($B46&lt;=$D$9,0,MIN(IF($B46=($D$9+1),'Stage (2) Investment'!$I46,SUM($K45:L45)),'Stage (3) Investment:Stage (10) Investment'!$I46)-K46))</f>
        <v>0</v>
      </c>
      <c r="M46" s="150">
        <f>IF($B46="NA","NA",IF($B46&lt;=$D$10,0,MIN(IF($B46=($D$10+1),'Stage (3) Investment'!$I46,SUM($K45:M45)),'Stage (4) Investment:Stage (10) Investment'!$I46)-SUM($K46:L46)))</f>
        <v>0</v>
      </c>
      <c r="N46" s="150">
        <f>IF($B46="NA","NA",IF($B46&lt;=$D$11,0,MIN(IF($B46=($D$11+1),'Stage (4) Investment'!$I46,SUM($K45:N45)),'Stage (5) Investment:Stage (10) Investment'!$I46)-SUM($K46:M46)))</f>
        <v>0</v>
      </c>
      <c r="O46" s="150">
        <f>IF($B46="NA","NA",IF($B46&lt;=$D$12,0,MIN(IF($B46=($D$12+1),'Stage (5) Investment'!$I46,SUM($K45:O45)),'Stage (6) Investment:Stage (10) Investment'!$I46)-SUM($K46:N46)))</f>
        <v>0</v>
      </c>
      <c r="P46" s="150">
        <f>IF($B46="NA","NA",IF($B46&lt;=$D$13,0,MIN(IF($B46=($D$13+1),'Stage (6) Investment'!$I46,SUM($K45:P45)),'Stage (7) Investment:Stage (10) Investment'!$I46)-SUM($K46:O46)))</f>
        <v>0</v>
      </c>
      <c r="Q46" s="150">
        <f>IF($B46="NA","NA",IF($B46&lt;=$D$14,0,MIN(IF($B46=($D$14+1),'Stage (7) Investment'!$I46,SUM($K45:Q45)),'Stage (8) Investment:Stage (10) Investment'!$I46)-SUM($K46:P46)))</f>
        <v>0</v>
      </c>
      <c r="R46" s="150">
        <f>IF($B46="NA","NA",IF($B46&lt;=$D$15,0,MIN(IF($B46=($D$15+1),'Stage (8) Investment'!$I46,SUM($K45:R45)),'Stage (9) Investment:Stage (10) Investment'!$I46)-SUM($K46:Q46)))</f>
        <v>0</v>
      </c>
      <c r="S46" s="150">
        <f>IF($B46="NA","NA",IF($B46&lt;=$D$16,0,MIN(IF($B46=($D$16+1),'Stage (9) Investment'!$I46,SUM($K45:S45)),'Stage (10) Investment'!$I46)-SUM($K46:R46)))</f>
        <v>0</v>
      </c>
      <c r="T46" s="151">
        <f>IF($B46="NA","NA",IF($B46&lt;=$D$17,0,IF($B46=($D$17+1),'Stage (10) Investment'!$I46,SUM($K45:T45))-SUM($K46:S46)))</f>
        <v>0</v>
      </c>
    </row>
    <row r="47" spans="1:20" x14ac:dyDescent="0.2">
      <c r="A47" s="86">
        <f t="shared" si="4"/>
        <v>732</v>
      </c>
      <c r="B47" s="142">
        <f t="shared" si="3"/>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50">
        <f>IF(ISNUMBER(VLOOKUP($C47,'A4 Investment'!$A$24:$G$33,7,FALSE)),VLOOKUP($C47,'A4 Investment'!$A$24:$G$33,7,FALSE)*'A4 Investment'!G$18/12,0)</f>
        <v>0</v>
      </c>
      <c r="I47" s="151">
        <f t="shared" si="1"/>
        <v>8904.1666666666661</v>
      </c>
      <c r="J47" s="149">
        <f t="shared" si="2"/>
        <v>8904.1666666666661</v>
      </c>
      <c r="K47" s="150">
        <f>IF($B47="NA","NA",IF($B47&lt;=$D$8,0,MIN(IF($B47=($D$8+1),'Stage (1) Investment'!$I47,K46),'Stage (2) Investment:Stage (10) Investment'!$I47)))</f>
        <v>8904.1666666666661</v>
      </c>
      <c r="L47" s="150">
        <f>IF($B47="NA","NA",IF($B47&lt;=$D$9,0,MIN(IF($B47=($D$9+1),'Stage (2) Investment'!$I47,SUM($K46:L46)),'Stage (3) Investment:Stage (10) Investment'!$I47)-K47))</f>
        <v>0</v>
      </c>
      <c r="M47" s="150">
        <f>IF($B47="NA","NA",IF($B47&lt;=$D$10,0,MIN(IF($B47=($D$10+1),'Stage (3) Investment'!$I47,SUM($K46:M46)),'Stage (4) Investment:Stage (10) Investment'!$I47)-SUM($K47:L47)))</f>
        <v>0</v>
      </c>
      <c r="N47" s="150">
        <f>IF($B47="NA","NA",IF($B47&lt;=$D$11,0,MIN(IF($B47=($D$11+1),'Stage (4) Investment'!$I47,SUM($K46:N46)),'Stage (5) Investment:Stage (10) Investment'!$I47)-SUM($K47:M47)))</f>
        <v>0</v>
      </c>
      <c r="O47" s="150">
        <f>IF($B47="NA","NA",IF($B47&lt;=$D$12,0,MIN(IF($B47=($D$12+1),'Stage (5) Investment'!$I47,SUM($K46:O46)),'Stage (6) Investment:Stage (10) Investment'!$I47)-SUM($K47:N47)))</f>
        <v>0</v>
      </c>
      <c r="P47" s="150">
        <f>IF($B47="NA","NA",IF($B47&lt;=$D$13,0,MIN(IF($B47=($D$13+1),'Stage (6) Investment'!$I47,SUM($K46:P46)),'Stage (7) Investment:Stage (10) Investment'!$I47)-SUM($K47:O47)))</f>
        <v>0</v>
      </c>
      <c r="Q47" s="150">
        <f>IF($B47="NA","NA",IF($B47&lt;=$D$14,0,MIN(IF($B47=($D$14+1),'Stage (7) Investment'!$I47,SUM($K46:Q46)),'Stage (8) Investment:Stage (10) Investment'!$I47)-SUM($K47:P47)))</f>
        <v>0</v>
      </c>
      <c r="R47" s="150">
        <f>IF($B47="NA","NA",IF($B47&lt;=$D$15,0,MIN(IF($B47=($D$15+1),'Stage (8) Investment'!$I47,SUM($K46:R46)),'Stage (9) Investment:Stage (10) Investment'!$I47)-SUM($K47:Q47)))</f>
        <v>0</v>
      </c>
      <c r="S47" s="150">
        <f>IF($B47="NA","NA",IF($B47&lt;=$D$16,0,MIN(IF($B47=($D$16+1),'Stage (9) Investment'!$I47,SUM($K46:S46)),'Stage (10) Investment'!$I47)-SUM($K47:R47)))</f>
        <v>0</v>
      </c>
      <c r="T47" s="151">
        <f>IF($B47="NA","NA",IF($B47&lt;=$D$17,0,IF($B47=($D$17+1),'Stage (10) Investment'!$I47,SUM($K46:T46))-SUM($K47:S47)))</f>
        <v>0</v>
      </c>
    </row>
    <row r="48" spans="1:20" x14ac:dyDescent="0.2">
      <c r="A48" s="86">
        <f t="shared" si="4"/>
        <v>763</v>
      </c>
      <c r="B48" s="142">
        <f t="shared" si="3"/>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50">
        <f>IF(ISNUMBER(VLOOKUP($C48,'A4 Investment'!$A$24:$G$33,7,FALSE)),VLOOKUP($C48,'A4 Investment'!$A$24:$G$33,7,FALSE)*'A4 Investment'!G$18/12,0)</f>
        <v>0</v>
      </c>
      <c r="I48" s="151">
        <f t="shared" si="1"/>
        <v>8904.1666666666661</v>
      </c>
      <c r="J48" s="149">
        <f t="shared" si="2"/>
        <v>8904.1666666666661</v>
      </c>
      <c r="K48" s="150">
        <f>IF($B48="NA","NA",IF($B48&lt;=$D$8,0,MIN(IF($B48=($D$8+1),'Stage (1) Investment'!$I48,K47),'Stage (2) Investment:Stage (10) Investment'!$I48)))</f>
        <v>8904.1666666666661</v>
      </c>
      <c r="L48" s="150">
        <f>IF($B48="NA","NA",IF($B48&lt;=$D$9,0,MIN(IF($B48=($D$9+1),'Stage (2) Investment'!$I48,SUM($K47:L47)),'Stage (3) Investment:Stage (10) Investment'!$I48)-K48))</f>
        <v>0</v>
      </c>
      <c r="M48" s="150">
        <f>IF($B48="NA","NA",IF($B48&lt;=$D$10,0,MIN(IF($B48=($D$10+1),'Stage (3) Investment'!$I48,SUM($K47:M47)),'Stage (4) Investment:Stage (10) Investment'!$I48)-SUM($K48:L48)))</f>
        <v>0</v>
      </c>
      <c r="N48" s="150">
        <f>IF($B48="NA","NA",IF($B48&lt;=$D$11,0,MIN(IF($B48=($D$11+1),'Stage (4) Investment'!$I48,SUM($K47:N47)),'Stage (5) Investment:Stage (10) Investment'!$I48)-SUM($K48:M48)))</f>
        <v>0</v>
      </c>
      <c r="O48" s="150">
        <f>IF($B48="NA","NA",IF($B48&lt;=$D$12,0,MIN(IF($B48=($D$12+1),'Stage (5) Investment'!$I48,SUM($K47:O47)),'Stage (6) Investment:Stage (10) Investment'!$I48)-SUM($K48:N48)))</f>
        <v>0</v>
      </c>
      <c r="P48" s="150">
        <f>IF($B48="NA","NA",IF($B48&lt;=$D$13,0,MIN(IF($B48=($D$13+1),'Stage (6) Investment'!$I48,SUM($K47:P47)),'Stage (7) Investment:Stage (10) Investment'!$I48)-SUM($K48:O48)))</f>
        <v>0</v>
      </c>
      <c r="Q48" s="150">
        <f>IF($B48="NA","NA",IF($B48&lt;=$D$14,0,MIN(IF($B48=($D$14+1),'Stage (7) Investment'!$I48,SUM($K47:Q47)),'Stage (8) Investment:Stage (10) Investment'!$I48)-SUM($K48:P48)))</f>
        <v>0</v>
      </c>
      <c r="R48" s="150">
        <f>IF($B48="NA","NA",IF($B48&lt;=$D$15,0,MIN(IF($B48=($D$15+1),'Stage (8) Investment'!$I48,SUM($K47:R47)),'Stage (9) Investment:Stage (10) Investment'!$I48)-SUM($K48:Q48)))</f>
        <v>0</v>
      </c>
      <c r="S48" s="150">
        <f>IF($B48="NA","NA",IF($B48&lt;=$D$16,0,MIN(IF($B48=($D$16+1),'Stage (9) Investment'!$I48,SUM($K47:S47)),'Stage (10) Investment'!$I48)-SUM($K48:R48)))</f>
        <v>0</v>
      </c>
      <c r="T48" s="151">
        <f>IF($B48="NA","NA",IF($B48&lt;=$D$17,0,IF($B48=($D$17+1),'Stage (10) Investment'!$I48,SUM($K47:T47))-SUM($K48:S48)))</f>
        <v>0</v>
      </c>
    </row>
    <row r="49" spans="1:20" x14ac:dyDescent="0.2">
      <c r="A49" s="86">
        <f t="shared" si="4"/>
        <v>791</v>
      </c>
      <c r="B49" s="142">
        <f t="shared" si="3"/>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50">
        <f>IF(ISNUMBER(VLOOKUP($C49,'A4 Investment'!$A$24:$G$33,7,FALSE)),VLOOKUP($C49,'A4 Investment'!$A$24:$G$33,7,FALSE)*'A4 Investment'!G$18/12,0)</f>
        <v>0</v>
      </c>
      <c r="I49" s="151">
        <f t="shared" si="1"/>
        <v>8904.1666666666661</v>
      </c>
      <c r="J49" s="149">
        <f t="shared" si="2"/>
        <v>8904.1666666666661</v>
      </c>
      <c r="K49" s="150">
        <f>IF($B49="NA","NA",IF($B49&lt;=$D$8,0,MIN(IF($B49=($D$8+1),'Stage (1) Investment'!$I49,K48),'Stage (2) Investment:Stage (10) Investment'!$I49)))</f>
        <v>8904.1666666666661</v>
      </c>
      <c r="L49" s="150">
        <f>IF($B49="NA","NA",IF($B49&lt;=$D$9,0,MIN(IF($B49=($D$9+1),'Stage (2) Investment'!$I49,SUM($K48:L48)),'Stage (3) Investment:Stage (10) Investment'!$I49)-K49))</f>
        <v>0</v>
      </c>
      <c r="M49" s="150">
        <f>IF($B49="NA","NA",IF($B49&lt;=$D$10,0,MIN(IF($B49=($D$10+1),'Stage (3) Investment'!$I49,SUM($K48:M48)),'Stage (4) Investment:Stage (10) Investment'!$I49)-SUM($K49:L49)))</f>
        <v>0</v>
      </c>
      <c r="N49" s="150">
        <f>IF($B49="NA","NA",IF($B49&lt;=$D$11,0,MIN(IF($B49=($D$11+1),'Stage (4) Investment'!$I49,SUM($K48:N48)),'Stage (5) Investment:Stage (10) Investment'!$I49)-SUM($K49:M49)))</f>
        <v>0</v>
      </c>
      <c r="O49" s="150">
        <f>IF($B49="NA","NA",IF($B49&lt;=$D$12,0,MIN(IF($B49=($D$12+1),'Stage (5) Investment'!$I49,SUM($K48:O48)),'Stage (6) Investment:Stage (10) Investment'!$I49)-SUM($K49:N49)))</f>
        <v>0</v>
      </c>
      <c r="P49" s="150">
        <f>IF($B49="NA","NA",IF($B49&lt;=$D$13,0,MIN(IF($B49=($D$13+1),'Stage (6) Investment'!$I49,SUM($K48:P48)),'Stage (7) Investment:Stage (10) Investment'!$I49)-SUM($K49:O49)))</f>
        <v>0</v>
      </c>
      <c r="Q49" s="150">
        <f>IF($B49="NA","NA",IF($B49&lt;=$D$14,0,MIN(IF($B49=($D$14+1),'Stage (7) Investment'!$I49,SUM($K48:Q48)),'Stage (8) Investment:Stage (10) Investment'!$I49)-SUM($K49:P49)))</f>
        <v>0</v>
      </c>
      <c r="R49" s="150">
        <f>IF($B49="NA","NA",IF($B49&lt;=$D$15,0,MIN(IF($B49=($D$15+1),'Stage (8) Investment'!$I49,SUM($K48:R48)),'Stage (9) Investment:Stage (10) Investment'!$I49)-SUM($K49:Q49)))</f>
        <v>0</v>
      </c>
      <c r="S49" s="150">
        <f>IF($B49="NA","NA",IF($B49&lt;=$D$16,0,MIN(IF($B49=($D$16+1),'Stage (9) Investment'!$I49,SUM($K48:S48)),'Stage (10) Investment'!$I49)-SUM($K49:R49)))</f>
        <v>0</v>
      </c>
      <c r="T49" s="151">
        <f>IF($B49="NA","NA",IF($B49&lt;=$D$17,0,IF($B49=($D$17+1),'Stage (10) Investment'!$I49,SUM($K48:T48))-SUM($K49:S49)))</f>
        <v>0</v>
      </c>
    </row>
    <row r="50" spans="1:20" x14ac:dyDescent="0.2">
      <c r="A50" s="86">
        <f t="shared" si="4"/>
        <v>822</v>
      </c>
      <c r="B50" s="142">
        <f t="shared" si="3"/>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50">
        <f>IF(ISNUMBER(VLOOKUP($C50,'A4 Investment'!$A$24:$G$33,7,FALSE)),VLOOKUP($C50,'A4 Investment'!$A$24:$G$33,7,FALSE)*'A4 Investment'!G$18/12,0)</f>
        <v>0</v>
      </c>
      <c r="I50" s="151">
        <f t="shared" si="1"/>
        <v>8904.1666666666661</v>
      </c>
      <c r="J50" s="149">
        <f t="shared" si="2"/>
        <v>8904.1666666666661</v>
      </c>
      <c r="K50" s="150">
        <f>IF($B50="NA","NA",IF($B50&lt;=$D$8,0,MIN(IF($B50=($D$8+1),'Stage (1) Investment'!$I50,K49),'Stage (2) Investment:Stage (10) Investment'!$I50)))</f>
        <v>8904.1666666666661</v>
      </c>
      <c r="L50" s="150">
        <f>IF($B50="NA","NA",IF($B50&lt;=$D$9,0,MIN(IF($B50=($D$9+1),'Stage (2) Investment'!$I50,SUM($K49:L49)),'Stage (3) Investment:Stage (10) Investment'!$I50)-K50))</f>
        <v>0</v>
      </c>
      <c r="M50" s="150">
        <f>IF($B50="NA","NA",IF($B50&lt;=$D$10,0,MIN(IF($B50=($D$10+1),'Stage (3) Investment'!$I50,SUM($K49:M49)),'Stage (4) Investment:Stage (10) Investment'!$I50)-SUM($K50:L50)))</f>
        <v>0</v>
      </c>
      <c r="N50" s="150">
        <f>IF($B50="NA","NA",IF($B50&lt;=$D$11,0,MIN(IF($B50=($D$11+1),'Stage (4) Investment'!$I50,SUM($K49:N49)),'Stage (5) Investment:Stage (10) Investment'!$I50)-SUM($K50:M50)))</f>
        <v>0</v>
      </c>
      <c r="O50" s="150">
        <f>IF($B50="NA","NA",IF($B50&lt;=$D$12,0,MIN(IF($B50=($D$12+1),'Stage (5) Investment'!$I50,SUM($K49:O49)),'Stage (6) Investment:Stage (10) Investment'!$I50)-SUM($K50:N50)))</f>
        <v>0</v>
      </c>
      <c r="P50" s="150">
        <f>IF($B50="NA","NA",IF($B50&lt;=$D$13,0,MIN(IF($B50=($D$13+1),'Stage (6) Investment'!$I50,SUM($K49:P49)),'Stage (7) Investment:Stage (10) Investment'!$I50)-SUM($K50:O50)))</f>
        <v>0</v>
      </c>
      <c r="Q50" s="150">
        <f>IF($B50="NA","NA",IF($B50&lt;=$D$14,0,MIN(IF($B50=($D$14+1),'Stage (7) Investment'!$I50,SUM($K49:Q49)),'Stage (8) Investment:Stage (10) Investment'!$I50)-SUM($K50:P50)))</f>
        <v>0</v>
      </c>
      <c r="R50" s="150">
        <f>IF($B50="NA","NA",IF($B50&lt;=$D$15,0,MIN(IF($B50=($D$15+1),'Stage (8) Investment'!$I50,SUM($K49:R49)),'Stage (9) Investment:Stage (10) Investment'!$I50)-SUM($K50:Q50)))</f>
        <v>0</v>
      </c>
      <c r="S50" s="150">
        <f>IF($B50="NA","NA",IF($B50&lt;=$D$16,0,MIN(IF($B50=($D$16+1),'Stage (9) Investment'!$I50,SUM($K49:S49)),'Stage (10) Investment'!$I50)-SUM($K50:R50)))</f>
        <v>0</v>
      </c>
      <c r="T50" s="151">
        <f>IF($B50="NA","NA",IF($B50&lt;=$D$17,0,IF($B50=($D$17+1),'Stage (10) Investment'!$I50,SUM($K49:T49))-SUM($K50:S50)))</f>
        <v>0</v>
      </c>
    </row>
    <row r="51" spans="1:20" x14ac:dyDescent="0.2">
      <c r="A51" s="86">
        <f t="shared" si="4"/>
        <v>852</v>
      </c>
      <c r="B51" s="142">
        <f t="shared" si="3"/>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50">
        <f>IF(ISNUMBER(VLOOKUP($C51,'A4 Investment'!$A$24:$G$33,7,FALSE)),VLOOKUP($C51,'A4 Investment'!$A$24:$G$33,7,FALSE)*'A4 Investment'!G$18/12,0)</f>
        <v>0</v>
      </c>
      <c r="I51" s="151">
        <f t="shared" si="1"/>
        <v>8904.1666666666661</v>
      </c>
      <c r="J51" s="149">
        <f t="shared" si="2"/>
        <v>8904.1666666666661</v>
      </c>
      <c r="K51" s="150">
        <f>IF($B51="NA","NA",IF($B51&lt;=$D$8,0,MIN(IF($B51=($D$8+1),'Stage (1) Investment'!$I51,K50),'Stage (2) Investment:Stage (10) Investment'!$I51)))</f>
        <v>8904.1666666666661</v>
      </c>
      <c r="L51" s="150">
        <f>IF($B51="NA","NA",IF($B51&lt;=$D$9,0,MIN(IF($B51=($D$9+1),'Stage (2) Investment'!$I51,SUM($K50:L50)),'Stage (3) Investment:Stage (10) Investment'!$I51)-K51))</f>
        <v>0</v>
      </c>
      <c r="M51" s="150">
        <f>IF($B51="NA","NA",IF($B51&lt;=$D$10,0,MIN(IF($B51=($D$10+1),'Stage (3) Investment'!$I51,SUM($K50:M50)),'Stage (4) Investment:Stage (10) Investment'!$I51)-SUM($K51:L51)))</f>
        <v>0</v>
      </c>
      <c r="N51" s="150">
        <f>IF($B51="NA","NA",IF($B51&lt;=$D$11,0,MIN(IF($B51=($D$11+1),'Stage (4) Investment'!$I51,SUM($K50:N50)),'Stage (5) Investment:Stage (10) Investment'!$I51)-SUM($K51:M51)))</f>
        <v>0</v>
      </c>
      <c r="O51" s="150">
        <f>IF($B51="NA","NA",IF($B51&lt;=$D$12,0,MIN(IF($B51=($D$12+1),'Stage (5) Investment'!$I51,SUM($K50:O50)),'Stage (6) Investment:Stage (10) Investment'!$I51)-SUM($K51:N51)))</f>
        <v>0</v>
      </c>
      <c r="P51" s="150">
        <f>IF($B51="NA","NA",IF($B51&lt;=$D$13,0,MIN(IF($B51=($D$13+1),'Stage (6) Investment'!$I51,SUM($K50:P50)),'Stage (7) Investment:Stage (10) Investment'!$I51)-SUM($K51:O51)))</f>
        <v>0</v>
      </c>
      <c r="Q51" s="150">
        <f>IF($B51="NA","NA",IF($B51&lt;=$D$14,0,MIN(IF($B51=($D$14+1),'Stage (7) Investment'!$I51,SUM($K50:Q50)),'Stage (8) Investment:Stage (10) Investment'!$I51)-SUM($K51:P51)))</f>
        <v>0</v>
      </c>
      <c r="R51" s="150">
        <f>IF($B51="NA","NA",IF($B51&lt;=$D$15,0,MIN(IF($B51=($D$15+1),'Stage (8) Investment'!$I51,SUM($K50:R50)),'Stage (9) Investment:Stage (10) Investment'!$I51)-SUM($K51:Q51)))</f>
        <v>0</v>
      </c>
      <c r="S51" s="150">
        <f>IF($B51="NA","NA",IF($B51&lt;=$D$16,0,MIN(IF($B51=($D$16+1),'Stage (9) Investment'!$I51,SUM($K50:S50)),'Stage (10) Investment'!$I51)-SUM($K51:R51)))</f>
        <v>0</v>
      </c>
      <c r="T51" s="151">
        <f>IF($B51="NA","NA",IF($B51&lt;=$D$17,0,IF($B51=($D$17+1),'Stage (10) Investment'!$I51,SUM($K50:T50))-SUM($K51:S51)))</f>
        <v>0</v>
      </c>
    </row>
    <row r="52" spans="1:20" x14ac:dyDescent="0.2">
      <c r="A52" s="86">
        <f t="shared" si="4"/>
        <v>883</v>
      </c>
      <c r="B52" s="142">
        <f t="shared" si="3"/>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50">
        <f>IF(ISNUMBER(VLOOKUP($C52,'A4 Investment'!$A$24:$G$33,7,FALSE)),VLOOKUP($C52,'A4 Investment'!$A$24:$G$33,7,FALSE)*'A4 Investment'!G$18/12,0)</f>
        <v>0</v>
      </c>
      <c r="I52" s="151">
        <f t="shared" si="1"/>
        <v>8904.1666666666661</v>
      </c>
      <c r="J52" s="149">
        <f t="shared" si="2"/>
        <v>8904.1666666666661</v>
      </c>
      <c r="K52" s="150">
        <f>IF($B52="NA","NA",IF($B52&lt;=$D$8,0,MIN(IF($B52=($D$8+1),'Stage (1) Investment'!$I52,K51),'Stage (2) Investment:Stage (10) Investment'!$I52)))</f>
        <v>8904.1666666666661</v>
      </c>
      <c r="L52" s="150">
        <f>IF($B52="NA","NA",IF($B52&lt;=$D$9,0,MIN(IF($B52=($D$9+1),'Stage (2) Investment'!$I52,SUM($K51:L51)),'Stage (3) Investment:Stage (10) Investment'!$I52)-K52))</f>
        <v>0</v>
      </c>
      <c r="M52" s="150">
        <f>IF($B52="NA","NA",IF($B52&lt;=$D$10,0,MIN(IF($B52=($D$10+1),'Stage (3) Investment'!$I52,SUM($K51:M51)),'Stage (4) Investment:Stage (10) Investment'!$I52)-SUM($K52:L52)))</f>
        <v>0</v>
      </c>
      <c r="N52" s="150">
        <f>IF($B52="NA","NA",IF($B52&lt;=$D$11,0,MIN(IF($B52=($D$11+1),'Stage (4) Investment'!$I52,SUM($K51:N51)),'Stage (5) Investment:Stage (10) Investment'!$I52)-SUM($K52:M52)))</f>
        <v>0</v>
      </c>
      <c r="O52" s="150">
        <f>IF($B52="NA","NA",IF($B52&lt;=$D$12,0,MIN(IF($B52=($D$12+1),'Stage (5) Investment'!$I52,SUM($K51:O51)),'Stage (6) Investment:Stage (10) Investment'!$I52)-SUM($K52:N52)))</f>
        <v>0</v>
      </c>
      <c r="P52" s="150">
        <f>IF($B52="NA","NA",IF($B52&lt;=$D$13,0,MIN(IF($B52=($D$13+1),'Stage (6) Investment'!$I52,SUM($K51:P51)),'Stage (7) Investment:Stage (10) Investment'!$I52)-SUM($K52:O52)))</f>
        <v>0</v>
      </c>
      <c r="Q52" s="150">
        <f>IF($B52="NA","NA",IF($B52&lt;=$D$14,0,MIN(IF($B52=($D$14+1),'Stage (7) Investment'!$I52,SUM($K51:Q51)),'Stage (8) Investment:Stage (10) Investment'!$I52)-SUM($K52:P52)))</f>
        <v>0</v>
      </c>
      <c r="R52" s="150">
        <f>IF($B52="NA","NA",IF($B52&lt;=$D$15,0,MIN(IF($B52=($D$15+1),'Stage (8) Investment'!$I52,SUM($K51:R51)),'Stage (9) Investment:Stage (10) Investment'!$I52)-SUM($K52:Q52)))</f>
        <v>0</v>
      </c>
      <c r="S52" s="150">
        <f>IF($B52="NA","NA",IF($B52&lt;=$D$16,0,MIN(IF($B52=($D$16+1),'Stage (9) Investment'!$I52,SUM($K51:S51)),'Stage (10) Investment'!$I52)-SUM($K52:R52)))</f>
        <v>0</v>
      </c>
      <c r="T52" s="151">
        <f>IF($B52="NA","NA",IF($B52&lt;=$D$17,0,IF($B52=($D$17+1),'Stage (10) Investment'!$I52,SUM($K51:T51))-SUM($K52:S52)))</f>
        <v>0</v>
      </c>
    </row>
    <row r="53" spans="1:20" x14ac:dyDescent="0.2">
      <c r="A53" s="86">
        <f t="shared" si="4"/>
        <v>913</v>
      </c>
      <c r="B53" s="142">
        <f t="shared" si="3"/>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50">
        <f>IF(ISNUMBER(VLOOKUP($C53,'A4 Investment'!$A$24:$G$33,7,FALSE)),VLOOKUP($C53,'A4 Investment'!$A$24:$G$33,7,FALSE)*'A4 Investment'!G$18/12,0)</f>
        <v>0</v>
      </c>
      <c r="I53" s="151">
        <f t="shared" si="1"/>
        <v>8904.1666666666661</v>
      </c>
      <c r="J53" s="149">
        <f t="shared" si="2"/>
        <v>8904.1666666666661</v>
      </c>
      <c r="K53" s="150">
        <f>IF($B53="NA","NA",IF($B53&lt;=$D$8,0,MIN(IF($B53=($D$8+1),'Stage (1) Investment'!$I53,K52),'Stage (2) Investment:Stage (10) Investment'!$I53)))</f>
        <v>8904.1666666666661</v>
      </c>
      <c r="L53" s="150">
        <f>IF($B53="NA","NA",IF($B53&lt;=$D$9,0,MIN(IF($B53=($D$9+1),'Stage (2) Investment'!$I53,SUM($K52:L52)),'Stage (3) Investment:Stage (10) Investment'!$I53)-K53))</f>
        <v>0</v>
      </c>
      <c r="M53" s="150">
        <f>IF($B53="NA","NA",IF($B53&lt;=$D$10,0,MIN(IF($B53=($D$10+1),'Stage (3) Investment'!$I53,SUM($K52:M52)),'Stage (4) Investment:Stage (10) Investment'!$I53)-SUM($K53:L53)))</f>
        <v>0</v>
      </c>
      <c r="N53" s="150">
        <f>IF($B53="NA","NA",IF($B53&lt;=$D$11,0,MIN(IF($B53=($D$11+1),'Stage (4) Investment'!$I53,SUM($K52:N52)),'Stage (5) Investment:Stage (10) Investment'!$I53)-SUM($K53:M53)))</f>
        <v>0</v>
      </c>
      <c r="O53" s="150">
        <f>IF($B53="NA","NA",IF($B53&lt;=$D$12,0,MIN(IF($B53=($D$12+1),'Stage (5) Investment'!$I53,SUM($K52:O52)),'Stage (6) Investment:Stage (10) Investment'!$I53)-SUM($K53:N53)))</f>
        <v>0</v>
      </c>
      <c r="P53" s="150">
        <f>IF($B53="NA","NA",IF($B53&lt;=$D$13,0,MIN(IF($B53=($D$13+1),'Stage (6) Investment'!$I53,SUM($K52:P52)),'Stage (7) Investment:Stage (10) Investment'!$I53)-SUM($K53:O53)))</f>
        <v>0</v>
      </c>
      <c r="Q53" s="150">
        <f>IF($B53="NA","NA",IF($B53&lt;=$D$14,0,MIN(IF($B53=($D$14+1),'Stage (7) Investment'!$I53,SUM($K52:Q52)),'Stage (8) Investment:Stage (10) Investment'!$I53)-SUM($K53:P53)))</f>
        <v>0</v>
      </c>
      <c r="R53" s="150">
        <f>IF($B53="NA","NA",IF($B53&lt;=$D$15,0,MIN(IF($B53=($D$15+1),'Stage (8) Investment'!$I53,SUM($K52:R52)),'Stage (9) Investment:Stage (10) Investment'!$I53)-SUM($K53:Q53)))</f>
        <v>0</v>
      </c>
      <c r="S53" s="150">
        <f>IF($B53="NA","NA",IF($B53&lt;=$D$16,0,MIN(IF($B53=($D$16+1),'Stage (9) Investment'!$I53,SUM($K52:S52)),'Stage (10) Investment'!$I53)-SUM($K53:R53)))</f>
        <v>0</v>
      </c>
      <c r="T53" s="151">
        <f>IF($B53="NA","NA",IF($B53&lt;=$D$17,0,IF($B53=($D$17+1),'Stage (10) Investment'!$I53,SUM($K52:T52))-SUM($K53:S53)))</f>
        <v>0</v>
      </c>
    </row>
    <row r="54" spans="1:20" x14ac:dyDescent="0.2">
      <c r="A54" s="86">
        <f t="shared" si="4"/>
        <v>944</v>
      </c>
      <c r="B54" s="142">
        <f t="shared" si="3"/>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50">
        <f>IF(ISNUMBER(VLOOKUP($C54,'A4 Investment'!$A$24:$G$33,7,FALSE)),VLOOKUP($C54,'A4 Investment'!$A$24:$G$33,7,FALSE)*'A4 Investment'!G$18/12,0)</f>
        <v>0</v>
      </c>
      <c r="I54" s="151">
        <f t="shared" si="1"/>
        <v>8904.1666666666661</v>
      </c>
      <c r="J54" s="149">
        <f t="shared" si="2"/>
        <v>8904.1666666666661</v>
      </c>
      <c r="K54" s="150">
        <f>IF($B54="NA","NA",IF($B54&lt;=$D$8,0,MIN(IF($B54=($D$8+1),'Stage (1) Investment'!$I54,K53),'Stage (2) Investment:Stage (10) Investment'!$I54)))</f>
        <v>8904.1666666666661</v>
      </c>
      <c r="L54" s="150">
        <f>IF($B54="NA","NA",IF($B54&lt;=$D$9,0,MIN(IF($B54=($D$9+1),'Stage (2) Investment'!$I54,SUM($K53:L53)),'Stage (3) Investment:Stage (10) Investment'!$I54)-K54))</f>
        <v>0</v>
      </c>
      <c r="M54" s="150">
        <f>IF($B54="NA","NA",IF($B54&lt;=$D$10,0,MIN(IF($B54=($D$10+1),'Stage (3) Investment'!$I54,SUM($K53:M53)),'Stage (4) Investment:Stage (10) Investment'!$I54)-SUM($K54:L54)))</f>
        <v>0</v>
      </c>
      <c r="N54" s="150">
        <f>IF($B54="NA","NA",IF($B54&lt;=$D$11,0,MIN(IF($B54=($D$11+1),'Stage (4) Investment'!$I54,SUM($K53:N53)),'Stage (5) Investment:Stage (10) Investment'!$I54)-SUM($K54:M54)))</f>
        <v>0</v>
      </c>
      <c r="O54" s="150">
        <f>IF($B54="NA","NA",IF($B54&lt;=$D$12,0,MIN(IF($B54=($D$12+1),'Stage (5) Investment'!$I54,SUM($K53:O53)),'Stage (6) Investment:Stage (10) Investment'!$I54)-SUM($K54:N54)))</f>
        <v>0</v>
      </c>
      <c r="P54" s="150">
        <f>IF($B54="NA","NA",IF($B54&lt;=$D$13,0,MIN(IF($B54=($D$13+1),'Stage (6) Investment'!$I54,SUM($K53:P53)),'Stage (7) Investment:Stage (10) Investment'!$I54)-SUM($K54:O54)))</f>
        <v>0</v>
      </c>
      <c r="Q54" s="150">
        <f>IF($B54="NA","NA",IF($B54&lt;=$D$14,0,MIN(IF($B54=($D$14+1),'Stage (7) Investment'!$I54,SUM($K53:Q53)),'Stage (8) Investment:Stage (10) Investment'!$I54)-SUM($K54:P54)))</f>
        <v>0</v>
      </c>
      <c r="R54" s="150">
        <f>IF($B54="NA","NA",IF($B54&lt;=$D$15,0,MIN(IF($B54=($D$15+1),'Stage (8) Investment'!$I54,SUM($K53:R53)),'Stage (9) Investment:Stage (10) Investment'!$I54)-SUM($K54:Q54)))</f>
        <v>0</v>
      </c>
      <c r="S54" s="150">
        <f>IF($B54="NA","NA",IF($B54&lt;=$D$16,0,MIN(IF($B54=($D$16+1),'Stage (9) Investment'!$I54,SUM($K53:S53)),'Stage (10) Investment'!$I54)-SUM($K54:R54)))</f>
        <v>0</v>
      </c>
      <c r="T54" s="151">
        <f>IF($B54="NA","NA",IF($B54&lt;=$D$17,0,IF($B54=($D$17+1),'Stage (10) Investment'!$I54,SUM($K53:T53))-SUM($K54:S54)))</f>
        <v>0</v>
      </c>
    </row>
    <row r="55" spans="1:20" x14ac:dyDescent="0.2">
      <c r="A55" s="86">
        <f t="shared" si="4"/>
        <v>975</v>
      </c>
      <c r="B55" s="142">
        <f t="shared" si="3"/>
        <v>33</v>
      </c>
      <c r="C55" s="143">
        <f t="shared" ref="C55:C82" si="5">MATCH(B55-1,$D$8:$D$18,1)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50">
        <f>IF(ISNUMBER(VLOOKUP($C55,'A4 Investment'!$A$24:$G$33,7,FALSE)),VLOOKUP($C55,'A4 Investment'!$A$24:$G$33,7,FALSE)*'A4 Investment'!G$18/12,0)</f>
        <v>0</v>
      </c>
      <c r="I55" s="151">
        <f t="shared" ref="I55:I82" si="6">SUM(D55:H55)</f>
        <v>8904.1666666666661</v>
      </c>
      <c r="J55" s="149">
        <f t="shared" si="2"/>
        <v>8904.1666666666661</v>
      </c>
      <c r="K55" s="150">
        <f>IF($B55="NA","NA",IF($B55&lt;=$D$8,0,MIN(IF($B55=($D$8+1),'Stage (1) Investment'!$I55,K54),'Stage (2) Investment:Stage (10) Investment'!$I55)))</f>
        <v>8904.1666666666661</v>
      </c>
      <c r="L55" s="150">
        <f>IF($B55="NA","NA",IF($B55&lt;=$D$9,0,MIN(IF($B55=($D$9+1),'Stage (2) Investment'!$I55,SUM($K54:L54)),'Stage (3) Investment:Stage (10) Investment'!$I55)-K55))</f>
        <v>0</v>
      </c>
      <c r="M55" s="150">
        <f>IF($B55="NA","NA",IF($B55&lt;=$D$10,0,MIN(IF($B55=($D$10+1),'Stage (3) Investment'!$I55,SUM($K54:M54)),'Stage (4) Investment:Stage (10) Investment'!$I55)-SUM($K55:L55)))</f>
        <v>0</v>
      </c>
      <c r="N55" s="150">
        <f>IF($B55="NA","NA",IF($B55&lt;=$D$11,0,MIN(IF($B55=($D$11+1),'Stage (4) Investment'!$I55,SUM($K54:N54)),'Stage (5) Investment:Stage (10) Investment'!$I55)-SUM($K55:M55)))</f>
        <v>0</v>
      </c>
      <c r="O55" s="150">
        <f>IF($B55="NA","NA",IF($B55&lt;=$D$12,0,MIN(IF($B55=($D$12+1),'Stage (5) Investment'!$I55,SUM($K54:O54)),'Stage (6) Investment:Stage (10) Investment'!$I55)-SUM($K55:N55)))</f>
        <v>0</v>
      </c>
      <c r="P55" s="150">
        <f>IF($B55="NA","NA",IF($B55&lt;=$D$13,0,MIN(IF($B55=($D$13+1),'Stage (6) Investment'!$I55,SUM($K54:P54)),'Stage (7) Investment:Stage (10) Investment'!$I55)-SUM($K55:O55)))</f>
        <v>0</v>
      </c>
      <c r="Q55" s="150">
        <f>IF($B55="NA","NA",IF($B55&lt;=$D$14,0,MIN(IF($B55=($D$14+1),'Stage (7) Investment'!$I55,SUM($K54:Q54)),'Stage (8) Investment:Stage (10) Investment'!$I55)-SUM($K55:P55)))</f>
        <v>0</v>
      </c>
      <c r="R55" s="150">
        <f>IF($B55="NA","NA",IF($B55&lt;=$D$15,0,MIN(IF($B55=($D$15+1),'Stage (8) Investment'!$I55,SUM($K54:R54)),'Stage (9) Investment:Stage (10) Investment'!$I55)-SUM($K55:Q55)))</f>
        <v>0</v>
      </c>
      <c r="S55" s="150">
        <f>IF($B55="NA","NA",IF($B55&lt;=$D$16,0,MIN(IF($B55=($D$16+1),'Stage (9) Investment'!$I55,SUM($K54:S54)),'Stage (10) Investment'!$I55)-SUM($K55:R55)))</f>
        <v>0</v>
      </c>
      <c r="T55" s="151">
        <f>IF($B55="NA","NA",IF($B55&lt;=$D$17,0,IF($B55=($D$17+1),'Stage (10) Investment'!$I55,SUM($K54:T54))-SUM($K55:S55)))</f>
        <v>0</v>
      </c>
    </row>
    <row r="56" spans="1:20" x14ac:dyDescent="0.2">
      <c r="A56" s="86">
        <f t="shared" si="4"/>
        <v>1005</v>
      </c>
      <c r="B56" s="142">
        <f t="shared" ref="B56:B82" si="7">B55+1</f>
        <v>34</v>
      </c>
      <c r="C56" s="143">
        <f t="shared" si="5"/>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50">
        <f>IF(ISNUMBER(VLOOKUP($C56,'A4 Investment'!$A$24:$G$33,7,FALSE)),VLOOKUP($C56,'A4 Investment'!$A$24:$G$33,7,FALSE)*'A4 Investment'!G$18/12,0)</f>
        <v>0</v>
      </c>
      <c r="I56" s="151">
        <f t="shared" si="6"/>
        <v>8904.1666666666661</v>
      </c>
      <c r="J56" s="149">
        <f t="shared" si="2"/>
        <v>8904.1666666666661</v>
      </c>
      <c r="K56" s="150">
        <f>IF($B56="NA","NA",IF($B56&lt;=$D$8,0,MIN(IF($B56=($D$8+1),'Stage (1) Investment'!$I56,K55),'Stage (2) Investment:Stage (10) Investment'!$I56)))</f>
        <v>8904.1666666666661</v>
      </c>
      <c r="L56" s="150">
        <f>IF($B56="NA","NA",IF($B56&lt;=$D$9,0,MIN(IF($B56=($D$9+1),'Stage (2) Investment'!$I56,SUM($K55:L55)),'Stage (3) Investment:Stage (10) Investment'!$I56)-K56))</f>
        <v>0</v>
      </c>
      <c r="M56" s="150">
        <f>IF($B56="NA","NA",IF($B56&lt;=$D$10,0,MIN(IF($B56=($D$10+1),'Stage (3) Investment'!$I56,SUM($K55:M55)),'Stage (4) Investment:Stage (10) Investment'!$I56)-SUM($K56:L56)))</f>
        <v>0</v>
      </c>
      <c r="N56" s="150">
        <f>IF($B56="NA","NA",IF($B56&lt;=$D$11,0,MIN(IF($B56=($D$11+1),'Stage (4) Investment'!$I56,SUM($K55:N55)),'Stage (5) Investment:Stage (10) Investment'!$I56)-SUM($K56:M56)))</f>
        <v>0</v>
      </c>
      <c r="O56" s="150">
        <f>IF($B56="NA","NA",IF($B56&lt;=$D$12,0,MIN(IF($B56=($D$12+1),'Stage (5) Investment'!$I56,SUM($K55:O55)),'Stage (6) Investment:Stage (10) Investment'!$I56)-SUM($K56:N56)))</f>
        <v>0</v>
      </c>
      <c r="P56" s="150">
        <f>IF($B56="NA","NA",IF($B56&lt;=$D$13,0,MIN(IF($B56=($D$13+1),'Stage (6) Investment'!$I56,SUM($K55:P55)),'Stage (7) Investment:Stage (10) Investment'!$I56)-SUM($K56:O56)))</f>
        <v>0</v>
      </c>
      <c r="Q56" s="150">
        <f>IF($B56="NA","NA",IF($B56&lt;=$D$14,0,MIN(IF($B56=($D$14+1),'Stage (7) Investment'!$I56,SUM($K55:Q55)),'Stage (8) Investment:Stage (10) Investment'!$I56)-SUM($K56:P56)))</f>
        <v>0</v>
      </c>
      <c r="R56" s="150">
        <f>IF($B56="NA","NA",IF($B56&lt;=$D$15,0,MIN(IF($B56=($D$15+1),'Stage (8) Investment'!$I56,SUM($K55:R55)),'Stage (9) Investment:Stage (10) Investment'!$I56)-SUM($K56:Q56)))</f>
        <v>0</v>
      </c>
      <c r="S56" s="150">
        <f>IF($B56="NA","NA",IF($B56&lt;=$D$16,0,MIN(IF($B56=($D$16+1),'Stage (9) Investment'!$I56,SUM($K55:S55)),'Stage (10) Investment'!$I56)-SUM($K56:R56)))</f>
        <v>0</v>
      </c>
      <c r="T56" s="151">
        <f>IF($B56="NA","NA",IF($B56&lt;=$D$17,0,IF($B56=($D$17+1),'Stage (10) Investment'!$I56,SUM($K55:T55))-SUM($K56:S56)))</f>
        <v>0</v>
      </c>
    </row>
    <row r="57" spans="1:20" x14ac:dyDescent="0.2">
      <c r="A57" s="86">
        <f t="shared" si="4"/>
        <v>1036</v>
      </c>
      <c r="B57" s="142">
        <f t="shared" si="7"/>
        <v>35</v>
      </c>
      <c r="C57" s="143">
        <f t="shared" si="5"/>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50">
        <f>IF(ISNUMBER(VLOOKUP($C57,'A4 Investment'!$A$24:$G$33,7,FALSE)),VLOOKUP($C57,'A4 Investment'!$A$24:$G$33,7,FALSE)*'A4 Investment'!G$18/12,0)</f>
        <v>0</v>
      </c>
      <c r="I57" s="151">
        <f t="shared" si="6"/>
        <v>8904.1666666666661</v>
      </c>
      <c r="J57" s="149">
        <f t="shared" si="2"/>
        <v>8904.1666666666661</v>
      </c>
      <c r="K57" s="150">
        <f>IF($B57="NA","NA",IF($B57&lt;=$D$8,0,MIN(IF($B57=($D$8+1),'Stage (1) Investment'!$I57,K56),'Stage (2) Investment:Stage (10) Investment'!$I57)))</f>
        <v>8904.1666666666661</v>
      </c>
      <c r="L57" s="150">
        <f>IF($B57="NA","NA",IF($B57&lt;=$D$9,0,MIN(IF($B57=($D$9+1),'Stage (2) Investment'!$I57,SUM($K56:L56)),'Stage (3) Investment:Stage (10) Investment'!$I57)-K57))</f>
        <v>0</v>
      </c>
      <c r="M57" s="150">
        <f>IF($B57="NA","NA",IF($B57&lt;=$D$10,0,MIN(IF($B57=($D$10+1),'Stage (3) Investment'!$I57,SUM($K56:M56)),'Stage (4) Investment:Stage (10) Investment'!$I57)-SUM($K57:L57)))</f>
        <v>0</v>
      </c>
      <c r="N57" s="150">
        <f>IF($B57="NA","NA",IF($B57&lt;=$D$11,0,MIN(IF($B57=($D$11+1),'Stage (4) Investment'!$I57,SUM($K56:N56)),'Stage (5) Investment:Stage (10) Investment'!$I57)-SUM($K57:M57)))</f>
        <v>0</v>
      </c>
      <c r="O57" s="150">
        <f>IF($B57="NA","NA",IF($B57&lt;=$D$12,0,MIN(IF($B57=($D$12+1),'Stage (5) Investment'!$I57,SUM($K56:O56)),'Stage (6) Investment:Stage (10) Investment'!$I57)-SUM($K57:N57)))</f>
        <v>0</v>
      </c>
      <c r="P57" s="150">
        <f>IF($B57="NA","NA",IF($B57&lt;=$D$13,0,MIN(IF($B57=($D$13+1),'Stage (6) Investment'!$I57,SUM($K56:P56)),'Stage (7) Investment:Stage (10) Investment'!$I57)-SUM($K57:O57)))</f>
        <v>0</v>
      </c>
      <c r="Q57" s="150">
        <f>IF($B57="NA","NA",IF($B57&lt;=$D$14,0,MIN(IF($B57=($D$14+1),'Stage (7) Investment'!$I57,SUM($K56:Q56)),'Stage (8) Investment:Stage (10) Investment'!$I57)-SUM($K57:P57)))</f>
        <v>0</v>
      </c>
      <c r="R57" s="150">
        <f>IF($B57="NA","NA",IF($B57&lt;=$D$15,0,MIN(IF($B57=($D$15+1),'Stage (8) Investment'!$I57,SUM($K56:R56)),'Stage (9) Investment:Stage (10) Investment'!$I57)-SUM($K57:Q57)))</f>
        <v>0</v>
      </c>
      <c r="S57" s="150">
        <f>IF($B57="NA","NA",IF($B57&lt;=$D$16,0,MIN(IF($B57=($D$16+1),'Stage (9) Investment'!$I57,SUM($K56:S56)),'Stage (10) Investment'!$I57)-SUM($K57:R57)))</f>
        <v>0</v>
      </c>
      <c r="T57" s="151">
        <f>IF($B57="NA","NA",IF($B57&lt;=$D$17,0,IF($B57=($D$17+1),'Stage (10) Investment'!$I57,SUM($K56:T56))-SUM($K57:S57)))</f>
        <v>0</v>
      </c>
    </row>
    <row r="58" spans="1:20" x14ac:dyDescent="0.2">
      <c r="A58" s="86">
        <f t="shared" si="4"/>
        <v>1066</v>
      </c>
      <c r="B58" s="142">
        <f t="shared" si="7"/>
        <v>36</v>
      </c>
      <c r="C58" s="143">
        <f t="shared" si="5"/>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50">
        <f>IF(ISNUMBER(VLOOKUP($C58,'A4 Investment'!$A$24:$G$33,7,FALSE)),VLOOKUP($C58,'A4 Investment'!$A$24:$G$33,7,FALSE)*'A4 Investment'!G$18/12,0)</f>
        <v>0</v>
      </c>
      <c r="I58" s="151">
        <f t="shared" si="6"/>
        <v>8904.1666666666661</v>
      </c>
      <c r="J58" s="149">
        <f t="shared" si="2"/>
        <v>8904.1666666666661</v>
      </c>
      <c r="K58" s="150">
        <f>IF($B58="NA","NA",IF($B58&lt;=$D$8,0,MIN(IF($B58=($D$8+1),'Stage (1) Investment'!$I58,K57),'Stage (2) Investment:Stage (10) Investment'!$I58)))</f>
        <v>8904.1666666666661</v>
      </c>
      <c r="L58" s="150">
        <f>IF($B58="NA","NA",IF($B58&lt;=$D$9,0,MIN(IF($B58=($D$9+1),'Stage (2) Investment'!$I58,SUM($K57:L57)),'Stage (3) Investment:Stage (10) Investment'!$I58)-K58))</f>
        <v>0</v>
      </c>
      <c r="M58" s="150">
        <f>IF($B58="NA","NA",IF($B58&lt;=$D$10,0,MIN(IF($B58=($D$10+1),'Stage (3) Investment'!$I58,SUM($K57:M57)),'Stage (4) Investment:Stage (10) Investment'!$I58)-SUM($K58:L58)))</f>
        <v>0</v>
      </c>
      <c r="N58" s="150">
        <f>IF($B58="NA","NA",IF($B58&lt;=$D$11,0,MIN(IF($B58=($D$11+1),'Stage (4) Investment'!$I58,SUM($K57:N57)),'Stage (5) Investment:Stage (10) Investment'!$I58)-SUM($K58:M58)))</f>
        <v>0</v>
      </c>
      <c r="O58" s="150">
        <f>IF($B58="NA","NA",IF($B58&lt;=$D$12,0,MIN(IF($B58=($D$12+1),'Stage (5) Investment'!$I58,SUM($K57:O57)),'Stage (6) Investment:Stage (10) Investment'!$I58)-SUM($K58:N58)))</f>
        <v>0</v>
      </c>
      <c r="P58" s="150">
        <f>IF($B58="NA","NA",IF($B58&lt;=$D$13,0,MIN(IF($B58=($D$13+1),'Stage (6) Investment'!$I58,SUM($K57:P57)),'Stage (7) Investment:Stage (10) Investment'!$I58)-SUM($K58:O58)))</f>
        <v>0</v>
      </c>
      <c r="Q58" s="150">
        <f>IF($B58="NA","NA",IF($B58&lt;=$D$14,0,MIN(IF($B58=($D$14+1),'Stage (7) Investment'!$I58,SUM($K57:Q57)),'Stage (8) Investment:Stage (10) Investment'!$I58)-SUM($K58:P58)))</f>
        <v>0</v>
      </c>
      <c r="R58" s="150">
        <f>IF($B58="NA","NA",IF($B58&lt;=$D$15,0,MIN(IF($B58=($D$15+1),'Stage (8) Investment'!$I58,SUM($K57:R57)),'Stage (9) Investment:Stage (10) Investment'!$I58)-SUM($K58:Q58)))</f>
        <v>0</v>
      </c>
      <c r="S58" s="150">
        <f>IF($B58="NA","NA",IF($B58&lt;=$D$16,0,MIN(IF($B58=($D$16+1),'Stage (9) Investment'!$I58,SUM($K57:S57)),'Stage (10) Investment'!$I58)-SUM($K58:R58)))</f>
        <v>0</v>
      </c>
      <c r="T58" s="151">
        <f>IF($B58="NA","NA",IF($B58&lt;=$D$17,0,IF($B58=($D$17+1),'Stage (10) Investment'!$I58,SUM($K57:T57))-SUM($K58:S58)))</f>
        <v>0</v>
      </c>
    </row>
    <row r="59" spans="1:20" x14ac:dyDescent="0.2">
      <c r="A59" s="86">
        <f t="shared" si="4"/>
        <v>1097</v>
      </c>
      <c r="B59" s="142">
        <f t="shared" si="7"/>
        <v>37</v>
      </c>
      <c r="C59" s="143">
        <f t="shared" si="5"/>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50">
        <f>IF(ISNUMBER(VLOOKUP($C59,'A4 Investment'!$A$24:$G$33,7,FALSE)),VLOOKUP($C59,'A4 Investment'!$A$24:$G$33,7,FALSE)*'A4 Investment'!G$18/12,0)</f>
        <v>0</v>
      </c>
      <c r="I59" s="151">
        <f t="shared" si="6"/>
        <v>8904.1666666666661</v>
      </c>
      <c r="J59" s="149">
        <f t="shared" si="2"/>
        <v>8904.1666666666661</v>
      </c>
      <c r="K59" s="150">
        <f>IF($B59="NA","NA",IF($B59&lt;=$D$8,0,MIN(IF($B59=($D$8+1),'Stage (1) Investment'!$I59,K58),'Stage (2) Investment:Stage (10) Investment'!$I59)))</f>
        <v>8904.1666666666661</v>
      </c>
      <c r="L59" s="150">
        <f>IF($B59="NA","NA",IF($B59&lt;=$D$9,0,MIN(IF($B59=($D$9+1),'Stage (2) Investment'!$I59,SUM($K58:L58)),'Stage (3) Investment:Stage (10) Investment'!$I59)-K59))</f>
        <v>0</v>
      </c>
      <c r="M59" s="150">
        <f>IF($B59="NA","NA",IF($B59&lt;=$D$10,0,MIN(IF($B59=($D$10+1),'Stage (3) Investment'!$I59,SUM($K58:M58)),'Stage (4) Investment:Stage (10) Investment'!$I59)-SUM($K59:L59)))</f>
        <v>0</v>
      </c>
      <c r="N59" s="150">
        <f>IF($B59="NA","NA",IF($B59&lt;=$D$11,0,MIN(IF($B59=($D$11+1),'Stage (4) Investment'!$I59,SUM($K58:N58)),'Stage (5) Investment:Stage (10) Investment'!$I59)-SUM($K59:M59)))</f>
        <v>0</v>
      </c>
      <c r="O59" s="150">
        <f>IF($B59="NA","NA",IF($B59&lt;=$D$12,0,MIN(IF($B59=($D$12+1),'Stage (5) Investment'!$I59,SUM($K58:O58)),'Stage (6) Investment:Stage (10) Investment'!$I59)-SUM($K59:N59)))</f>
        <v>0</v>
      </c>
      <c r="P59" s="150">
        <f>IF($B59="NA","NA",IF($B59&lt;=$D$13,0,MIN(IF($B59=($D$13+1),'Stage (6) Investment'!$I59,SUM($K58:P58)),'Stage (7) Investment:Stage (10) Investment'!$I59)-SUM($K59:O59)))</f>
        <v>0</v>
      </c>
      <c r="Q59" s="150">
        <f>IF($B59="NA","NA",IF($B59&lt;=$D$14,0,MIN(IF($B59=($D$14+1),'Stage (7) Investment'!$I59,SUM($K58:Q58)),'Stage (8) Investment:Stage (10) Investment'!$I59)-SUM($K59:P59)))</f>
        <v>0</v>
      </c>
      <c r="R59" s="150">
        <f>IF($B59="NA","NA",IF($B59&lt;=$D$15,0,MIN(IF($B59=($D$15+1),'Stage (8) Investment'!$I59,SUM($K58:R58)),'Stage (9) Investment:Stage (10) Investment'!$I59)-SUM($K59:Q59)))</f>
        <v>0</v>
      </c>
      <c r="S59" s="150">
        <f>IF($B59="NA","NA",IF($B59&lt;=$D$16,0,MIN(IF($B59=($D$16+1),'Stage (9) Investment'!$I59,SUM($K58:S58)),'Stage (10) Investment'!$I59)-SUM($K59:R59)))</f>
        <v>0</v>
      </c>
      <c r="T59" s="151">
        <f>IF($B59="NA","NA",IF($B59&lt;=$D$17,0,IF($B59=($D$17+1),'Stage (10) Investment'!$I59,SUM($K58:T58))-SUM($K59:S59)))</f>
        <v>0</v>
      </c>
    </row>
    <row r="60" spans="1:20" x14ac:dyDescent="0.2">
      <c r="A60" s="86">
        <f t="shared" si="4"/>
        <v>1128</v>
      </c>
      <c r="B60" s="142">
        <f t="shared" si="7"/>
        <v>38</v>
      </c>
      <c r="C60" s="143">
        <f t="shared" si="5"/>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50">
        <f>IF(ISNUMBER(VLOOKUP($C60,'A4 Investment'!$A$24:$G$33,7,FALSE)),VLOOKUP($C60,'A4 Investment'!$A$24:$G$33,7,FALSE)*'A4 Investment'!G$18/12,0)</f>
        <v>0</v>
      </c>
      <c r="I60" s="151">
        <f t="shared" si="6"/>
        <v>8904.1666666666661</v>
      </c>
      <c r="J60" s="149">
        <f t="shared" si="2"/>
        <v>8904.1666666666661</v>
      </c>
      <c r="K60" s="150">
        <f>IF($B60="NA","NA",IF($B60&lt;=$D$8,0,MIN(IF($B60=($D$8+1),'Stage (1) Investment'!$I60,K59),'Stage (2) Investment:Stage (10) Investment'!$I60)))</f>
        <v>8904.1666666666661</v>
      </c>
      <c r="L60" s="150">
        <f>IF($B60="NA","NA",IF($B60&lt;=$D$9,0,MIN(IF($B60=($D$9+1),'Stage (2) Investment'!$I60,SUM($K59:L59)),'Stage (3) Investment:Stage (10) Investment'!$I60)-K60))</f>
        <v>0</v>
      </c>
      <c r="M60" s="150">
        <f>IF($B60="NA","NA",IF($B60&lt;=$D$10,0,MIN(IF($B60=($D$10+1),'Stage (3) Investment'!$I60,SUM($K59:M59)),'Stage (4) Investment:Stage (10) Investment'!$I60)-SUM($K60:L60)))</f>
        <v>0</v>
      </c>
      <c r="N60" s="150">
        <f>IF($B60="NA","NA",IF($B60&lt;=$D$11,0,MIN(IF($B60=($D$11+1),'Stage (4) Investment'!$I60,SUM($K59:N59)),'Stage (5) Investment:Stage (10) Investment'!$I60)-SUM($K60:M60)))</f>
        <v>0</v>
      </c>
      <c r="O60" s="150">
        <f>IF($B60="NA","NA",IF($B60&lt;=$D$12,0,MIN(IF($B60=($D$12+1),'Stage (5) Investment'!$I60,SUM($K59:O59)),'Stage (6) Investment:Stage (10) Investment'!$I60)-SUM($K60:N60)))</f>
        <v>0</v>
      </c>
      <c r="P60" s="150">
        <f>IF($B60="NA","NA",IF($B60&lt;=$D$13,0,MIN(IF($B60=($D$13+1),'Stage (6) Investment'!$I60,SUM($K59:P59)),'Stage (7) Investment:Stage (10) Investment'!$I60)-SUM($K60:O60)))</f>
        <v>0</v>
      </c>
      <c r="Q60" s="150">
        <f>IF($B60="NA","NA",IF($B60&lt;=$D$14,0,MIN(IF($B60=($D$14+1),'Stage (7) Investment'!$I60,SUM($K59:Q59)),'Stage (8) Investment:Stage (10) Investment'!$I60)-SUM($K60:P60)))</f>
        <v>0</v>
      </c>
      <c r="R60" s="150">
        <f>IF($B60="NA","NA",IF($B60&lt;=$D$15,0,MIN(IF($B60=($D$15+1),'Stage (8) Investment'!$I60,SUM($K59:R59)),'Stage (9) Investment:Stage (10) Investment'!$I60)-SUM($K60:Q60)))</f>
        <v>0</v>
      </c>
      <c r="S60" s="150">
        <f>IF($B60="NA","NA",IF($B60&lt;=$D$16,0,MIN(IF($B60=($D$16+1),'Stage (9) Investment'!$I60,SUM($K59:S59)),'Stage (10) Investment'!$I60)-SUM($K60:R60)))</f>
        <v>0</v>
      </c>
      <c r="T60" s="151">
        <f>IF($B60="NA","NA",IF($B60&lt;=$D$17,0,IF($B60=($D$17+1),'Stage (10) Investment'!$I60,SUM($K59:T59))-SUM($K60:S60)))</f>
        <v>0</v>
      </c>
    </row>
    <row r="61" spans="1:20" x14ac:dyDescent="0.2">
      <c r="A61" s="86">
        <f t="shared" si="4"/>
        <v>1156</v>
      </c>
      <c r="B61" s="142">
        <f t="shared" si="7"/>
        <v>39</v>
      </c>
      <c r="C61" s="143">
        <f t="shared" si="5"/>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50">
        <f>IF(ISNUMBER(VLOOKUP($C61,'A4 Investment'!$A$24:$G$33,7,FALSE)),VLOOKUP($C61,'A4 Investment'!$A$24:$G$33,7,FALSE)*'A4 Investment'!G$18/12,0)</f>
        <v>0</v>
      </c>
      <c r="I61" s="151">
        <f t="shared" si="6"/>
        <v>8904.1666666666661</v>
      </c>
      <c r="J61" s="149">
        <f t="shared" si="2"/>
        <v>8904.1666666666661</v>
      </c>
      <c r="K61" s="150">
        <f>IF($B61="NA","NA",IF($B61&lt;=$D$8,0,MIN(IF($B61=($D$8+1),'Stage (1) Investment'!$I61,K60),'Stage (2) Investment:Stage (10) Investment'!$I61)))</f>
        <v>8904.1666666666661</v>
      </c>
      <c r="L61" s="150">
        <f>IF($B61="NA","NA",IF($B61&lt;=$D$9,0,MIN(IF($B61=($D$9+1),'Stage (2) Investment'!$I61,SUM($K60:L60)),'Stage (3) Investment:Stage (10) Investment'!$I61)-K61))</f>
        <v>0</v>
      </c>
      <c r="M61" s="150">
        <f>IF($B61="NA","NA",IF($B61&lt;=$D$10,0,MIN(IF($B61=($D$10+1),'Stage (3) Investment'!$I61,SUM($K60:M60)),'Stage (4) Investment:Stage (10) Investment'!$I61)-SUM($K61:L61)))</f>
        <v>0</v>
      </c>
      <c r="N61" s="150">
        <f>IF($B61="NA","NA",IF($B61&lt;=$D$11,0,MIN(IF($B61=($D$11+1),'Stage (4) Investment'!$I61,SUM($K60:N60)),'Stage (5) Investment:Stage (10) Investment'!$I61)-SUM($K61:M61)))</f>
        <v>0</v>
      </c>
      <c r="O61" s="150">
        <f>IF($B61="NA","NA",IF($B61&lt;=$D$12,0,MIN(IF($B61=($D$12+1),'Stage (5) Investment'!$I61,SUM($K60:O60)),'Stage (6) Investment:Stage (10) Investment'!$I61)-SUM($K61:N61)))</f>
        <v>0</v>
      </c>
      <c r="P61" s="150">
        <f>IF($B61="NA","NA",IF($B61&lt;=$D$13,0,MIN(IF($B61=($D$13+1),'Stage (6) Investment'!$I61,SUM($K60:P60)),'Stage (7) Investment:Stage (10) Investment'!$I61)-SUM($K61:O61)))</f>
        <v>0</v>
      </c>
      <c r="Q61" s="150">
        <f>IF($B61="NA","NA",IF($B61&lt;=$D$14,0,MIN(IF($B61=($D$14+1),'Stage (7) Investment'!$I61,SUM($K60:Q60)),'Stage (8) Investment:Stage (10) Investment'!$I61)-SUM($K61:P61)))</f>
        <v>0</v>
      </c>
      <c r="R61" s="150">
        <f>IF($B61="NA","NA",IF($B61&lt;=$D$15,0,MIN(IF($B61=($D$15+1),'Stage (8) Investment'!$I61,SUM($K60:R60)),'Stage (9) Investment:Stage (10) Investment'!$I61)-SUM($K61:Q61)))</f>
        <v>0</v>
      </c>
      <c r="S61" s="150">
        <f>IF($B61="NA","NA",IF($B61&lt;=$D$16,0,MIN(IF($B61=($D$16+1),'Stage (9) Investment'!$I61,SUM($K60:S60)),'Stage (10) Investment'!$I61)-SUM($K61:R61)))</f>
        <v>0</v>
      </c>
      <c r="T61" s="151">
        <f>IF($B61="NA","NA",IF($B61&lt;=$D$17,0,IF($B61=($D$17+1),'Stage (10) Investment'!$I61,SUM($K60:T60))-SUM($K61:S61)))</f>
        <v>0</v>
      </c>
    </row>
    <row r="62" spans="1:20" x14ac:dyDescent="0.2">
      <c r="A62" s="86">
        <f t="shared" si="4"/>
        <v>1187</v>
      </c>
      <c r="B62" s="142">
        <f t="shared" si="7"/>
        <v>40</v>
      </c>
      <c r="C62" s="143">
        <f t="shared" si="5"/>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50">
        <f>IF(ISNUMBER(VLOOKUP($C62,'A4 Investment'!$A$24:$G$33,7,FALSE)),VLOOKUP($C62,'A4 Investment'!$A$24:$G$33,7,FALSE)*'A4 Investment'!G$18/12,0)</f>
        <v>0</v>
      </c>
      <c r="I62" s="151">
        <f t="shared" si="6"/>
        <v>8904.1666666666661</v>
      </c>
      <c r="J62" s="149">
        <f t="shared" si="2"/>
        <v>8904.1666666666661</v>
      </c>
      <c r="K62" s="150">
        <f>IF($B62="NA","NA",IF($B62&lt;=$D$8,0,MIN(IF($B62=($D$8+1),'Stage (1) Investment'!$I62,K61),'Stage (2) Investment:Stage (10) Investment'!$I62)))</f>
        <v>8904.1666666666661</v>
      </c>
      <c r="L62" s="150">
        <f>IF($B62="NA","NA",IF($B62&lt;=$D$9,0,MIN(IF($B62=($D$9+1),'Stage (2) Investment'!$I62,SUM($K61:L61)),'Stage (3) Investment:Stage (10) Investment'!$I62)-K62))</f>
        <v>0</v>
      </c>
      <c r="M62" s="150">
        <f>IF($B62="NA","NA",IF($B62&lt;=$D$10,0,MIN(IF($B62=($D$10+1),'Stage (3) Investment'!$I62,SUM($K61:M61)),'Stage (4) Investment:Stage (10) Investment'!$I62)-SUM($K62:L62)))</f>
        <v>0</v>
      </c>
      <c r="N62" s="150">
        <f>IF($B62="NA","NA",IF($B62&lt;=$D$11,0,MIN(IF($B62=($D$11+1),'Stage (4) Investment'!$I62,SUM($K61:N61)),'Stage (5) Investment:Stage (10) Investment'!$I62)-SUM($K62:M62)))</f>
        <v>0</v>
      </c>
      <c r="O62" s="150">
        <f>IF($B62="NA","NA",IF($B62&lt;=$D$12,0,MIN(IF($B62=($D$12+1),'Stage (5) Investment'!$I62,SUM($K61:O61)),'Stage (6) Investment:Stage (10) Investment'!$I62)-SUM($K62:N62)))</f>
        <v>0</v>
      </c>
      <c r="P62" s="150">
        <f>IF($B62="NA","NA",IF($B62&lt;=$D$13,0,MIN(IF($B62=($D$13+1),'Stage (6) Investment'!$I62,SUM($K61:P61)),'Stage (7) Investment:Stage (10) Investment'!$I62)-SUM($K62:O62)))</f>
        <v>0</v>
      </c>
      <c r="Q62" s="150">
        <f>IF($B62="NA","NA",IF($B62&lt;=$D$14,0,MIN(IF($B62=($D$14+1),'Stage (7) Investment'!$I62,SUM($K61:Q61)),'Stage (8) Investment:Stage (10) Investment'!$I62)-SUM($K62:P62)))</f>
        <v>0</v>
      </c>
      <c r="R62" s="150">
        <f>IF($B62="NA","NA",IF($B62&lt;=$D$15,0,MIN(IF($B62=($D$15+1),'Stage (8) Investment'!$I62,SUM($K61:R61)),'Stage (9) Investment:Stage (10) Investment'!$I62)-SUM($K62:Q62)))</f>
        <v>0</v>
      </c>
      <c r="S62" s="150">
        <f>IF($B62="NA","NA",IF($B62&lt;=$D$16,0,MIN(IF($B62=($D$16+1),'Stage (9) Investment'!$I62,SUM($K61:S61)),'Stage (10) Investment'!$I62)-SUM($K62:R62)))</f>
        <v>0</v>
      </c>
      <c r="T62" s="151">
        <f>IF($B62="NA","NA",IF($B62&lt;=$D$17,0,IF($B62=($D$17+1),'Stage (10) Investment'!$I62,SUM($K61:T61))-SUM($K62:S62)))</f>
        <v>0</v>
      </c>
    </row>
    <row r="63" spans="1:20" x14ac:dyDescent="0.2">
      <c r="A63" s="86">
        <f t="shared" si="4"/>
        <v>1217</v>
      </c>
      <c r="B63" s="142">
        <f t="shared" si="7"/>
        <v>41</v>
      </c>
      <c r="C63" s="143">
        <f t="shared" si="5"/>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50">
        <f>IF(ISNUMBER(VLOOKUP($C63,'A4 Investment'!$A$24:$G$33,7,FALSE)),VLOOKUP($C63,'A4 Investment'!$A$24:$G$33,7,FALSE)*'A4 Investment'!G$18/12,0)</f>
        <v>0</v>
      </c>
      <c r="I63" s="151">
        <f t="shared" si="6"/>
        <v>8904.1666666666661</v>
      </c>
      <c r="J63" s="149">
        <f t="shared" si="2"/>
        <v>8904.1666666666661</v>
      </c>
      <c r="K63" s="150">
        <f>IF($B63="NA","NA",IF($B63&lt;=$D$8,0,MIN(IF($B63=($D$8+1),'Stage (1) Investment'!$I63,K62),'Stage (2) Investment:Stage (10) Investment'!$I63)))</f>
        <v>8904.1666666666661</v>
      </c>
      <c r="L63" s="150">
        <f>IF($B63="NA","NA",IF($B63&lt;=$D$9,0,MIN(IF($B63=($D$9+1),'Stage (2) Investment'!$I63,SUM($K62:L62)),'Stage (3) Investment:Stage (10) Investment'!$I63)-K63))</f>
        <v>0</v>
      </c>
      <c r="M63" s="150">
        <f>IF($B63="NA","NA",IF($B63&lt;=$D$10,0,MIN(IF($B63=($D$10+1),'Stage (3) Investment'!$I63,SUM($K62:M62)),'Stage (4) Investment:Stage (10) Investment'!$I63)-SUM($K63:L63)))</f>
        <v>0</v>
      </c>
      <c r="N63" s="150">
        <f>IF($B63="NA","NA",IF($B63&lt;=$D$11,0,MIN(IF($B63=($D$11+1),'Stage (4) Investment'!$I63,SUM($K62:N62)),'Stage (5) Investment:Stage (10) Investment'!$I63)-SUM($K63:M63)))</f>
        <v>0</v>
      </c>
      <c r="O63" s="150">
        <f>IF($B63="NA","NA",IF($B63&lt;=$D$12,0,MIN(IF($B63=($D$12+1),'Stage (5) Investment'!$I63,SUM($K62:O62)),'Stage (6) Investment:Stage (10) Investment'!$I63)-SUM($K63:N63)))</f>
        <v>0</v>
      </c>
      <c r="P63" s="150">
        <f>IF($B63="NA","NA",IF($B63&lt;=$D$13,0,MIN(IF($B63=($D$13+1),'Stage (6) Investment'!$I63,SUM($K62:P62)),'Stage (7) Investment:Stage (10) Investment'!$I63)-SUM($K63:O63)))</f>
        <v>0</v>
      </c>
      <c r="Q63" s="150">
        <f>IF($B63="NA","NA",IF($B63&lt;=$D$14,0,MIN(IF($B63=($D$14+1),'Stage (7) Investment'!$I63,SUM($K62:Q62)),'Stage (8) Investment:Stage (10) Investment'!$I63)-SUM($K63:P63)))</f>
        <v>0</v>
      </c>
      <c r="R63" s="150">
        <f>IF($B63="NA","NA",IF($B63&lt;=$D$15,0,MIN(IF($B63=($D$15+1),'Stage (8) Investment'!$I63,SUM($K62:R62)),'Stage (9) Investment:Stage (10) Investment'!$I63)-SUM($K63:Q63)))</f>
        <v>0</v>
      </c>
      <c r="S63" s="150">
        <f>IF($B63="NA","NA",IF($B63&lt;=$D$16,0,MIN(IF($B63=($D$16+1),'Stage (9) Investment'!$I63,SUM($K62:S62)),'Stage (10) Investment'!$I63)-SUM($K63:R63)))</f>
        <v>0</v>
      </c>
      <c r="T63" s="151">
        <f>IF($B63="NA","NA",IF($B63&lt;=$D$17,0,IF($B63=($D$17+1),'Stage (10) Investment'!$I63,SUM($K62:T62))-SUM($K63:S63)))</f>
        <v>0</v>
      </c>
    </row>
    <row r="64" spans="1:20" x14ac:dyDescent="0.2">
      <c r="A64" s="86">
        <f t="shared" si="4"/>
        <v>1248</v>
      </c>
      <c r="B64" s="142">
        <f t="shared" si="7"/>
        <v>42</v>
      </c>
      <c r="C64" s="143">
        <f t="shared" si="5"/>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50">
        <f>IF(ISNUMBER(VLOOKUP($C64,'A4 Investment'!$A$24:$G$33,7,FALSE)),VLOOKUP($C64,'A4 Investment'!$A$24:$G$33,7,FALSE)*'A4 Investment'!G$18/12,0)</f>
        <v>0</v>
      </c>
      <c r="I64" s="151">
        <f t="shared" si="6"/>
        <v>8904.1666666666661</v>
      </c>
      <c r="J64" s="149">
        <f t="shared" si="2"/>
        <v>8904.1666666666661</v>
      </c>
      <c r="K64" s="150">
        <f>IF($B64="NA","NA",IF($B64&lt;=$D$8,0,MIN(IF($B64=($D$8+1),'Stage (1) Investment'!$I64,K63),'Stage (2) Investment:Stage (10) Investment'!$I64)))</f>
        <v>8904.1666666666661</v>
      </c>
      <c r="L64" s="150">
        <f>IF($B64="NA","NA",IF($B64&lt;=$D$9,0,MIN(IF($B64=($D$9+1),'Stage (2) Investment'!$I64,SUM($K63:L63)),'Stage (3) Investment:Stage (10) Investment'!$I64)-K64))</f>
        <v>0</v>
      </c>
      <c r="M64" s="150">
        <f>IF($B64="NA","NA",IF($B64&lt;=$D$10,0,MIN(IF($B64=($D$10+1),'Stage (3) Investment'!$I64,SUM($K63:M63)),'Stage (4) Investment:Stage (10) Investment'!$I64)-SUM($K64:L64)))</f>
        <v>0</v>
      </c>
      <c r="N64" s="150">
        <f>IF($B64="NA","NA",IF($B64&lt;=$D$11,0,MIN(IF($B64=($D$11+1),'Stage (4) Investment'!$I64,SUM($K63:N63)),'Stage (5) Investment:Stage (10) Investment'!$I64)-SUM($K64:M64)))</f>
        <v>0</v>
      </c>
      <c r="O64" s="150">
        <f>IF($B64="NA","NA",IF($B64&lt;=$D$12,0,MIN(IF($B64=($D$12+1),'Stage (5) Investment'!$I64,SUM($K63:O63)),'Stage (6) Investment:Stage (10) Investment'!$I64)-SUM($K64:N64)))</f>
        <v>0</v>
      </c>
      <c r="P64" s="150">
        <f>IF($B64="NA","NA",IF($B64&lt;=$D$13,0,MIN(IF($B64=($D$13+1),'Stage (6) Investment'!$I64,SUM($K63:P63)),'Stage (7) Investment:Stage (10) Investment'!$I64)-SUM($K64:O64)))</f>
        <v>0</v>
      </c>
      <c r="Q64" s="150">
        <f>IF($B64="NA","NA",IF($B64&lt;=$D$14,0,MIN(IF($B64=($D$14+1),'Stage (7) Investment'!$I64,SUM($K63:Q63)),'Stage (8) Investment:Stage (10) Investment'!$I64)-SUM($K64:P64)))</f>
        <v>0</v>
      </c>
      <c r="R64" s="150">
        <f>IF($B64="NA","NA",IF($B64&lt;=$D$15,0,MIN(IF($B64=($D$15+1),'Stage (8) Investment'!$I64,SUM($K63:R63)),'Stage (9) Investment:Stage (10) Investment'!$I64)-SUM($K64:Q64)))</f>
        <v>0</v>
      </c>
      <c r="S64" s="150">
        <f>IF($B64="NA","NA",IF($B64&lt;=$D$16,0,MIN(IF($B64=($D$16+1),'Stage (9) Investment'!$I64,SUM($K63:S63)),'Stage (10) Investment'!$I64)-SUM($K64:R64)))</f>
        <v>0</v>
      </c>
      <c r="T64" s="151">
        <f>IF($B64="NA","NA",IF($B64&lt;=$D$17,0,IF($B64=($D$17+1),'Stage (10) Investment'!$I64,SUM($K63:T63))-SUM($K64:S64)))</f>
        <v>0</v>
      </c>
    </row>
    <row r="65" spans="1:20" x14ac:dyDescent="0.2">
      <c r="A65" s="86">
        <f t="shared" si="4"/>
        <v>1278</v>
      </c>
      <c r="B65" s="142">
        <f t="shared" si="7"/>
        <v>43</v>
      </c>
      <c r="C65" s="143">
        <f t="shared" si="5"/>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50">
        <f>IF(ISNUMBER(VLOOKUP($C65,'A4 Investment'!$A$24:$G$33,7,FALSE)),VLOOKUP($C65,'A4 Investment'!$A$24:$G$33,7,FALSE)*'A4 Investment'!G$18/12,0)</f>
        <v>0</v>
      </c>
      <c r="I65" s="151">
        <f t="shared" si="6"/>
        <v>8904.1666666666661</v>
      </c>
      <c r="J65" s="149">
        <f t="shared" si="2"/>
        <v>8904.1666666666661</v>
      </c>
      <c r="K65" s="150">
        <f>IF($B65="NA","NA",IF($B65&lt;=$D$8,0,MIN(IF($B65=($D$8+1),'Stage (1) Investment'!$I65,K64),'Stage (2) Investment:Stage (10) Investment'!$I65)))</f>
        <v>8904.1666666666661</v>
      </c>
      <c r="L65" s="150">
        <f>IF($B65="NA","NA",IF($B65&lt;=$D$9,0,MIN(IF($B65=($D$9+1),'Stage (2) Investment'!$I65,SUM($K64:L64)),'Stage (3) Investment:Stage (10) Investment'!$I65)-K65))</f>
        <v>0</v>
      </c>
      <c r="M65" s="150">
        <f>IF($B65="NA","NA",IF($B65&lt;=$D$10,0,MIN(IF($B65=($D$10+1),'Stage (3) Investment'!$I65,SUM($K64:M64)),'Stage (4) Investment:Stage (10) Investment'!$I65)-SUM($K65:L65)))</f>
        <v>0</v>
      </c>
      <c r="N65" s="150">
        <f>IF($B65="NA","NA",IF($B65&lt;=$D$11,0,MIN(IF($B65=($D$11+1),'Stage (4) Investment'!$I65,SUM($K64:N64)),'Stage (5) Investment:Stage (10) Investment'!$I65)-SUM($K65:M65)))</f>
        <v>0</v>
      </c>
      <c r="O65" s="150">
        <f>IF($B65="NA","NA",IF($B65&lt;=$D$12,0,MIN(IF($B65=($D$12+1),'Stage (5) Investment'!$I65,SUM($K64:O64)),'Stage (6) Investment:Stage (10) Investment'!$I65)-SUM($K65:N65)))</f>
        <v>0</v>
      </c>
      <c r="P65" s="150">
        <f>IF($B65="NA","NA",IF($B65&lt;=$D$13,0,MIN(IF($B65=($D$13+1),'Stage (6) Investment'!$I65,SUM($K64:P64)),'Stage (7) Investment:Stage (10) Investment'!$I65)-SUM($K65:O65)))</f>
        <v>0</v>
      </c>
      <c r="Q65" s="150">
        <f>IF($B65="NA","NA",IF($B65&lt;=$D$14,0,MIN(IF($B65=($D$14+1),'Stage (7) Investment'!$I65,SUM($K64:Q64)),'Stage (8) Investment:Stage (10) Investment'!$I65)-SUM($K65:P65)))</f>
        <v>0</v>
      </c>
      <c r="R65" s="150">
        <f>IF($B65="NA","NA",IF($B65&lt;=$D$15,0,MIN(IF($B65=($D$15+1),'Stage (8) Investment'!$I65,SUM($K64:R64)),'Stage (9) Investment:Stage (10) Investment'!$I65)-SUM($K65:Q65)))</f>
        <v>0</v>
      </c>
      <c r="S65" s="150">
        <f>IF($B65="NA","NA",IF($B65&lt;=$D$16,0,MIN(IF($B65=($D$16+1),'Stage (9) Investment'!$I65,SUM($K64:S64)),'Stage (10) Investment'!$I65)-SUM($K65:R65)))</f>
        <v>0</v>
      </c>
      <c r="T65" s="151">
        <f>IF($B65="NA","NA",IF($B65&lt;=$D$17,0,IF($B65=($D$17+1),'Stage (10) Investment'!$I65,SUM($K64:T64))-SUM($K65:S65)))</f>
        <v>0</v>
      </c>
    </row>
    <row r="66" spans="1:20" x14ac:dyDescent="0.2">
      <c r="A66" s="86">
        <f t="shared" si="4"/>
        <v>1309</v>
      </c>
      <c r="B66" s="142">
        <f t="shared" si="7"/>
        <v>44</v>
      </c>
      <c r="C66" s="143">
        <f t="shared" si="5"/>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50">
        <f>IF(ISNUMBER(VLOOKUP($C66,'A4 Investment'!$A$24:$G$33,7,FALSE)),VLOOKUP($C66,'A4 Investment'!$A$24:$G$33,7,FALSE)*'A4 Investment'!G$18/12,0)</f>
        <v>0</v>
      </c>
      <c r="I66" s="151">
        <f t="shared" si="6"/>
        <v>8904.1666666666661</v>
      </c>
      <c r="J66" s="149">
        <f t="shared" si="2"/>
        <v>8904.1666666666661</v>
      </c>
      <c r="K66" s="150">
        <f>IF($B66="NA","NA",IF($B66&lt;=$D$8,0,MIN(IF($B66=($D$8+1),'Stage (1) Investment'!$I66,K65),'Stage (2) Investment:Stage (10) Investment'!$I66)))</f>
        <v>8904.1666666666661</v>
      </c>
      <c r="L66" s="150">
        <f>IF($B66="NA","NA",IF($B66&lt;=$D$9,0,MIN(IF($B66=($D$9+1),'Stage (2) Investment'!$I66,SUM($K65:L65)),'Stage (3) Investment:Stage (10) Investment'!$I66)-K66))</f>
        <v>0</v>
      </c>
      <c r="M66" s="150">
        <f>IF($B66="NA","NA",IF($B66&lt;=$D$10,0,MIN(IF($B66=($D$10+1),'Stage (3) Investment'!$I66,SUM($K65:M65)),'Stage (4) Investment:Stage (10) Investment'!$I66)-SUM($K66:L66)))</f>
        <v>0</v>
      </c>
      <c r="N66" s="150">
        <f>IF($B66="NA","NA",IF($B66&lt;=$D$11,0,MIN(IF($B66=($D$11+1),'Stage (4) Investment'!$I66,SUM($K65:N65)),'Stage (5) Investment:Stage (10) Investment'!$I66)-SUM($K66:M66)))</f>
        <v>0</v>
      </c>
      <c r="O66" s="150">
        <f>IF($B66="NA","NA",IF($B66&lt;=$D$12,0,MIN(IF($B66=($D$12+1),'Stage (5) Investment'!$I66,SUM($K65:O65)),'Stage (6) Investment:Stage (10) Investment'!$I66)-SUM($K66:N66)))</f>
        <v>0</v>
      </c>
      <c r="P66" s="150">
        <f>IF($B66="NA","NA",IF($B66&lt;=$D$13,0,MIN(IF($B66=($D$13+1),'Stage (6) Investment'!$I66,SUM($K65:P65)),'Stage (7) Investment:Stage (10) Investment'!$I66)-SUM($K66:O66)))</f>
        <v>0</v>
      </c>
      <c r="Q66" s="150">
        <f>IF($B66="NA","NA",IF($B66&lt;=$D$14,0,MIN(IF($B66=($D$14+1),'Stage (7) Investment'!$I66,SUM($K65:Q65)),'Stage (8) Investment:Stage (10) Investment'!$I66)-SUM($K66:P66)))</f>
        <v>0</v>
      </c>
      <c r="R66" s="150">
        <f>IF($B66="NA","NA",IF($B66&lt;=$D$15,0,MIN(IF($B66=($D$15+1),'Stage (8) Investment'!$I66,SUM($K65:R65)),'Stage (9) Investment:Stage (10) Investment'!$I66)-SUM($K66:Q66)))</f>
        <v>0</v>
      </c>
      <c r="S66" s="150">
        <f>IF($B66="NA","NA",IF($B66&lt;=$D$16,0,MIN(IF($B66=($D$16+1),'Stage (9) Investment'!$I66,SUM($K65:S65)),'Stage (10) Investment'!$I66)-SUM($K66:R66)))</f>
        <v>0</v>
      </c>
      <c r="T66" s="151">
        <f>IF($B66="NA","NA",IF($B66&lt;=$D$17,0,IF($B66=($D$17+1),'Stage (10) Investment'!$I66,SUM($K65:T65))-SUM($K66:S66)))</f>
        <v>0</v>
      </c>
    </row>
    <row r="67" spans="1:20" x14ac:dyDescent="0.2">
      <c r="A67" s="86">
        <f t="shared" si="4"/>
        <v>1340</v>
      </c>
      <c r="B67" s="142">
        <f t="shared" si="7"/>
        <v>45</v>
      </c>
      <c r="C67" s="143">
        <f t="shared" si="5"/>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50">
        <f>IF(ISNUMBER(VLOOKUP($C67,'A4 Investment'!$A$24:$G$33,7,FALSE)),VLOOKUP($C67,'A4 Investment'!$A$24:$G$33,7,FALSE)*'A4 Investment'!G$18/12,0)</f>
        <v>0</v>
      </c>
      <c r="I67" s="151">
        <f t="shared" si="6"/>
        <v>8904.1666666666661</v>
      </c>
      <c r="J67" s="149">
        <f t="shared" si="2"/>
        <v>8904.1666666666661</v>
      </c>
      <c r="K67" s="150">
        <f>IF($B67="NA","NA",IF($B67&lt;=$D$8,0,MIN(IF($B67=($D$8+1),'Stage (1) Investment'!$I67,K66),'Stage (2) Investment:Stage (10) Investment'!$I67)))</f>
        <v>8904.1666666666661</v>
      </c>
      <c r="L67" s="150">
        <f>IF($B67="NA","NA",IF($B67&lt;=$D$9,0,MIN(IF($B67=($D$9+1),'Stage (2) Investment'!$I67,SUM($K66:L66)),'Stage (3) Investment:Stage (10) Investment'!$I67)-K67))</f>
        <v>0</v>
      </c>
      <c r="M67" s="150">
        <f>IF($B67="NA","NA",IF($B67&lt;=$D$10,0,MIN(IF($B67=($D$10+1),'Stage (3) Investment'!$I67,SUM($K66:M66)),'Stage (4) Investment:Stage (10) Investment'!$I67)-SUM($K67:L67)))</f>
        <v>0</v>
      </c>
      <c r="N67" s="150">
        <f>IF($B67="NA","NA",IF($B67&lt;=$D$11,0,MIN(IF($B67=($D$11+1),'Stage (4) Investment'!$I67,SUM($K66:N66)),'Stage (5) Investment:Stage (10) Investment'!$I67)-SUM($K67:M67)))</f>
        <v>0</v>
      </c>
      <c r="O67" s="150">
        <f>IF($B67="NA","NA",IF($B67&lt;=$D$12,0,MIN(IF($B67=($D$12+1),'Stage (5) Investment'!$I67,SUM($K66:O66)),'Stage (6) Investment:Stage (10) Investment'!$I67)-SUM($K67:N67)))</f>
        <v>0</v>
      </c>
      <c r="P67" s="150">
        <f>IF($B67="NA","NA",IF($B67&lt;=$D$13,0,MIN(IF($B67=($D$13+1),'Stage (6) Investment'!$I67,SUM($K66:P66)),'Stage (7) Investment:Stage (10) Investment'!$I67)-SUM($K67:O67)))</f>
        <v>0</v>
      </c>
      <c r="Q67" s="150">
        <f>IF($B67="NA","NA",IF($B67&lt;=$D$14,0,MIN(IF($B67=($D$14+1),'Stage (7) Investment'!$I67,SUM($K66:Q66)),'Stage (8) Investment:Stage (10) Investment'!$I67)-SUM($K67:P67)))</f>
        <v>0</v>
      </c>
      <c r="R67" s="150">
        <f>IF($B67="NA","NA",IF($B67&lt;=$D$15,0,MIN(IF($B67=($D$15+1),'Stage (8) Investment'!$I67,SUM($K66:R66)),'Stage (9) Investment:Stage (10) Investment'!$I67)-SUM($K67:Q67)))</f>
        <v>0</v>
      </c>
      <c r="S67" s="150">
        <f>IF($B67="NA","NA",IF($B67&lt;=$D$16,0,MIN(IF($B67=($D$16+1),'Stage (9) Investment'!$I67,SUM($K66:S66)),'Stage (10) Investment'!$I67)-SUM($K67:R67)))</f>
        <v>0</v>
      </c>
      <c r="T67" s="151">
        <f>IF($B67="NA","NA",IF($B67&lt;=$D$17,0,IF($B67=($D$17+1),'Stage (10) Investment'!$I67,SUM($K66:T66))-SUM($K67:S67)))</f>
        <v>0</v>
      </c>
    </row>
    <row r="68" spans="1:20" x14ac:dyDescent="0.2">
      <c r="A68" s="86">
        <f t="shared" si="4"/>
        <v>1370</v>
      </c>
      <c r="B68" s="142">
        <f t="shared" si="7"/>
        <v>46</v>
      </c>
      <c r="C68" s="143">
        <f t="shared" si="5"/>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50">
        <f>IF(ISNUMBER(VLOOKUP($C68,'A4 Investment'!$A$24:$G$33,7,FALSE)),VLOOKUP($C68,'A4 Investment'!$A$24:$G$33,7,FALSE)*'A4 Investment'!G$18/12,0)</f>
        <v>0</v>
      </c>
      <c r="I68" s="151">
        <f t="shared" si="6"/>
        <v>8904.1666666666661</v>
      </c>
      <c r="J68" s="149">
        <f t="shared" si="2"/>
        <v>8904.1666666666661</v>
      </c>
      <c r="K68" s="150">
        <f>IF($B68="NA","NA",IF($B68&lt;=$D$8,0,MIN(IF($B68=($D$8+1),'Stage (1) Investment'!$I68,K67),'Stage (2) Investment:Stage (10) Investment'!$I68)))</f>
        <v>8904.1666666666661</v>
      </c>
      <c r="L68" s="150">
        <f>IF($B68="NA","NA",IF($B68&lt;=$D$9,0,MIN(IF($B68=($D$9+1),'Stage (2) Investment'!$I68,SUM($K67:L67)),'Stage (3) Investment:Stage (10) Investment'!$I68)-K68))</f>
        <v>0</v>
      </c>
      <c r="M68" s="150">
        <f>IF($B68="NA","NA",IF($B68&lt;=$D$10,0,MIN(IF($B68=($D$10+1),'Stage (3) Investment'!$I68,SUM($K67:M67)),'Stage (4) Investment:Stage (10) Investment'!$I68)-SUM($K68:L68)))</f>
        <v>0</v>
      </c>
      <c r="N68" s="150">
        <f>IF($B68="NA","NA",IF($B68&lt;=$D$11,0,MIN(IF($B68=($D$11+1),'Stage (4) Investment'!$I68,SUM($K67:N67)),'Stage (5) Investment:Stage (10) Investment'!$I68)-SUM($K68:M68)))</f>
        <v>0</v>
      </c>
      <c r="O68" s="150">
        <f>IF($B68="NA","NA",IF($B68&lt;=$D$12,0,MIN(IF($B68=($D$12+1),'Stage (5) Investment'!$I68,SUM($K67:O67)),'Stage (6) Investment:Stage (10) Investment'!$I68)-SUM($K68:N68)))</f>
        <v>0</v>
      </c>
      <c r="P68" s="150">
        <f>IF($B68="NA","NA",IF($B68&lt;=$D$13,0,MIN(IF($B68=($D$13+1),'Stage (6) Investment'!$I68,SUM($K67:P67)),'Stage (7) Investment:Stage (10) Investment'!$I68)-SUM($K68:O68)))</f>
        <v>0</v>
      </c>
      <c r="Q68" s="150">
        <f>IF($B68="NA","NA",IF($B68&lt;=$D$14,0,MIN(IF($B68=($D$14+1),'Stage (7) Investment'!$I68,SUM($K67:Q67)),'Stage (8) Investment:Stage (10) Investment'!$I68)-SUM($K68:P68)))</f>
        <v>0</v>
      </c>
      <c r="R68" s="150">
        <f>IF($B68="NA","NA",IF($B68&lt;=$D$15,0,MIN(IF($B68=($D$15+1),'Stage (8) Investment'!$I68,SUM($K67:R67)),'Stage (9) Investment:Stage (10) Investment'!$I68)-SUM($K68:Q68)))</f>
        <v>0</v>
      </c>
      <c r="S68" s="150">
        <f>IF($B68="NA","NA",IF($B68&lt;=$D$16,0,MIN(IF($B68=($D$16+1),'Stage (9) Investment'!$I68,SUM($K67:S67)),'Stage (10) Investment'!$I68)-SUM($K68:R68)))</f>
        <v>0</v>
      </c>
      <c r="T68" s="151">
        <f>IF($B68="NA","NA",IF($B68&lt;=$D$17,0,IF($B68=($D$17+1),'Stage (10) Investment'!$I68,SUM($K67:T67))-SUM($K68:S68)))</f>
        <v>0</v>
      </c>
    </row>
    <row r="69" spans="1:20" x14ac:dyDescent="0.2">
      <c r="A69" s="86">
        <f t="shared" si="4"/>
        <v>1401</v>
      </c>
      <c r="B69" s="142">
        <f t="shared" si="7"/>
        <v>47</v>
      </c>
      <c r="C69" s="143">
        <f t="shared" si="5"/>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50">
        <f>IF(ISNUMBER(VLOOKUP($C69,'A4 Investment'!$A$24:$G$33,7,FALSE)),VLOOKUP($C69,'A4 Investment'!$A$24:$G$33,7,FALSE)*'A4 Investment'!G$18/12,0)</f>
        <v>0</v>
      </c>
      <c r="I69" s="151">
        <f t="shared" si="6"/>
        <v>8904.1666666666661</v>
      </c>
      <c r="J69" s="149">
        <f t="shared" si="2"/>
        <v>8904.1666666666661</v>
      </c>
      <c r="K69" s="150">
        <f>IF($B69="NA","NA",IF($B69&lt;=$D$8,0,MIN(IF($B69=($D$8+1),'Stage (1) Investment'!$I69,K68),'Stage (2) Investment:Stage (10) Investment'!$I69)))</f>
        <v>8904.1666666666661</v>
      </c>
      <c r="L69" s="150">
        <f>IF($B69="NA","NA",IF($B69&lt;=$D$9,0,MIN(IF($B69=($D$9+1),'Stage (2) Investment'!$I69,SUM($K68:L68)),'Stage (3) Investment:Stage (10) Investment'!$I69)-K69))</f>
        <v>0</v>
      </c>
      <c r="M69" s="150">
        <f>IF($B69="NA","NA",IF($B69&lt;=$D$10,0,MIN(IF($B69=($D$10+1),'Stage (3) Investment'!$I69,SUM($K68:M68)),'Stage (4) Investment:Stage (10) Investment'!$I69)-SUM($K69:L69)))</f>
        <v>0</v>
      </c>
      <c r="N69" s="150">
        <f>IF($B69="NA","NA",IF($B69&lt;=$D$11,0,MIN(IF($B69=($D$11+1),'Stage (4) Investment'!$I69,SUM($K68:N68)),'Stage (5) Investment:Stage (10) Investment'!$I69)-SUM($K69:M69)))</f>
        <v>0</v>
      </c>
      <c r="O69" s="150">
        <f>IF($B69="NA","NA",IF($B69&lt;=$D$12,0,MIN(IF($B69=($D$12+1),'Stage (5) Investment'!$I69,SUM($K68:O68)),'Stage (6) Investment:Stage (10) Investment'!$I69)-SUM($K69:N69)))</f>
        <v>0</v>
      </c>
      <c r="P69" s="150">
        <f>IF($B69="NA","NA",IF($B69&lt;=$D$13,0,MIN(IF($B69=($D$13+1),'Stage (6) Investment'!$I69,SUM($K68:P68)),'Stage (7) Investment:Stage (10) Investment'!$I69)-SUM($K69:O69)))</f>
        <v>0</v>
      </c>
      <c r="Q69" s="150">
        <f>IF($B69="NA","NA",IF($B69&lt;=$D$14,0,MIN(IF($B69=($D$14+1),'Stage (7) Investment'!$I69,SUM($K68:Q68)),'Stage (8) Investment:Stage (10) Investment'!$I69)-SUM($K69:P69)))</f>
        <v>0</v>
      </c>
      <c r="R69" s="150">
        <f>IF($B69="NA","NA",IF($B69&lt;=$D$15,0,MIN(IF($B69=($D$15+1),'Stage (8) Investment'!$I69,SUM($K68:R68)),'Stage (9) Investment:Stage (10) Investment'!$I69)-SUM($K69:Q69)))</f>
        <v>0</v>
      </c>
      <c r="S69" s="150">
        <f>IF($B69="NA","NA",IF($B69&lt;=$D$16,0,MIN(IF($B69=($D$16+1),'Stage (9) Investment'!$I69,SUM($K68:S68)),'Stage (10) Investment'!$I69)-SUM($K69:R69)))</f>
        <v>0</v>
      </c>
      <c r="T69" s="151">
        <f>IF($B69="NA","NA",IF($B69&lt;=$D$17,0,IF($B69=($D$17+1),'Stage (10) Investment'!$I69,SUM($K68:T68))-SUM($K69:S69)))</f>
        <v>0</v>
      </c>
    </row>
    <row r="70" spans="1:20" x14ac:dyDescent="0.2">
      <c r="A70" s="86">
        <f t="shared" si="4"/>
        <v>1431</v>
      </c>
      <c r="B70" s="142">
        <f t="shared" si="7"/>
        <v>48</v>
      </c>
      <c r="C70" s="143">
        <f t="shared" si="5"/>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50">
        <f>IF(ISNUMBER(VLOOKUP($C70,'A4 Investment'!$A$24:$G$33,7,FALSE)),VLOOKUP($C70,'A4 Investment'!$A$24:$G$33,7,FALSE)*'A4 Investment'!G$18/12,0)</f>
        <v>0</v>
      </c>
      <c r="I70" s="151">
        <f t="shared" si="6"/>
        <v>8904.1666666666661</v>
      </c>
      <c r="J70" s="149">
        <f t="shared" si="2"/>
        <v>8904.1666666666661</v>
      </c>
      <c r="K70" s="150">
        <f>IF($B70="NA","NA",IF($B70&lt;=$D$8,0,MIN(IF($B70=($D$8+1),'Stage (1) Investment'!$I70,K69),'Stage (2) Investment:Stage (10) Investment'!$I70)))</f>
        <v>8904.1666666666661</v>
      </c>
      <c r="L70" s="150">
        <f>IF($B70="NA","NA",IF($B70&lt;=$D$9,0,MIN(IF($B70=($D$9+1),'Stage (2) Investment'!$I70,SUM($K69:L69)),'Stage (3) Investment:Stage (10) Investment'!$I70)-K70))</f>
        <v>0</v>
      </c>
      <c r="M70" s="150">
        <f>IF($B70="NA","NA",IF($B70&lt;=$D$10,0,MIN(IF($B70=($D$10+1),'Stage (3) Investment'!$I70,SUM($K69:M69)),'Stage (4) Investment:Stage (10) Investment'!$I70)-SUM($K70:L70)))</f>
        <v>0</v>
      </c>
      <c r="N70" s="150">
        <f>IF($B70="NA","NA",IF($B70&lt;=$D$11,0,MIN(IF($B70=($D$11+1),'Stage (4) Investment'!$I70,SUM($K69:N69)),'Stage (5) Investment:Stage (10) Investment'!$I70)-SUM($K70:M70)))</f>
        <v>0</v>
      </c>
      <c r="O70" s="150">
        <f>IF($B70="NA","NA",IF($B70&lt;=$D$12,0,MIN(IF($B70=($D$12+1),'Stage (5) Investment'!$I70,SUM($K69:O69)),'Stage (6) Investment:Stage (10) Investment'!$I70)-SUM($K70:N70)))</f>
        <v>0</v>
      </c>
      <c r="P70" s="150">
        <f>IF($B70="NA","NA",IF($B70&lt;=$D$13,0,MIN(IF($B70=($D$13+1),'Stage (6) Investment'!$I70,SUM($K69:P69)),'Stage (7) Investment:Stage (10) Investment'!$I70)-SUM($K70:O70)))</f>
        <v>0</v>
      </c>
      <c r="Q70" s="150">
        <f>IF($B70="NA","NA",IF($B70&lt;=$D$14,0,MIN(IF($B70=($D$14+1),'Stage (7) Investment'!$I70,SUM($K69:Q69)),'Stage (8) Investment:Stage (10) Investment'!$I70)-SUM($K70:P70)))</f>
        <v>0</v>
      </c>
      <c r="R70" s="150">
        <f>IF($B70="NA","NA",IF($B70&lt;=$D$15,0,MIN(IF($B70=($D$15+1),'Stage (8) Investment'!$I70,SUM($K69:R69)),'Stage (9) Investment:Stage (10) Investment'!$I70)-SUM($K70:Q70)))</f>
        <v>0</v>
      </c>
      <c r="S70" s="150">
        <f>IF($B70="NA","NA",IF($B70&lt;=$D$16,0,MIN(IF($B70=($D$16+1),'Stage (9) Investment'!$I70,SUM($K69:S69)),'Stage (10) Investment'!$I70)-SUM($K70:R70)))</f>
        <v>0</v>
      </c>
      <c r="T70" s="151">
        <f>IF($B70="NA","NA",IF($B70&lt;=$D$17,0,IF($B70=($D$17+1),'Stage (10) Investment'!$I70,SUM($K69:T69))-SUM($K70:S70)))</f>
        <v>0</v>
      </c>
    </row>
    <row r="71" spans="1:20" x14ac:dyDescent="0.2">
      <c r="A71" s="86">
        <f t="shared" si="4"/>
        <v>1462</v>
      </c>
      <c r="B71" s="142">
        <f t="shared" si="7"/>
        <v>49</v>
      </c>
      <c r="C71" s="143">
        <f t="shared" si="5"/>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50">
        <f>IF(ISNUMBER(VLOOKUP($C71,'A4 Investment'!$A$24:$G$33,7,FALSE)),VLOOKUP($C71,'A4 Investment'!$A$24:$G$33,7,FALSE)*'A4 Investment'!G$18/12,0)</f>
        <v>0</v>
      </c>
      <c r="I71" s="151">
        <f t="shared" si="6"/>
        <v>8904.1666666666661</v>
      </c>
      <c r="J71" s="149">
        <f t="shared" si="2"/>
        <v>8904.1666666666661</v>
      </c>
      <c r="K71" s="150">
        <f>IF($B71="NA","NA",IF($B71&lt;=$D$8,0,MIN(IF($B71=($D$8+1),'Stage (1) Investment'!$I71,K70),'Stage (2) Investment:Stage (10) Investment'!$I71)))</f>
        <v>8904.1666666666661</v>
      </c>
      <c r="L71" s="150">
        <f>IF($B71="NA","NA",IF($B71&lt;=$D$9,0,MIN(IF($B71=($D$9+1),'Stage (2) Investment'!$I71,SUM($K70:L70)),'Stage (3) Investment:Stage (10) Investment'!$I71)-K71))</f>
        <v>0</v>
      </c>
      <c r="M71" s="150">
        <f>IF($B71="NA","NA",IF($B71&lt;=$D$10,0,MIN(IF($B71=($D$10+1),'Stage (3) Investment'!$I71,SUM($K70:M70)),'Stage (4) Investment:Stage (10) Investment'!$I71)-SUM($K71:L71)))</f>
        <v>0</v>
      </c>
      <c r="N71" s="150">
        <f>IF($B71="NA","NA",IF($B71&lt;=$D$11,0,MIN(IF($B71=($D$11+1),'Stage (4) Investment'!$I71,SUM($K70:N70)),'Stage (5) Investment:Stage (10) Investment'!$I71)-SUM($K71:M71)))</f>
        <v>0</v>
      </c>
      <c r="O71" s="150">
        <f>IF($B71="NA","NA",IF($B71&lt;=$D$12,0,MIN(IF($B71=($D$12+1),'Stage (5) Investment'!$I71,SUM($K70:O70)),'Stage (6) Investment:Stage (10) Investment'!$I71)-SUM($K71:N71)))</f>
        <v>0</v>
      </c>
      <c r="P71" s="150">
        <f>IF($B71="NA","NA",IF($B71&lt;=$D$13,0,MIN(IF($B71=($D$13+1),'Stage (6) Investment'!$I71,SUM($K70:P70)),'Stage (7) Investment:Stage (10) Investment'!$I71)-SUM($K71:O71)))</f>
        <v>0</v>
      </c>
      <c r="Q71" s="150">
        <f>IF($B71="NA","NA",IF($B71&lt;=$D$14,0,MIN(IF($B71=($D$14+1),'Stage (7) Investment'!$I71,SUM($K70:Q70)),'Stage (8) Investment:Stage (10) Investment'!$I71)-SUM($K71:P71)))</f>
        <v>0</v>
      </c>
      <c r="R71" s="150">
        <f>IF($B71="NA","NA",IF($B71&lt;=$D$15,0,MIN(IF($B71=($D$15+1),'Stage (8) Investment'!$I71,SUM($K70:R70)),'Stage (9) Investment:Stage (10) Investment'!$I71)-SUM($K71:Q71)))</f>
        <v>0</v>
      </c>
      <c r="S71" s="150">
        <f>IF($B71="NA","NA",IF($B71&lt;=$D$16,0,MIN(IF($B71=($D$16+1),'Stage (9) Investment'!$I71,SUM($K70:S70)),'Stage (10) Investment'!$I71)-SUM($K71:R71)))</f>
        <v>0</v>
      </c>
      <c r="T71" s="151">
        <f>IF($B71="NA","NA",IF($B71&lt;=$D$17,0,IF($B71=($D$17+1),'Stage (10) Investment'!$I71,SUM($K70:T70))-SUM($K71:S71)))</f>
        <v>0</v>
      </c>
    </row>
    <row r="72" spans="1:20" x14ac:dyDescent="0.2">
      <c r="A72" s="86">
        <f t="shared" si="4"/>
        <v>1493</v>
      </c>
      <c r="B72" s="142">
        <f t="shared" si="7"/>
        <v>50</v>
      </c>
      <c r="C72" s="143">
        <f t="shared" si="5"/>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50">
        <f>IF(ISNUMBER(VLOOKUP($C72,'A4 Investment'!$A$24:$G$33,7,FALSE)),VLOOKUP($C72,'A4 Investment'!$A$24:$G$33,7,FALSE)*'A4 Investment'!G$18/12,0)</f>
        <v>0</v>
      </c>
      <c r="I72" s="151">
        <f t="shared" si="6"/>
        <v>8904.1666666666661</v>
      </c>
      <c r="J72" s="149">
        <f t="shared" si="2"/>
        <v>8904.1666666666661</v>
      </c>
      <c r="K72" s="150">
        <f>IF($B72="NA","NA",IF($B72&lt;=$D$8,0,MIN(IF($B72=($D$8+1),'Stage (1) Investment'!$I72,K71),'Stage (2) Investment:Stage (10) Investment'!$I72)))</f>
        <v>8904.1666666666661</v>
      </c>
      <c r="L72" s="150">
        <f>IF($B72="NA","NA",IF($B72&lt;=$D$9,0,MIN(IF($B72=($D$9+1),'Stage (2) Investment'!$I72,SUM($K71:L71)),'Stage (3) Investment:Stage (10) Investment'!$I72)-K72))</f>
        <v>0</v>
      </c>
      <c r="M72" s="150">
        <f>IF($B72="NA","NA",IF($B72&lt;=$D$10,0,MIN(IF($B72=($D$10+1),'Stage (3) Investment'!$I72,SUM($K71:M71)),'Stage (4) Investment:Stage (10) Investment'!$I72)-SUM($K72:L72)))</f>
        <v>0</v>
      </c>
      <c r="N72" s="150">
        <f>IF($B72="NA","NA",IF($B72&lt;=$D$11,0,MIN(IF($B72=($D$11+1),'Stage (4) Investment'!$I72,SUM($K71:N71)),'Stage (5) Investment:Stage (10) Investment'!$I72)-SUM($K72:M72)))</f>
        <v>0</v>
      </c>
      <c r="O72" s="150">
        <f>IF($B72="NA","NA",IF($B72&lt;=$D$12,0,MIN(IF($B72=($D$12+1),'Stage (5) Investment'!$I72,SUM($K71:O71)),'Stage (6) Investment:Stage (10) Investment'!$I72)-SUM($K72:N72)))</f>
        <v>0</v>
      </c>
      <c r="P72" s="150">
        <f>IF($B72="NA","NA",IF($B72&lt;=$D$13,0,MIN(IF($B72=($D$13+1),'Stage (6) Investment'!$I72,SUM($K71:P71)),'Stage (7) Investment:Stage (10) Investment'!$I72)-SUM($K72:O72)))</f>
        <v>0</v>
      </c>
      <c r="Q72" s="150">
        <f>IF($B72="NA","NA",IF($B72&lt;=$D$14,0,MIN(IF($B72=($D$14+1),'Stage (7) Investment'!$I72,SUM($K71:Q71)),'Stage (8) Investment:Stage (10) Investment'!$I72)-SUM($K72:P72)))</f>
        <v>0</v>
      </c>
      <c r="R72" s="150">
        <f>IF($B72="NA","NA",IF($B72&lt;=$D$15,0,MIN(IF($B72=($D$15+1),'Stage (8) Investment'!$I72,SUM($K71:R71)),'Stage (9) Investment:Stage (10) Investment'!$I72)-SUM($K72:Q72)))</f>
        <v>0</v>
      </c>
      <c r="S72" s="150">
        <f>IF($B72="NA","NA",IF($B72&lt;=$D$16,0,MIN(IF($B72=($D$16+1),'Stage (9) Investment'!$I72,SUM($K71:S71)),'Stage (10) Investment'!$I72)-SUM($K72:R72)))</f>
        <v>0</v>
      </c>
      <c r="T72" s="151">
        <f>IF($B72="NA","NA",IF($B72&lt;=$D$17,0,IF($B72=($D$17+1),'Stage (10) Investment'!$I72,SUM($K71:T71))-SUM($K72:S72)))</f>
        <v>0</v>
      </c>
    </row>
    <row r="73" spans="1:20" x14ac:dyDescent="0.2">
      <c r="A73" s="86">
        <f t="shared" si="4"/>
        <v>1522</v>
      </c>
      <c r="B73" s="142">
        <f t="shared" si="7"/>
        <v>51</v>
      </c>
      <c r="C73" s="143">
        <f t="shared" si="5"/>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50">
        <f>IF(ISNUMBER(VLOOKUP($C73,'A4 Investment'!$A$24:$G$33,7,FALSE)),VLOOKUP($C73,'A4 Investment'!$A$24:$G$33,7,FALSE)*'A4 Investment'!G$18/12,0)</f>
        <v>0</v>
      </c>
      <c r="I73" s="151">
        <f t="shared" si="6"/>
        <v>8904.1666666666661</v>
      </c>
      <c r="J73" s="149">
        <f t="shared" si="2"/>
        <v>8904.1666666666661</v>
      </c>
      <c r="K73" s="150">
        <f>IF($B73="NA","NA",IF($B73&lt;=$D$8,0,MIN(IF($B73=($D$8+1),'Stage (1) Investment'!$I73,K72),'Stage (2) Investment:Stage (10) Investment'!$I73)))</f>
        <v>8904.1666666666661</v>
      </c>
      <c r="L73" s="150">
        <f>IF($B73="NA","NA",IF($B73&lt;=$D$9,0,MIN(IF($B73=($D$9+1),'Stage (2) Investment'!$I73,SUM($K72:L72)),'Stage (3) Investment:Stage (10) Investment'!$I73)-K73))</f>
        <v>0</v>
      </c>
      <c r="M73" s="150">
        <f>IF($B73="NA","NA",IF($B73&lt;=$D$10,0,MIN(IF($B73=($D$10+1),'Stage (3) Investment'!$I73,SUM($K72:M72)),'Stage (4) Investment:Stage (10) Investment'!$I73)-SUM($K73:L73)))</f>
        <v>0</v>
      </c>
      <c r="N73" s="150">
        <f>IF($B73="NA","NA",IF($B73&lt;=$D$11,0,MIN(IF($B73=($D$11+1),'Stage (4) Investment'!$I73,SUM($K72:N72)),'Stage (5) Investment:Stage (10) Investment'!$I73)-SUM($K73:M73)))</f>
        <v>0</v>
      </c>
      <c r="O73" s="150">
        <f>IF($B73="NA","NA",IF($B73&lt;=$D$12,0,MIN(IF($B73=($D$12+1),'Stage (5) Investment'!$I73,SUM($K72:O72)),'Stage (6) Investment:Stage (10) Investment'!$I73)-SUM($K73:N73)))</f>
        <v>0</v>
      </c>
      <c r="P73" s="150">
        <f>IF($B73="NA","NA",IF($B73&lt;=$D$13,0,MIN(IF($B73=($D$13+1),'Stage (6) Investment'!$I73,SUM($K72:P72)),'Stage (7) Investment:Stage (10) Investment'!$I73)-SUM($K73:O73)))</f>
        <v>0</v>
      </c>
      <c r="Q73" s="150">
        <f>IF($B73="NA","NA",IF($B73&lt;=$D$14,0,MIN(IF($B73=($D$14+1),'Stage (7) Investment'!$I73,SUM($K72:Q72)),'Stage (8) Investment:Stage (10) Investment'!$I73)-SUM($K73:P73)))</f>
        <v>0</v>
      </c>
      <c r="R73" s="150">
        <f>IF($B73="NA","NA",IF($B73&lt;=$D$15,0,MIN(IF($B73=($D$15+1),'Stage (8) Investment'!$I73,SUM($K72:R72)),'Stage (9) Investment:Stage (10) Investment'!$I73)-SUM($K73:Q73)))</f>
        <v>0</v>
      </c>
      <c r="S73" s="150">
        <f>IF($B73="NA","NA",IF($B73&lt;=$D$16,0,MIN(IF($B73=($D$16+1),'Stage (9) Investment'!$I73,SUM($K72:S72)),'Stage (10) Investment'!$I73)-SUM($K73:R73)))</f>
        <v>0</v>
      </c>
      <c r="T73" s="151">
        <f>IF($B73="NA","NA",IF($B73&lt;=$D$17,0,IF($B73=($D$17+1),'Stage (10) Investment'!$I73,SUM($K72:T72))-SUM($K73:S73)))</f>
        <v>0</v>
      </c>
    </row>
    <row r="74" spans="1:20" x14ac:dyDescent="0.2">
      <c r="A74" s="86">
        <f t="shared" si="4"/>
        <v>1553</v>
      </c>
      <c r="B74" s="142">
        <f t="shared" si="7"/>
        <v>52</v>
      </c>
      <c r="C74" s="143">
        <f t="shared" si="5"/>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50">
        <f>IF(ISNUMBER(VLOOKUP($C74,'A4 Investment'!$A$24:$G$33,7,FALSE)),VLOOKUP($C74,'A4 Investment'!$A$24:$G$33,7,FALSE)*'A4 Investment'!G$18/12,0)</f>
        <v>0</v>
      </c>
      <c r="I74" s="151">
        <f t="shared" si="6"/>
        <v>8904.1666666666661</v>
      </c>
      <c r="J74" s="149">
        <f t="shared" si="2"/>
        <v>8904.1666666666661</v>
      </c>
      <c r="K74" s="150">
        <f>IF($B74="NA","NA",IF($B74&lt;=$D$8,0,MIN(IF($B74=($D$8+1),'Stage (1) Investment'!$I74,K73),'Stage (2) Investment:Stage (10) Investment'!$I74)))</f>
        <v>8904.1666666666661</v>
      </c>
      <c r="L74" s="150">
        <f>IF($B74="NA","NA",IF($B74&lt;=$D$9,0,MIN(IF($B74=($D$9+1),'Stage (2) Investment'!$I74,SUM($K73:L73)),'Stage (3) Investment:Stage (10) Investment'!$I74)-K74))</f>
        <v>0</v>
      </c>
      <c r="M74" s="150">
        <f>IF($B74="NA","NA",IF($B74&lt;=$D$10,0,MIN(IF($B74=($D$10+1),'Stage (3) Investment'!$I74,SUM($K73:M73)),'Stage (4) Investment:Stage (10) Investment'!$I74)-SUM($K74:L74)))</f>
        <v>0</v>
      </c>
      <c r="N74" s="150">
        <f>IF($B74="NA","NA",IF($B74&lt;=$D$11,0,MIN(IF($B74=($D$11+1),'Stage (4) Investment'!$I74,SUM($K73:N73)),'Stage (5) Investment:Stage (10) Investment'!$I74)-SUM($K74:M74)))</f>
        <v>0</v>
      </c>
      <c r="O74" s="150">
        <f>IF($B74="NA","NA",IF($B74&lt;=$D$12,0,MIN(IF($B74=($D$12+1),'Stage (5) Investment'!$I74,SUM($K73:O73)),'Stage (6) Investment:Stage (10) Investment'!$I74)-SUM($K74:N74)))</f>
        <v>0</v>
      </c>
      <c r="P74" s="150">
        <f>IF($B74="NA","NA",IF($B74&lt;=$D$13,0,MIN(IF($B74=($D$13+1),'Stage (6) Investment'!$I74,SUM($K73:P73)),'Stage (7) Investment:Stage (10) Investment'!$I74)-SUM($K74:O74)))</f>
        <v>0</v>
      </c>
      <c r="Q74" s="150">
        <f>IF($B74="NA","NA",IF($B74&lt;=$D$14,0,MIN(IF($B74=($D$14+1),'Stage (7) Investment'!$I74,SUM($K73:Q73)),'Stage (8) Investment:Stage (10) Investment'!$I74)-SUM($K74:P74)))</f>
        <v>0</v>
      </c>
      <c r="R74" s="150">
        <f>IF($B74="NA","NA",IF($B74&lt;=$D$15,0,MIN(IF($B74=($D$15+1),'Stage (8) Investment'!$I74,SUM($K73:R73)),'Stage (9) Investment:Stage (10) Investment'!$I74)-SUM($K74:Q74)))</f>
        <v>0</v>
      </c>
      <c r="S74" s="150">
        <f>IF($B74="NA","NA",IF($B74&lt;=$D$16,0,MIN(IF($B74=($D$16+1),'Stage (9) Investment'!$I74,SUM($K73:S73)),'Stage (10) Investment'!$I74)-SUM($K74:R74)))</f>
        <v>0</v>
      </c>
      <c r="T74" s="151">
        <f>IF($B74="NA","NA",IF($B74&lt;=$D$17,0,IF($B74=($D$17+1),'Stage (10) Investment'!$I74,SUM($K73:T73))-SUM($K74:S74)))</f>
        <v>0</v>
      </c>
    </row>
    <row r="75" spans="1:20" x14ac:dyDescent="0.2">
      <c r="A75" s="86">
        <f t="shared" si="4"/>
        <v>1583</v>
      </c>
      <c r="B75" s="142">
        <f t="shared" si="7"/>
        <v>53</v>
      </c>
      <c r="C75" s="143">
        <f t="shared" si="5"/>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50">
        <f>IF(ISNUMBER(VLOOKUP($C75,'A4 Investment'!$A$24:$G$33,7,FALSE)),VLOOKUP($C75,'A4 Investment'!$A$24:$G$33,7,FALSE)*'A4 Investment'!G$18/12,0)</f>
        <v>0</v>
      </c>
      <c r="I75" s="151">
        <f t="shared" si="6"/>
        <v>8904.1666666666661</v>
      </c>
      <c r="J75" s="149">
        <f t="shared" si="2"/>
        <v>8904.1666666666661</v>
      </c>
      <c r="K75" s="150">
        <f>IF($B75="NA","NA",IF($B75&lt;=$D$8,0,MIN(IF($B75=($D$8+1),'Stage (1) Investment'!$I75,K74),'Stage (2) Investment:Stage (10) Investment'!$I75)))</f>
        <v>8904.1666666666661</v>
      </c>
      <c r="L75" s="150">
        <f>IF($B75="NA","NA",IF($B75&lt;=$D$9,0,MIN(IF($B75=($D$9+1),'Stage (2) Investment'!$I75,SUM($K74:L74)),'Stage (3) Investment:Stage (10) Investment'!$I75)-K75))</f>
        <v>0</v>
      </c>
      <c r="M75" s="150">
        <f>IF($B75="NA","NA",IF($B75&lt;=$D$10,0,MIN(IF($B75=($D$10+1),'Stage (3) Investment'!$I75,SUM($K74:M74)),'Stage (4) Investment:Stage (10) Investment'!$I75)-SUM($K75:L75)))</f>
        <v>0</v>
      </c>
      <c r="N75" s="150">
        <f>IF($B75="NA","NA",IF($B75&lt;=$D$11,0,MIN(IF($B75=($D$11+1),'Stage (4) Investment'!$I75,SUM($K74:N74)),'Stage (5) Investment:Stage (10) Investment'!$I75)-SUM($K75:M75)))</f>
        <v>0</v>
      </c>
      <c r="O75" s="150">
        <f>IF($B75="NA","NA",IF($B75&lt;=$D$12,0,MIN(IF($B75=($D$12+1),'Stage (5) Investment'!$I75,SUM($K74:O74)),'Stage (6) Investment:Stage (10) Investment'!$I75)-SUM($K75:N75)))</f>
        <v>0</v>
      </c>
      <c r="P75" s="150">
        <f>IF($B75="NA","NA",IF($B75&lt;=$D$13,0,MIN(IF($B75=($D$13+1),'Stage (6) Investment'!$I75,SUM($K74:P74)),'Stage (7) Investment:Stage (10) Investment'!$I75)-SUM($K75:O75)))</f>
        <v>0</v>
      </c>
      <c r="Q75" s="150">
        <f>IF($B75="NA","NA",IF($B75&lt;=$D$14,0,MIN(IF($B75=($D$14+1),'Stage (7) Investment'!$I75,SUM($K74:Q74)),'Stage (8) Investment:Stage (10) Investment'!$I75)-SUM($K75:P75)))</f>
        <v>0</v>
      </c>
      <c r="R75" s="150">
        <f>IF($B75="NA","NA",IF($B75&lt;=$D$15,0,MIN(IF($B75=($D$15+1),'Stage (8) Investment'!$I75,SUM($K74:R74)),'Stage (9) Investment:Stage (10) Investment'!$I75)-SUM($K75:Q75)))</f>
        <v>0</v>
      </c>
      <c r="S75" s="150">
        <f>IF($B75="NA","NA",IF($B75&lt;=$D$16,0,MIN(IF($B75=($D$16+1),'Stage (9) Investment'!$I75,SUM($K74:S74)),'Stage (10) Investment'!$I75)-SUM($K75:R75)))</f>
        <v>0</v>
      </c>
      <c r="T75" s="151">
        <f>IF($B75="NA","NA",IF($B75&lt;=$D$17,0,IF($B75=($D$17+1),'Stage (10) Investment'!$I75,SUM($K74:T74))-SUM($K75:S75)))</f>
        <v>0</v>
      </c>
    </row>
    <row r="76" spans="1:20" x14ac:dyDescent="0.2">
      <c r="A76" s="86">
        <f t="shared" si="4"/>
        <v>1614</v>
      </c>
      <c r="B76" s="142">
        <f t="shared" si="7"/>
        <v>54</v>
      </c>
      <c r="C76" s="143">
        <f t="shared" si="5"/>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50">
        <f>IF(ISNUMBER(VLOOKUP($C76,'A4 Investment'!$A$24:$G$33,7,FALSE)),VLOOKUP($C76,'A4 Investment'!$A$24:$G$33,7,FALSE)*'A4 Investment'!G$18/12,0)</f>
        <v>0</v>
      </c>
      <c r="I76" s="151">
        <f t="shared" si="6"/>
        <v>8904.1666666666661</v>
      </c>
      <c r="J76" s="149">
        <f t="shared" si="2"/>
        <v>8904.1666666666661</v>
      </c>
      <c r="K76" s="150">
        <f>IF($B76="NA","NA",IF($B76&lt;=$D$8,0,MIN(IF($B76=($D$8+1),'Stage (1) Investment'!$I76,K75),'Stage (2) Investment:Stage (10) Investment'!$I76)))</f>
        <v>8904.1666666666661</v>
      </c>
      <c r="L76" s="150">
        <f>IF($B76="NA","NA",IF($B76&lt;=$D$9,0,MIN(IF($B76=($D$9+1),'Stage (2) Investment'!$I76,SUM($K75:L75)),'Stage (3) Investment:Stage (10) Investment'!$I76)-K76))</f>
        <v>0</v>
      </c>
      <c r="M76" s="150">
        <f>IF($B76="NA","NA",IF($B76&lt;=$D$10,0,MIN(IF($B76=($D$10+1),'Stage (3) Investment'!$I76,SUM($K75:M75)),'Stage (4) Investment:Stage (10) Investment'!$I76)-SUM($K76:L76)))</f>
        <v>0</v>
      </c>
      <c r="N76" s="150">
        <f>IF($B76="NA","NA",IF($B76&lt;=$D$11,0,MIN(IF($B76=($D$11+1),'Stage (4) Investment'!$I76,SUM($K75:N75)),'Stage (5) Investment:Stage (10) Investment'!$I76)-SUM($K76:M76)))</f>
        <v>0</v>
      </c>
      <c r="O76" s="150">
        <f>IF($B76="NA","NA",IF($B76&lt;=$D$12,0,MIN(IF($B76=($D$12+1),'Stage (5) Investment'!$I76,SUM($K75:O75)),'Stage (6) Investment:Stage (10) Investment'!$I76)-SUM($K76:N76)))</f>
        <v>0</v>
      </c>
      <c r="P76" s="150">
        <f>IF($B76="NA","NA",IF($B76&lt;=$D$13,0,MIN(IF($B76=($D$13+1),'Stage (6) Investment'!$I76,SUM($K75:P75)),'Stage (7) Investment:Stage (10) Investment'!$I76)-SUM($K76:O76)))</f>
        <v>0</v>
      </c>
      <c r="Q76" s="150">
        <f>IF($B76="NA","NA",IF($B76&lt;=$D$14,0,MIN(IF($B76=($D$14+1),'Stage (7) Investment'!$I76,SUM($K75:Q75)),'Stage (8) Investment:Stage (10) Investment'!$I76)-SUM($K76:P76)))</f>
        <v>0</v>
      </c>
      <c r="R76" s="150">
        <f>IF($B76="NA","NA",IF($B76&lt;=$D$15,0,MIN(IF($B76=($D$15+1),'Stage (8) Investment'!$I76,SUM($K75:R75)),'Stage (9) Investment:Stage (10) Investment'!$I76)-SUM($K76:Q76)))</f>
        <v>0</v>
      </c>
      <c r="S76" s="150">
        <f>IF($B76="NA","NA",IF($B76&lt;=$D$16,0,MIN(IF($B76=($D$16+1),'Stage (9) Investment'!$I76,SUM($K75:S75)),'Stage (10) Investment'!$I76)-SUM($K76:R76)))</f>
        <v>0</v>
      </c>
      <c r="T76" s="151">
        <f>IF($B76="NA","NA",IF($B76&lt;=$D$17,0,IF($B76=($D$17+1),'Stage (10) Investment'!$I76,SUM($K75:T75))-SUM($K76:S76)))</f>
        <v>0</v>
      </c>
    </row>
    <row r="77" spans="1:20" x14ac:dyDescent="0.2">
      <c r="A77" s="86">
        <f t="shared" si="4"/>
        <v>1644</v>
      </c>
      <c r="B77" s="142">
        <f t="shared" si="7"/>
        <v>55</v>
      </c>
      <c r="C77" s="143">
        <f t="shared" si="5"/>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50">
        <f>IF(ISNUMBER(VLOOKUP($C77,'A4 Investment'!$A$24:$G$33,7,FALSE)),VLOOKUP($C77,'A4 Investment'!$A$24:$G$33,7,FALSE)*'A4 Investment'!G$18/12,0)</f>
        <v>0</v>
      </c>
      <c r="I77" s="151">
        <f t="shared" si="6"/>
        <v>8904.1666666666661</v>
      </c>
      <c r="J77" s="149">
        <f t="shared" si="2"/>
        <v>8904.1666666666661</v>
      </c>
      <c r="K77" s="150">
        <f>IF($B77="NA","NA",IF($B77&lt;=$D$8,0,MIN(IF($B77=($D$8+1),'Stage (1) Investment'!$I77,K76),'Stage (2) Investment:Stage (10) Investment'!$I77)))</f>
        <v>8904.1666666666661</v>
      </c>
      <c r="L77" s="150">
        <f>IF($B77="NA","NA",IF($B77&lt;=$D$9,0,MIN(IF($B77=($D$9+1),'Stage (2) Investment'!$I77,SUM($K76:L76)),'Stage (3) Investment:Stage (10) Investment'!$I77)-K77))</f>
        <v>0</v>
      </c>
      <c r="M77" s="150">
        <f>IF($B77="NA","NA",IF($B77&lt;=$D$10,0,MIN(IF($B77=($D$10+1),'Stage (3) Investment'!$I77,SUM($K76:M76)),'Stage (4) Investment:Stage (10) Investment'!$I77)-SUM($K77:L77)))</f>
        <v>0</v>
      </c>
      <c r="N77" s="150">
        <f>IF($B77="NA","NA",IF($B77&lt;=$D$11,0,MIN(IF($B77=($D$11+1),'Stage (4) Investment'!$I77,SUM($K76:N76)),'Stage (5) Investment:Stage (10) Investment'!$I77)-SUM($K77:M77)))</f>
        <v>0</v>
      </c>
      <c r="O77" s="150">
        <f>IF($B77="NA","NA",IF($B77&lt;=$D$12,0,MIN(IF($B77=($D$12+1),'Stage (5) Investment'!$I77,SUM($K76:O76)),'Stage (6) Investment:Stage (10) Investment'!$I77)-SUM($K77:N77)))</f>
        <v>0</v>
      </c>
      <c r="P77" s="150">
        <f>IF($B77="NA","NA",IF($B77&lt;=$D$13,0,MIN(IF($B77=($D$13+1),'Stage (6) Investment'!$I77,SUM($K76:P76)),'Stage (7) Investment:Stage (10) Investment'!$I77)-SUM($K77:O77)))</f>
        <v>0</v>
      </c>
      <c r="Q77" s="150">
        <f>IF($B77="NA","NA",IF($B77&lt;=$D$14,0,MIN(IF($B77=($D$14+1),'Stage (7) Investment'!$I77,SUM($K76:Q76)),'Stage (8) Investment:Stage (10) Investment'!$I77)-SUM($K77:P77)))</f>
        <v>0</v>
      </c>
      <c r="R77" s="150">
        <f>IF($B77="NA","NA",IF($B77&lt;=$D$15,0,MIN(IF($B77=($D$15+1),'Stage (8) Investment'!$I77,SUM($K76:R76)),'Stage (9) Investment:Stage (10) Investment'!$I77)-SUM($K77:Q77)))</f>
        <v>0</v>
      </c>
      <c r="S77" s="150">
        <f>IF($B77="NA","NA",IF($B77&lt;=$D$16,0,MIN(IF($B77=($D$16+1),'Stage (9) Investment'!$I77,SUM($K76:S76)),'Stage (10) Investment'!$I77)-SUM($K77:R77)))</f>
        <v>0</v>
      </c>
      <c r="T77" s="151">
        <f>IF($B77="NA","NA",IF($B77&lt;=$D$17,0,IF($B77=($D$17+1),'Stage (10) Investment'!$I77,SUM($K76:T76))-SUM($K77:S77)))</f>
        <v>0</v>
      </c>
    </row>
    <row r="78" spans="1:20" x14ac:dyDescent="0.2">
      <c r="A78" s="86">
        <f t="shared" si="4"/>
        <v>1675</v>
      </c>
      <c r="B78" s="142">
        <f t="shared" si="7"/>
        <v>56</v>
      </c>
      <c r="C78" s="143">
        <f t="shared" si="5"/>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50">
        <f>IF(ISNUMBER(VLOOKUP($C78,'A4 Investment'!$A$24:$G$33,7,FALSE)),VLOOKUP($C78,'A4 Investment'!$A$24:$G$33,7,FALSE)*'A4 Investment'!G$18/12,0)</f>
        <v>0</v>
      </c>
      <c r="I78" s="151">
        <f t="shared" si="6"/>
        <v>8904.1666666666661</v>
      </c>
      <c r="J78" s="149">
        <f t="shared" si="2"/>
        <v>8904.1666666666661</v>
      </c>
      <c r="K78" s="150">
        <f>IF($B78="NA","NA",IF($B78&lt;=$D$8,0,MIN(IF($B78=($D$8+1),'Stage (1) Investment'!$I78,K77),'Stage (2) Investment:Stage (10) Investment'!$I78)))</f>
        <v>8904.1666666666661</v>
      </c>
      <c r="L78" s="150">
        <f>IF($B78="NA","NA",IF($B78&lt;=$D$9,0,MIN(IF($B78=($D$9+1),'Stage (2) Investment'!$I78,SUM($K77:L77)),'Stage (3) Investment:Stage (10) Investment'!$I78)-K78))</f>
        <v>0</v>
      </c>
      <c r="M78" s="150">
        <f>IF($B78="NA","NA",IF($B78&lt;=$D$10,0,MIN(IF($B78=($D$10+1),'Stage (3) Investment'!$I78,SUM($K77:M77)),'Stage (4) Investment:Stage (10) Investment'!$I78)-SUM($K78:L78)))</f>
        <v>0</v>
      </c>
      <c r="N78" s="150">
        <f>IF($B78="NA","NA",IF($B78&lt;=$D$11,0,MIN(IF($B78=($D$11+1),'Stage (4) Investment'!$I78,SUM($K77:N77)),'Stage (5) Investment:Stage (10) Investment'!$I78)-SUM($K78:M78)))</f>
        <v>0</v>
      </c>
      <c r="O78" s="150">
        <f>IF($B78="NA","NA",IF($B78&lt;=$D$12,0,MIN(IF($B78=($D$12+1),'Stage (5) Investment'!$I78,SUM($K77:O77)),'Stage (6) Investment:Stage (10) Investment'!$I78)-SUM($K78:N78)))</f>
        <v>0</v>
      </c>
      <c r="P78" s="150">
        <f>IF($B78="NA","NA",IF($B78&lt;=$D$13,0,MIN(IF($B78=($D$13+1),'Stage (6) Investment'!$I78,SUM($K77:P77)),'Stage (7) Investment:Stage (10) Investment'!$I78)-SUM($K78:O78)))</f>
        <v>0</v>
      </c>
      <c r="Q78" s="150">
        <f>IF($B78="NA","NA",IF($B78&lt;=$D$14,0,MIN(IF($B78=($D$14+1),'Stage (7) Investment'!$I78,SUM($K77:Q77)),'Stage (8) Investment:Stage (10) Investment'!$I78)-SUM($K78:P78)))</f>
        <v>0</v>
      </c>
      <c r="R78" s="150">
        <f>IF($B78="NA","NA",IF($B78&lt;=$D$15,0,MIN(IF($B78=($D$15+1),'Stage (8) Investment'!$I78,SUM($K77:R77)),'Stage (9) Investment:Stage (10) Investment'!$I78)-SUM($K78:Q78)))</f>
        <v>0</v>
      </c>
      <c r="S78" s="150">
        <f>IF($B78="NA","NA",IF($B78&lt;=$D$16,0,MIN(IF($B78=($D$16+1),'Stage (9) Investment'!$I78,SUM($K77:S77)),'Stage (10) Investment'!$I78)-SUM($K78:R78)))</f>
        <v>0</v>
      </c>
      <c r="T78" s="151">
        <f>IF($B78="NA","NA",IF($B78&lt;=$D$17,0,IF($B78=($D$17+1),'Stage (10) Investment'!$I78,SUM($K77:T77))-SUM($K78:S78)))</f>
        <v>0</v>
      </c>
    </row>
    <row r="79" spans="1:20" x14ac:dyDescent="0.2">
      <c r="A79" s="86">
        <f t="shared" si="4"/>
        <v>1706</v>
      </c>
      <c r="B79" s="142">
        <f t="shared" si="7"/>
        <v>57</v>
      </c>
      <c r="C79" s="143">
        <f t="shared" si="5"/>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50">
        <f>IF(ISNUMBER(VLOOKUP($C79,'A4 Investment'!$A$24:$G$33,7,FALSE)),VLOOKUP($C79,'A4 Investment'!$A$24:$G$33,7,FALSE)*'A4 Investment'!G$18/12,0)</f>
        <v>0</v>
      </c>
      <c r="I79" s="151">
        <f t="shared" si="6"/>
        <v>8904.1666666666661</v>
      </c>
      <c r="J79" s="149">
        <f t="shared" si="2"/>
        <v>8904.1666666666661</v>
      </c>
      <c r="K79" s="150">
        <f>IF($B79="NA","NA",IF($B79&lt;=$D$8,0,MIN(IF($B79=($D$8+1),'Stage (1) Investment'!$I79,K78),'Stage (2) Investment:Stage (10) Investment'!$I79)))</f>
        <v>8904.1666666666661</v>
      </c>
      <c r="L79" s="150">
        <f>IF($B79="NA","NA",IF($B79&lt;=$D$9,0,MIN(IF($B79=($D$9+1),'Stage (2) Investment'!$I79,SUM($K78:L78)),'Stage (3) Investment:Stage (10) Investment'!$I79)-K79))</f>
        <v>0</v>
      </c>
      <c r="M79" s="150">
        <f>IF($B79="NA","NA",IF($B79&lt;=$D$10,0,MIN(IF($B79=($D$10+1),'Stage (3) Investment'!$I79,SUM($K78:M78)),'Stage (4) Investment:Stage (10) Investment'!$I79)-SUM($K79:L79)))</f>
        <v>0</v>
      </c>
      <c r="N79" s="150">
        <f>IF($B79="NA","NA",IF($B79&lt;=$D$11,0,MIN(IF($B79=($D$11+1),'Stage (4) Investment'!$I79,SUM($K78:N78)),'Stage (5) Investment:Stage (10) Investment'!$I79)-SUM($K79:M79)))</f>
        <v>0</v>
      </c>
      <c r="O79" s="150">
        <f>IF($B79="NA","NA",IF($B79&lt;=$D$12,0,MIN(IF($B79=($D$12+1),'Stage (5) Investment'!$I79,SUM($K78:O78)),'Stage (6) Investment:Stage (10) Investment'!$I79)-SUM($K79:N79)))</f>
        <v>0</v>
      </c>
      <c r="P79" s="150">
        <f>IF($B79="NA","NA",IF($B79&lt;=$D$13,0,MIN(IF($B79=($D$13+1),'Stage (6) Investment'!$I79,SUM($K78:P78)),'Stage (7) Investment:Stage (10) Investment'!$I79)-SUM($K79:O79)))</f>
        <v>0</v>
      </c>
      <c r="Q79" s="150">
        <f>IF($B79="NA","NA",IF($B79&lt;=$D$14,0,MIN(IF($B79=($D$14+1),'Stage (7) Investment'!$I79,SUM($K78:Q78)),'Stage (8) Investment:Stage (10) Investment'!$I79)-SUM($K79:P79)))</f>
        <v>0</v>
      </c>
      <c r="R79" s="150">
        <f>IF($B79="NA","NA",IF($B79&lt;=$D$15,0,MIN(IF($B79=($D$15+1),'Stage (8) Investment'!$I79,SUM($K78:R78)),'Stage (9) Investment:Stage (10) Investment'!$I79)-SUM($K79:Q79)))</f>
        <v>0</v>
      </c>
      <c r="S79" s="150">
        <f>IF($B79="NA","NA",IF($B79&lt;=$D$16,0,MIN(IF($B79=($D$16+1),'Stage (9) Investment'!$I79,SUM($K78:S78)),'Stage (10) Investment'!$I79)-SUM($K79:R79)))</f>
        <v>0</v>
      </c>
      <c r="T79" s="151">
        <f>IF($B79="NA","NA",IF($B79&lt;=$D$17,0,IF($B79=($D$17+1),'Stage (10) Investment'!$I79,SUM($K78:T78))-SUM($K79:S79)))</f>
        <v>0</v>
      </c>
    </row>
    <row r="80" spans="1:20" x14ac:dyDescent="0.2">
      <c r="A80" s="86">
        <f t="shared" si="4"/>
        <v>1736</v>
      </c>
      <c r="B80" s="142">
        <f t="shared" si="7"/>
        <v>58</v>
      </c>
      <c r="C80" s="143">
        <f t="shared" si="5"/>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50">
        <f>IF(ISNUMBER(VLOOKUP($C80,'A4 Investment'!$A$24:$G$33,7,FALSE)),VLOOKUP($C80,'A4 Investment'!$A$24:$G$33,7,FALSE)*'A4 Investment'!G$18/12,0)</f>
        <v>0</v>
      </c>
      <c r="I80" s="151">
        <f t="shared" si="6"/>
        <v>8904.1666666666661</v>
      </c>
      <c r="J80" s="149">
        <f t="shared" si="2"/>
        <v>8904.1666666666661</v>
      </c>
      <c r="K80" s="150">
        <f>IF($B80="NA","NA",IF($B80&lt;=$D$8,0,MIN(IF($B80=($D$8+1),'Stage (1) Investment'!$I80,K79),'Stage (2) Investment:Stage (10) Investment'!$I80)))</f>
        <v>8904.1666666666661</v>
      </c>
      <c r="L80" s="150">
        <f>IF($B80="NA","NA",IF($B80&lt;=$D$9,0,MIN(IF($B80=($D$9+1),'Stage (2) Investment'!$I80,SUM($K79:L79)),'Stage (3) Investment:Stage (10) Investment'!$I80)-K80))</f>
        <v>0</v>
      </c>
      <c r="M80" s="150">
        <f>IF($B80="NA","NA",IF($B80&lt;=$D$10,0,MIN(IF($B80=($D$10+1),'Stage (3) Investment'!$I80,SUM($K79:M79)),'Stage (4) Investment:Stage (10) Investment'!$I80)-SUM($K80:L80)))</f>
        <v>0</v>
      </c>
      <c r="N80" s="150">
        <f>IF($B80="NA","NA",IF($B80&lt;=$D$11,0,MIN(IF($B80=($D$11+1),'Stage (4) Investment'!$I80,SUM($K79:N79)),'Stage (5) Investment:Stage (10) Investment'!$I80)-SUM($K80:M80)))</f>
        <v>0</v>
      </c>
      <c r="O80" s="150">
        <f>IF($B80="NA","NA",IF($B80&lt;=$D$12,0,MIN(IF($B80=($D$12+1),'Stage (5) Investment'!$I80,SUM($K79:O79)),'Stage (6) Investment:Stage (10) Investment'!$I80)-SUM($K80:N80)))</f>
        <v>0</v>
      </c>
      <c r="P80" s="150">
        <f>IF($B80="NA","NA",IF($B80&lt;=$D$13,0,MIN(IF($B80=($D$13+1),'Stage (6) Investment'!$I80,SUM($K79:P79)),'Stage (7) Investment:Stage (10) Investment'!$I80)-SUM($K80:O80)))</f>
        <v>0</v>
      </c>
      <c r="Q80" s="150">
        <f>IF($B80="NA","NA",IF($B80&lt;=$D$14,0,MIN(IF($B80=($D$14+1),'Stage (7) Investment'!$I80,SUM($K79:Q79)),'Stage (8) Investment:Stage (10) Investment'!$I80)-SUM($K80:P80)))</f>
        <v>0</v>
      </c>
      <c r="R80" s="150">
        <f>IF($B80="NA","NA",IF($B80&lt;=$D$15,0,MIN(IF($B80=($D$15+1),'Stage (8) Investment'!$I80,SUM($K79:R79)),'Stage (9) Investment:Stage (10) Investment'!$I80)-SUM($K80:Q80)))</f>
        <v>0</v>
      </c>
      <c r="S80" s="150">
        <f>IF($B80="NA","NA",IF($B80&lt;=$D$16,0,MIN(IF($B80=($D$16+1),'Stage (9) Investment'!$I80,SUM($K79:S79)),'Stage (10) Investment'!$I80)-SUM($K80:R80)))</f>
        <v>0</v>
      </c>
      <c r="T80" s="151">
        <f>IF($B80="NA","NA",IF($B80&lt;=$D$17,0,IF($B80=($D$17+1),'Stage (10) Investment'!$I80,SUM($K79:T79))-SUM($K80:S80)))</f>
        <v>0</v>
      </c>
    </row>
    <row r="81" spans="1:20" x14ac:dyDescent="0.2">
      <c r="A81" s="86">
        <f t="shared" si="4"/>
        <v>1767</v>
      </c>
      <c r="B81" s="142">
        <f t="shared" si="7"/>
        <v>59</v>
      </c>
      <c r="C81" s="143">
        <f t="shared" si="5"/>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50">
        <f>IF(ISNUMBER(VLOOKUP($C81,'A4 Investment'!$A$24:$G$33,7,FALSE)),VLOOKUP($C81,'A4 Investment'!$A$24:$G$33,7,FALSE)*'A4 Investment'!G$18/12,0)</f>
        <v>0</v>
      </c>
      <c r="I81" s="151">
        <f t="shared" si="6"/>
        <v>8904.1666666666661</v>
      </c>
      <c r="J81" s="149">
        <f t="shared" si="2"/>
        <v>8904.1666666666661</v>
      </c>
      <c r="K81" s="150">
        <f>IF($B81="NA","NA",IF($B81&lt;=$D$8,0,MIN(IF($B81=($D$8+1),'Stage (1) Investment'!$I81,K80),'Stage (2) Investment:Stage (10) Investment'!$I81)))</f>
        <v>8904.1666666666661</v>
      </c>
      <c r="L81" s="150">
        <f>IF($B81="NA","NA",IF($B81&lt;=$D$9,0,MIN(IF($B81=($D$9+1),'Stage (2) Investment'!$I81,SUM($K80:L80)),'Stage (3) Investment:Stage (10) Investment'!$I81)-K81))</f>
        <v>0</v>
      </c>
      <c r="M81" s="150">
        <f>IF($B81="NA","NA",IF($B81&lt;=$D$10,0,MIN(IF($B81=($D$10+1),'Stage (3) Investment'!$I81,SUM($K80:M80)),'Stage (4) Investment:Stage (10) Investment'!$I81)-SUM($K81:L81)))</f>
        <v>0</v>
      </c>
      <c r="N81" s="150">
        <f>IF($B81="NA","NA",IF($B81&lt;=$D$11,0,MIN(IF($B81=($D$11+1),'Stage (4) Investment'!$I81,SUM($K80:N80)),'Stage (5) Investment:Stage (10) Investment'!$I81)-SUM($K81:M81)))</f>
        <v>0</v>
      </c>
      <c r="O81" s="150">
        <f>IF($B81="NA","NA",IF($B81&lt;=$D$12,0,MIN(IF($B81=($D$12+1),'Stage (5) Investment'!$I81,SUM($K80:O80)),'Stage (6) Investment:Stage (10) Investment'!$I81)-SUM($K81:N81)))</f>
        <v>0</v>
      </c>
      <c r="P81" s="150">
        <f>IF($B81="NA","NA",IF($B81&lt;=$D$13,0,MIN(IF($B81=($D$13+1),'Stage (6) Investment'!$I81,SUM($K80:P80)),'Stage (7) Investment:Stage (10) Investment'!$I81)-SUM($K81:O81)))</f>
        <v>0</v>
      </c>
      <c r="Q81" s="150">
        <f>IF($B81="NA","NA",IF($B81&lt;=$D$14,0,MIN(IF($B81=($D$14+1),'Stage (7) Investment'!$I81,SUM($K80:Q80)),'Stage (8) Investment:Stage (10) Investment'!$I81)-SUM($K81:P81)))</f>
        <v>0</v>
      </c>
      <c r="R81" s="150">
        <f>IF($B81="NA","NA",IF($B81&lt;=$D$15,0,MIN(IF($B81=($D$15+1),'Stage (8) Investment'!$I81,SUM($K80:R80)),'Stage (9) Investment:Stage (10) Investment'!$I81)-SUM($K81:Q81)))</f>
        <v>0</v>
      </c>
      <c r="S81" s="150">
        <f>IF($B81="NA","NA",IF($B81&lt;=$D$16,0,MIN(IF($B81=($D$16+1),'Stage (9) Investment'!$I81,SUM($K80:S80)),'Stage (10) Investment'!$I81)-SUM($K81:R81)))</f>
        <v>0</v>
      </c>
      <c r="T81" s="151">
        <f>IF($B81="NA","NA",IF($B81&lt;=$D$17,0,IF($B81=($D$17+1),'Stage (10) Investment'!$I81,SUM($K80:T80))-SUM($K81:S81)))</f>
        <v>0</v>
      </c>
    </row>
    <row r="82" spans="1:20" x14ac:dyDescent="0.2">
      <c r="A82" s="86">
        <f t="shared" si="4"/>
        <v>1797</v>
      </c>
      <c r="B82" s="142">
        <f t="shared" si="7"/>
        <v>60</v>
      </c>
      <c r="C82" s="143">
        <f t="shared" si="5"/>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50">
        <f>IF(ISNUMBER(VLOOKUP($C82,'A4 Investment'!$A$24:$G$33,7,FALSE)),VLOOKUP($C82,'A4 Investment'!$A$24:$G$33,7,FALSE)*'A4 Investment'!G$18/12,0)</f>
        <v>0</v>
      </c>
      <c r="I82" s="151">
        <f t="shared" si="6"/>
        <v>8904.1666666666661</v>
      </c>
      <c r="J82" s="149">
        <f t="shared" si="2"/>
        <v>8904.1666666666661</v>
      </c>
      <c r="K82" s="150">
        <f>IF($B82="NA","NA",IF($B82&lt;=$D$8,0,MIN(IF($B82=($D$8+1),'Stage (1) Investment'!$I82,K81),'Stage (2) Investment:Stage (10) Investment'!$I82)))</f>
        <v>8904.1666666666661</v>
      </c>
      <c r="L82" s="150">
        <f>IF($B82="NA","NA",IF($B82&lt;=$D$9,0,MIN(IF($B82=($D$9+1),'Stage (2) Investment'!$I82,SUM($K81:L81)),'Stage (3) Investment:Stage (10) Investment'!$I82)-K82))</f>
        <v>0</v>
      </c>
      <c r="M82" s="150">
        <f>IF($B82="NA","NA",IF($B82&lt;=$D$10,0,MIN(IF($B82=($D$10+1),'Stage (3) Investment'!$I82,SUM($K81:M81)),'Stage (4) Investment:Stage (10) Investment'!$I82)-SUM($K82:L82)))</f>
        <v>0</v>
      </c>
      <c r="N82" s="150">
        <f>IF($B82="NA","NA",IF($B82&lt;=$D$11,0,MIN(IF($B82=($D$11+1),'Stage (4) Investment'!$I82,SUM($K81:N81)),'Stage (5) Investment:Stage (10) Investment'!$I82)-SUM($K82:M82)))</f>
        <v>0</v>
      </c>
      <c r="O82" s="150">
        <f>IF($B82="NA","NA",IF($B82&lt;=$D$12,0,MIN(IF($B82=($D$12+1),'Stage (5) Investment'!$I82,SUM($K81:O81)),'Stage (6) Investment:Stage (10) Investment'!$I82)-SUM($K82:N82)))</f>
        <v>0</v>
      </c>
      <c r="P82" s="150">
        <f>IF($B82="NA","NA",IF($B82&lt;=$D$13,0,MIN(IF($B82=($D$13+1),'Stage (6) Investment'!$I82,SUM($K81:P81)),'Stage (7) Investment:Stage (10) Investment'!$I82)-SUM($K82:O82)))</f>
        <v>0</v>
      </c>
      <c r="Q82" s="150">
        <f>IF($B82="NA","NA",IF($B82&lt;=$D$14,0,MIN(IF($B82=($D$14+1),'Stage (7) Investment'!$I82,SUM($K81:Q81)),'Stage (8) Investment:Stage (10) Investment'!$I82)-SUM($K82:P82)))</f>
        <v>0</v>
      </c>
      <c r="R82" s="150">
        <f>IF($B82="NA","NA",IF($B82&lt;=$D$15,0,MIN(IF($B82=($D$15+1),'Stage (8) Investment'!$I82,SUM($K81:R81)),'Stage (9) Investment:Stage (10) Investment'!$I82)-SUM($K82:Q82)))</f>
        <v>0</v>
      </c>
      <c r="S82" s="150">
        <f>IF($B82="NA","NA",IF($B82&lt;=$D$16,0,MIN(IF($B82=($D$16+1),'Stage (9) Investment'!$I82,SUM($K81:S81)),'Stage (10) Investment'!$I82)-SUM($K82:R82)))</f>
        <v>0</v>
      </c>
      <c r="T82" s="151">
        <f>IF($B82="NA","NA",IF($B82&lt;=$D$17,0,IF($B82=($D$17+1),'Stage (10) Investment'!$I82,SUM($K81:T81))-SUM($K82:S82)))</f>
        <v>0</v>
      </c>
    </row>
    <row r="83" spans="1:20" s="212" customFormat="1" x14ac:dyDescent="0.2">
      <c r="A83" s="207">
        <f>IF(B83="NA","NA",DATE(YEAR(A82),MONTH(A82)+1,1))</f>
        <v>1828</v>
      </c>
      <c r="B83" s="213">
        <f>IF(B82="NA","NA",IF((B82+1)&gt;MAX($D$9:$D$18),"NA",B82+1))</f>
        <v>61</v>
      </c>
      <c r="C83" s="208">
        <f t="shared" ref="C83:C114" si="8">IF(B83="NA","NA",MATCH(B83-1,$D$8:$D$18,1))</f>
        <v>1</v>
      </c>
      <c r="D83" s="209">
        <f>IF(B83="NA","NA",IF(ISNUMBER(VLOOKUP($C83,'A4 Investment'!$A$24:$G$33,3,FALSE)),VLOOKUP($C83,'A4 Investment'!$A$24:$G$33,3,FALSE)*'A4 Investment'!C$18/12,0))</f>
        <v>8904.1666666666661</v>
      </c>
      <c r="E83" s="210">
        <f>IF(B83="NA","NA",IF(ISNUMBER(VLOOKUP($C83,'A4 Investment'!$A$24:$G$33,4,FALSE)),VLOOKUP($C83,'A4 Investment'!$A$24:$G$33,4,FALSE)*'A4 Investment'!D$18/12,0))</f>
        <v>0</v>
      </c>
      <c r="F83" s="210">
        <f>IF(B83="NA","NA",IF(ISNUMBER(VLOOKUP($C83,'A4 Investment'!$A$24:$G$33,5,FALSE)),VLOOKUP($C83,'A4 Investment'!$A$24:$G$33,5,FALSE)*'A4 Investment'!E$18/12,0))</f>
        <v>0</v>
      </c>
      <c r="G83" s="210">
        <f>IF(B83="NA","NA",IF(ISNUMBER(VLOOKUP($C83,'A4 Investment'!$A$24:$G$33,6,FALSE)),VLOOKUP($C83,'A4 Investment'!$A$24:$G$33,6,FALSE)*'A4 Investment'!F$18/12,0))</f>
        <v>0</v>
      </c>
      <c r="H83" s="210">
        <f>IF(B83="NA","NA",IF(ISNUMBER(VLOOKUP($C83,'A4 Investment'!$A$24:$G$33,7,FALSE)),VLOOKUP($C83,'A4 Investment'!$A$24:$G$33,7,FALSE)*'A4 Investment'!G$18/12,0))</f>
        <v>0</v>
      </c>
      <c r="I83" s="211">
        <f t="shared" ref="I83:I114" si="9">IF(B83="NA","NA",SUM(D83:H83))</f>
        <v>8904.1666666666661</v>
      </c>
      <c r="J83" s="209">
        <f t="shared" si="2"/>
        <v>8904.1666666666661</v>
      </c>
      <c r="K83" s="210">
        <f>IF($B83="NA","NA",IF($B83&lt;=$D$8,0,MIN(IF($B83=($D$8+1),'Stage (1) Investment'!$I83,K82),'Stage (2) Investment:Stage (10) Investment'!$I83)))</f>
        <v>8904.1666666666661</v>
      </c>
      <c r="L83" s="210">
        <f>IF($B83="NA","NA",IF($B83&lt;=$D$9,0,MIN(IF($B83=($D$9+1),'Stage (2) Investment'!$I83,SUM($K82:L82)),'Stage (3) Investment:Stage (10) Investment'!$I83)-K83))</f>
        <v>0</v>
      </c>
      <c r="M83" s="210">
        <f>IF($B83="NA","NA",IF($B83&lt;=$D$10,0,MIN(IF($B83=($D$10+1),'Stage (3) Investment'!$I83,SUM($K82:M82)),'Stage (4) Investment:Stage (10) Investment'!$I83)-SUM($K83:L83)))</f>
        <v>0</v>
      </c>
      <c r="N83" s="210">
        <f>IF($B83="NA","NA",IF($B83&lt;=$D$11,0,MIN(IF($B83=($D$11+1),'Stage (4) Investment'!$I83,SUM($K82:N82)),'Stage (5) Investment:Stage (10) Investment'!$I83)-SUM($K83:M83)))</f>
        <v>0</v>
      </c>
      <c r="O83" s="210">
        <f>IF($B83="NA","NA",IF($B83&lt;=$D$12,0,MIN(IF($B83=($D$12+1),'Stage (5) Investment'!$I83,SUM($K82:O82)),'Stage (6) Investment:Stage (10) Investment'!$I83)-SUM($K83:N83)))</f>
        <v>0</v>
      </c>
      <c r="P83" s="210">
        <f>IF($B83="NA","NA",IF($B83&lt;=$D$13,0,MIN(IF($B83=($D$13+1),'Stage (6) Investment'!$I83,SUM($K82:P82)),'Stage (7) Investment:Stage (10) Investment'!$I83)-SUM($K83:O83)))</f>
        <v>0</v>
      </c>
      <c r="Q83" s="210">
        <f>IF($B83="NA","NA",IF($B83&lt;=$D$14,0,MIN(IF($B83=($D$14+1),'Stage (7) Investment'!$I83,SUM($K82:Q82)),'Stage (8) Investment:Stage (10) Investment'!$I83)-SUM($K83:P83)))</f>
        <v>0</v>
      </c>
      <c r="R83" s="210">
        <f>IF($B83="NA","NA",IF($B83&lt;=$D$15,0,MIN(IF($B83=($D$15+1),'Stage (8) Investment'!$I83,SUM($K82:R82)),'Stage (9) Investment:Stage (10) Investment'!$I83)-SUM($K83:Q83)))</f>
        <v>0</v>
      </c>
      <c r="S83" s="210">
        <f>IF($B83="NA","NA",IF($B83&lt;=$D$16,0,MIN(IF($B83=($D$16+1),'Stage (9) Investment'!$I83,SUM($K82:S82)),'Stage (10) Investment'!$I83)-SUM($K83:R83)))</f>
        <v>0</v>
      </c>
      <c r="T83" s="211">
        <f>IF($B83="NA","NA",IF($B83&lt;=$D$17,0,IF($B83=($D$17+1),'Stage (10) Investment'!$I83,SUM($K82:T82))-SUM($K83:S83)))</f>
        <v>0</v>
      </c>
    </row>
    <row r="84" spans="1:20" x14ac:dyDescent="0.2">
      <c r="A84" s="86">
        <f t="shared" ref="A84:A147" si="10">IF(B84="NA","NA",DATE(YEAR(A83),MONTH(A83)+1,1))</f>
        <v>1859</v>
      </c>
      <c r="B84" s="142">
        <f t="shared" ref="B84:B147" si="11">IF(B83="NA","NA",IF((B83+1)&gt;MAX($D$9:$D$18),"NA",B83+1))</f>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50">
        <f>IF(B84="NA","NA",IF(ISNUMBER(VLOOKUP($C84,'A4 Investment'!$A$24:$G$33,7,FALSE)),VLOOKUP($C84,'A4 Investment'!$A$24:$G$33,7,FALSE)*'A4 Investment'!G$18/12,0))</f>
        <v>0</v>
      </c>
      <c r="I84" s="151">
        <f t="shared" si="9"/>
        <v>8904.1666666666661</v>
      </c>
      <c r="J84" s="149">
        <f t="shared" si="2"/>
        <v>8904.1666666666661</v>
      </c>
      <c r="K84" s="150">
        <f>IF($B84="NA","NA",IF($B84&lt;=$D$8,0,MIN(IF($B84=($D$8+1),'Stage (1) Investment'!$I84,K83),'Stage (2) Investment:Stage (10) Investment'!$I84)))</f>
        <v>8904.1666666666661</v>
      </c>
      <c r="L84" s="150">
        <f>IF($B84="NA","NA",IF($B84&lt;=$D$9,0,MIN(IF($B84=($D$9+1),'Stage (2) Investment'!$I84,SUM($K83:L83)),'Stage (3) Investment:Stage (10) Investment'!$I84)-K84))</f>
        <v>0</v>
      </c>
      <c r="M84" s="150">
        <f>IF($B84="NA","NA",IF($B84&lt;=$D$10,0,MIN(IF($B84=($D$10+1),'Stage (3) Investment'!$I84,SUM($K83:M83)),'Stage (4) Investment:Stage (10) Investment'!$I84)-SUM($K84:L84)))</f>
        <v>0</v>
      </c>
      <c r="N84" s="150">
        <f>IF($B84="NA","NA",IF($B84&lt;=$D$11,0,MIN(IF($B84=($D$11+1),'Stage (4) Investment'!$I84,SUM($K83:N83)),'Stage (5) Investment:Stage (10) Investment'!$I84)-SUM($K84:M84)))</f>
        <v>0</v>
      </c>
      <c r="O84" s="150">
        <f>IF($B84="NA","NA",IF($B84&lt;=$D$12,0,MIN(IF($B84=($D$12+1),'Stage (5) Investment'!$I84,SUM($K83:O83)),'Stage (6) Investment:Stage (10) Investment'!$I84)-SUM($K84:N84)))</f>
        <v>0</v>
      </c>
      <c r="P84" s="150">
        <f>IF($B84="NA","NA",IF($B84&lt;=$D$13,0,MIN(IF($B84=($D$13+1),'Stage (6) Investment'!$I84,SUM($K83:P83)),'Stage (7) Investment:Stage (10) Investment'!$I84)-SUM($K84:O84)))</f>
        <v>0</v>
      </c>
      <c r="Q84" s="150">
        <f>IF($B84="NA","NA",IF($B84&lt;=$D$14,0,MIN(IF($B84=($D$14+1),'Stage (7) Investment'!$I84,SUM($K83:Q83)),'Stage (8) Investment:Stage (10) Investment'!$I84)-SUM($K84:P84)))</f>
        <v>0</v>
      </c>
      <c r="R84" s="150">
        <f>IF($B84="NA","NA",IF($B84&lt;=$D$15,0,MIN(IF($B84=($D$15+1),'Stage (8) Investment'!$I84,SUM($K83:R83)),'Stage (9) Investment:Stage (10) Investment'!$I84)-SUM($K84:Q84)))</f>
        <v>0</v>
      </c>
      <c r="S84" s="150">
        <f>IF($B84="NA","NA",IF($B84&lt;=$D$16,0,MIN(IF($B84=($D$16+1),'Stage (9) Investment'!$I84,SUM($K83:S83)),'Stage (10) Investment'!$I84)-SUM($K84:R84)))</f>
        <v>0</v>
      </c>
      <c r="T84" s="151">
        <f>IF($B84="NA","NA",IF($B84&lt;=$D$17,0,IF($B84=($D$17+1),'Stage (10) Investment'!$I84,SUM($K83:T83))-SUM($K84:S84)))</f>
        <v>0</v>
      </c>
    </row>
    <row r="85" spans="1:20" x14ac:dyDescent="0.2">
      <c r="A85" s="86">
        <f t="shared" si="10"/>
        <v>1887</v>
      </c>
      <c r="B85" s="142">
        <f t="shared" si="11"/>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50">
        <f>IF(B85="NA","NA",IF(ISNUMBER(VLOOKUP($C85,'A4 Investment'!$A$24:$G$33,7,FALSE)),VLOOKUP($C85,'A4 Investment'!$A$24:$G$33,7,FALSE)*'A4 Investment'!G$18/12,0))</f>
        <v>0</v>
      </c>
      <c r="I85" s="151">
        <f t="shared" si="9"/>
        <v>8904.1666666666661</v>
      </c>
      <c r="J85" s="149">
        <f t="shared" si="2"/>
        <v>8904.1666666666661</v>
      </c>
      <c r="K85" s="150">
        <f>IF($B85="NA","NA",IF($B85&lt;=$D$8,0,MIN(IF($B85=($D$8+1),'Stage (1) Investment'!$I85,K84),'Stage (2) Investment:Stage (10) Investment'!$I85)))</f>
        <v>8904.1666666666661</v>
      </c>
      <c r="L85" s="150">
        <f>IF($B85="NA","NA",IF($B85&lt;=$D$9,0,MIN(IF($B85=($D$9+1),'Stage (2) Investment'!$I85,SUM($K84:L84)),'Stage (3) Investment:Stage (10) Investment'!$I85)-K85))</f>
        <v>0</v>
      </c>
      <c r="M85" s="150">
        <f>IF($B85="NA","NA",IF($B85&lt;=$D$10,0,MIN(IF($B85=($D$10+1),'Stage (3) Investment'!$I85,SUM($K84:M84)),'Stage (4) Investment:Stage (10) Investment'!$I85)-SUM($K85:L85)))</f>
        <v>0</v>
      </c>
      <c r="N85" s="150">
        <f>IF($B85="NA","NA",IF($B85&lt;=$D$11,0,MIN(IF($B85=($D$11+1),'Stage (4) Investment'!$I85,SUM($K84:N84)),'Stage (5) Investment:Stage (10) Investment'!$I85)-SUM($K85:M85)))</f>
        <v>0</v>
      </c>
      <c r="O85" s="150">
        <f>IF($B85="NA","NA",IF($B85&lt;=$D$12,0,MIN(IF($B85=($D$12+1),'Stage (5) Investment'!$I85,SUM($K84:O84)),'Stage (6) Investment:Stage (10) Investment'!$I85)-SUM($K85:N85)))</f>
        <v>0</v>
      </c>
      <c r="P85" s="150">
        <f>IF($B85="NA","NA",IF($B85&lt;=$D$13,0,MIN(IF($B85=($D$13+1),'Stage (6) Investment'!$I85,SUM($K84:P84)),'Stage (7) Investment:Stage (10) Investment'!$I85)-SUM($K85:O85)))</f>
        <v>0</v>
      </c>
      <c r="Q85" s="150">
        <f>IF($B85="NA","NA",IF($B85&lt;=$D$14,0,MIN(IF($B85=($D$14+1),'Stage (7) Investment'!$I85,SUM($K84:Q84)),'Stage (8) Investment:Stage (10) Investment'!$I85)-SUM($K85:P85)))</f>
        <v>0</v>
      </c>
      <c r="R85" s="150">
        <f>IF($B85="NA","NA",IF($B85&lt;=$D$15,0,MIN(IF($B85=($D$15+1),'Stage (8) Investment'!$I85,SUM($K84:R84)),'Stage (9) Investment:Stage (10) Investment'!$I85)-SUM($K85:Q85)))</f>
        <v>0</v>
      </c>
      <c r="S85" s="150">
        <f>IF($B85="NA","NA",IF($B85&lt;=$D$16,0,MIN(IF($B85=($D$16+1),'Stage (9) Investment'!$I85,SUM($K84:S84)),'Stage (10) Investment'!$I85)-SUM($K85:R85)))</f>
        <v>0</v>
      </c>
      <c r="T85" s="151">
        <f>IF($B85="NA","NA",IF($B85&lt;=$D$17,0,IF($B85=($D$17+1),'Stage (10) Investment'!$I85,SUM($K84:T84))-SUM($K85:S85)))</f>
        <v>0</v>
      </c>
    </row>
    <row r="86" spans="1:20" x14ac:dyDescent="0.2">
      <c r="A86" s="86">
        <f t="shared" si="10"/>
        <v>1918</v>
      </c>
      <c r="B86" s="142">
        <f t="shared" si="11"/>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50">
        <f>IF(B86="NA","NA",IF(ISNUMBER(VLOOKUP($C86,'A4 Investment'!$A$24:$G$33,7,FALSE)),VLOOKUP($C86,'A4 Investment'!$A$24:$G$33,7,FALSE)*'A4 Investment'!G$18/12,0))</f>
        <v>0</v>
      </c>
      <c r="I86" s="151">
        <f t="shared" si="9"/>
        <v>8904.1666666666661</v>
      </c>
      <c r="J86" s="149">
        <f t="shared" si="2"/>
        <v>8904.1666666666661</v>
      </c>
      <c r="K86" s="150">
        <f>IF($B86="NA","NA",IF($B86&lt;=$D$8,0,MIN(IF($B86=($D$8+1),'Stage (1) Investment'!$I86,K85),'Stage (2) Investment:Stage (10) Investment'!$I86)))</f>
        <v>8904.1666666666661</v>
      </c>
      <c r="L86" s="150">
        <f>IF($B86="NA","NA",IF($B86&lt;=$D$9,0,MIN(IF($B86=($D$9+1),'Stage (2) Investment'!$I86,SUM($K85:L85)),'Stage (3) Investment:Stage (10) Investment'!$I86)-K86))</f>
        <v>0</v>
      </c>
      <c r="M86" s="150">
        <f>IF($B86="NA","NA",IF($B86&lt;=$D$10,0,MIN(IF($B86=($D$10+1),'Stage (3) Investment'!$I86,SUM($K85:M85)),'Stage (4) Investment:Stage (10) Investment'!$I86)-SUM($K86:L86)))</f>
        <v>0</v>
      </c>
      <c r="N86" s="150">
        <f>IF($B86="NA","NA",IF($B86&lt;=$D$11,0,MIN(IF($B86=($D$11+1),'Stage (4) Investment'!$I86,SUM($K85:N85)),'Stage (5) Investment:Stage (10) Investment'!$I86)-SUM($K86:M86)))</f>
        <v>0</v>
      </c>
      <c r="O86" s="150">
        <f>IF($B86="NA","NA",IF($B86&lt;=$D$12,0,MIN(IF($B86=($D$12+1),'Stage (5) Investment'!$I86,SUM($K85:O85)),'Stage (6) Investment:Stage (10) Investment'!$I86)-SUM($K86:N86)))</f>
        <v>0</v>
      </c>
      <c r="P86" s="150">
        <f>IF($B86="NA","NA",IF($B86&lt;=$D$13,0,MIN(IF($B86=($D$13+1),'Stage (6) Investment'!$I86,SUM($K85:P85)),'Stage (7) Investment:Stage (10) Investment'!$I86)-SUM($K86:O86)))</f>
        <v>0</v>
      </c>
      <c r="Q86" s="150">
        <f>IF($B86="NA","NA",IF($B86&lt;=$D$14,0,MIN(IF($B86=($D$14+1),'Stage (7) Investment'!$I86,SUM($K85:Q85)),'Stage (8) Investment:Stage (10) Investment'!$I86)-SUM($K86:P86)))</f>
        <v>0</v>
      </c>
      <c r="R86" s="150">
        <f>IF($B86="NA","NA",IF($B86&lt;=$D$15,0,MIN(IF($B86=($D$15+1),'Stage (8) Investment'!$I86,SUM($K85:R85)),'Stage (9) Investment:Stage (10) Investment'!$I86)-SUM($K86:Q86)))</f>
        <v>0</v>
      </c>
      <c r="S86" s="150">
        <f>IF($B86="NA","NA",IF($B86&lt;=$D$16,0,MIN(IF($B86=($D$16+1),'Stage (9) Investment'!$I86,SUM($K85:S85)),'Stage (10) Investment'!$I86)-SUM($K86:R86)))</f>
        <v>0</v>
      </c>
      <c r="T86" s="151">
        <f>IF($B86="NA","NA",IF($B86&lt;=$D$17,0,IF($B86=($D$17+1),'Stage (10) Investment'!$I86,SUM($K85:T85))-SUM($K86:S86)))</f>
        <v>0</v>
      </c>
    </row>
    <row r="87" spans="1:20" x14ac:dyDescent="0.2">
      <c r="A87" s="86">
        <f t="shared" si="10"/>
        <v>1948</v>
      </c>
      <c r="B87" s="142">
        <f t="shared" si="11"/>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50">
        <f>IF(B87="NA","NA",IF(ISNUMBER(VLOOKUP($C87,'A4 Investment'!$A$24:$G$33,7,FALSE)),VLOOKUP($C87,'A4 Investment'!$A$24:$G$33,7,FALSE)*'A4 Investment'!G$18/12,0))</f>
        <v>0</v>
      </c>
      <c r="I87" s="151">
        <f t="shared" si="9"/>
        <v>8904.1666666666661</v>
      </c>
      <c r="J87" s="149">
        <f t="shared" ref="J87:J150" si="12">IF($B87="NA","NA",SUM(K87:T87))</f>
        <v>8904.1666666666661</v>
      </c>
      <c r="K87" s="150">
        <f>IF($B87="NA","NA",IF($B87&lt;=$D$8,0,MIN(IF($B87=($D$8+1),'Stage (1) Investment'!$I87,K86),'Stage (2) Investment:Stage (10) Investment'!$I87)))</f>
        <v>8904.1666666666661</v>
      </c>
      <c r="L87" s="150">
        <f>IF($B87="NA","NA",IF($B87&lt;=$D$9,0,MIN(IF($B87=($D$9+1),'Stage (2) Investment'!$I87,SUM($K86:L86)),'Stage (3) Investment:Stage (10) Investment'!$I87)-K87))</f>
        <v>0</v>
      </c>
      <c r="M87" s="150">
        <f>IF($B87="NA","NA",IF($B87&lt;=$D$10,0,MIN(IF($B87=($D$10+1),'Stage (3) Investment'!$I87,SUM($K86:M86)),'Stage (4) Investment:Stage (10) Investment'!$I87)-SUM($K87:L87)))</f>
        <v>0</v>
      </c>
      <c r="N87" s="150">
        <f>IF($B87="NA","NA",IF($B87&lt;=$D$11,0,MIN(IF($B87=($D$11+1),'Stage (4) Investment'!$I87,SUM($K86:N86)),'Stage (5) Investment:Stage (10) Investment'!$I87)-SUM($K87:M87)))</f>
        <v>0</v>
      </c>
      <c r="O87" s="150">
        <f>IF($B87="NA","NA",IF($B87&lt;=$D$12,0,MIN(IF($B87=($D$12+1),'Stage (5) Investment'!$I87,SUM($K86:O86)),'Stage (6) Investment:Stage (10) Investment'!$I87)-SUM($K87:N87)))</f>
        <v>0</v>
      </c>
      <c r="P87" s="150">
        <f>IF($B87="NA","NA",IF($B87&lt;=$D$13,0,MIN(IF($B87=($D$13+1),'Stage (6) Investment'!$I87,SUM($K86:P86)),'Stage (7) Investment:Stage (10) Investment'!$I87)-SUM($K87:O87)))</f>
        <v>0</v>
      </c>
      <c r="Q87" s="150">
        <f>IF($B87="NA","NA",IF($B87&lt;=$D$14,0,MIN(IF($B87=($D$14+1),'Stage (7) Investment'!$I87,SUM($K86:Q86)),'Stage (8) Investment:Stage (10) Investment'!$I87)-SUM($K87:P87)))</f>
        <v>0</v>
      </c>
      <c r="R87" s="150">
        <f>IF($B87="NA","NA",IF($B87&lt;=$D$15,0,MIN(IF($B87=($D$15+1),'Stage (8) Investment'!$I87,SUM($K86:R86)),'Stage (9) Investment:Stage (10) Investment'!$I87)-SUM($K87:Q87)))</f>
        <v>0</v>
      </c>
      <c r="S87" s="150">
        <f>IF($B87="NA","NA",IF($B87&lt;=$D$16,0,MIN(IF($B87=($D$16+1),'Stage (9) Investment'!$I87,SUM($K86:S86)),'Stage (10) Investment'!$I87)-SUM($K87:R87)))</f>
        <v>0</v>
      </c>
      <c r="T87" s="151">
        <f>IF($B87="NA","NA",IF($B87&lt;=$D$17,0,IF($B87=($D$17+1),'Stage (10) Investment'!$I87,SUM($K86:T86))-SUM($K87:S87)))</f>
        <v>0</v>
      </c>
    </row>
    <row r="88" spans="1:20" x14ac:dyDescent="0.2">
      <c r="A88" s="86">
        <f t="shared" si="10"/>
        <v>1979</v>
      </c>
      <c r="B88" s="142">
        <f t="shared" si="11"/>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50">
        <f>IF(B88="NA","NA",IF(ISNUMBER(VLOOKUP($C88,'A4 Investment'!$A$24:$G$33,7,FALSE)),VLOOKUP($C88,'A4 Investment'!$A$24:$G$33,7,FALSE)*'A4 Investment'!G$18/12,0))</f>
        <v>0</v>
      </c>
      <c r="I88" s="151">
        <f t="shared" si="9"/>
        <v>8904.1666666666661</v>
      </c>
      <c r="J88" s="149">
        <f t="shared" si="12"/>
        <v>8904.1666666666661</v>
      </c>
      <c r="K88" s="150">
        <f>IF($B88="NA","NA",IF($B88&lt;=$D$8,0,MIN(IF($B88=($D$8+1),'Stage (1) Investment'!$I88,K87),'Stage (2) Investment:Stage (10) Investment'!$I88)))</f>
        <v>8904.1666666666661</v>
      </c>
      <c r="L88" s="150">
        <f>IF($B88="NA","NA",IF($B88&lt;=$D$9,0,MIN(IF($B88=($D$9+1),'Stage (2) Investment'!$I88,SUM($K87:L87)),'Stage (3) Investment:Stage (10) Investment'!$I88)-K88))</f>
        <v>0</v>
      </c>
      <c r="M88" s="150">
        <f>IF($B88="NA","NA",IF($B88&lt;=$D$10,0,MIN(IF($B88=($D$10+1),'Stage (3) Investment'!$I88,SUM($K87:M87)),'Stage (4) Investment:Stage (10) Investment'!$I88)-SUM($K88:L88)))</f>
        <v>0</v>
      </c>
      <c r="N88" s="150">
        <f>IF($B88="NA","NA",IF($B88&lt;=$D$11,0,MIN(IF($B88=($D$11+1),'Stage (4) Investment'!$I88,SUM($K87:N87)),'Stage (5) Investment:Stage (10) Investment'!$I88)-SUM($K88:M88)))</f>
        <v>0</v>
      </c>
      <c r="O88" s="150">
        <f>IF($B88="NA","NA",IF($B88&lt;=$D$12,0,MIN(IF($B88=($D$12+1),'Stage (5) Investment'!$I88,SUM($K87:O87)),'Stage (6) Investment:Stage (10) Investment'!$I88)-SUM($K88:N88)))</f>
        <v>0</v>
      </c>
      <c r="P88" s="150">
        <f>IF($B88="NA","NA",IF($B88&lt;=$D$13,0,MIN(IF($B88=($D$13+1),'Stage (6) Investment'!$I88,SUM($K87:P87)),'Stage (7) Investment:Stage (10) Investment'!$I88)-SUM($K88:O88)))</f>
        <v>0</v>
      </c>
      <c r="Q88" s="150">
        <f>IF($B88="NA","NA",IF($B88&lt;=$D$14,0,MIN(IF($B88=($D$14+1),'Stage (7) Investment'!$I88,SUM($K87:Q87)),'Stage (8) Investment:Stage (10) Investment'!$I88)-SUM($K88:P88)))</f>
        <v>0</v>
      </c>
      <c r="R88" s="150">
        <f>IF($B88="NA","NA",IF($B88&lt;=$D$15,0,MIN(IF($B88=($D$15+1),'Stage (8) Investment'!$I88,SUM($K87:R87)),'Stage (9) Investment:Stage (10) Investment'!$I88)-SUM($K88:Q88)))</f>
        <v>0</v>
      </c>
      <c r="S88" s="150">
        <f>IF($B88="NA","NA",IF($B88&lt;=$D$16,0,MIN(IF($B88=($D$16+1),'Stage (9) Investment'!$I88,SUM($K87:S87)),'Stage (10) Investment'!$I88)-SUM($K88:R88)))</f>
        <v>0</v>
      </c>
      <c r="T88" s="151">
        <f>IF($B88="NA","NA",IF($B88&lt;=$D$17,0,IF($B88=($D$17+1),'Stage (10) Investment'!$I88,SUM($K87:T87))-SUM($K88:S88)))</f>
        <v>0</v>
      </c>
    </row>
    <row r="89" spans="1:20" x14ac:dyDescent="0.2">
      <c r="A89" s="86">
        <f t="shared" si="10"/>
        <v>2009</v>
      </c>
      <c r="B89" s="142">
        <f t="shared" si="11"/>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50">
        <f>IF(B89="NA","NA",IF(ISNUMBER(VLOOKUP($C89,'A4 Investment'!$A$24:$G$33,7,FALSE)),VLOOKUP($C89,'A4 Investment'!$A$24:$G$33,7,FALSE)*'A4 Investment'!G$18/12,0))</f>
        <v>0</v>
      </c>
      <c r="I89" s="151">
        <f t="shared" si="9"/>
        <v>8904.1666666666661</v>
      </c>
      <c r="J89" s="149">
        <f t="shared" si="12"/>
        <v>8904.1666666666661</v>
      </c>
      <c r="K89" s="150">
        <f>IF($B89="NA","NA",IF($B89&lt;=$D$8,0,MIN(IF($B89=($D$8+1),'Stage (1) Investment'!$I89,K88),'Stage (2) Investment:Stage (10) Investment'!$I89)))</f>
        <v>8904.1666666666661</v>
      </c>
      <c r="L89" s="150">
        <f>IF($B89="NA","NA",IF($B89&lt;=$D$9,0,MIN(IF($B89=($D$9+1),'Stage (2) Investment'!$I89,SUM($K88:L88)),'Stage (3) Investment:Stage (10) Investment'!$I89)-K89))</f>
        <v>0</v>
      </c>
      <c r="M89" s="150">
        <f>IF($B89="NA","NA",IF($B89&lt;=$D$10,0,MIN(IF($B89=($D$10+1),'Stage (3) Investment'!$I89,SUM($K88:M88)),'Stage (4) Investment:Stage (10) Investment'!$I89)-SUM($K89:L89)))</f>
        <v>0</v>
      </c>
      <c r="N89" s="150">
        <f>IF($B89="NA","NA",IF($B89&lt;=$D$11,0,MIN(IF($B89=($D$11+1),'Stage (4) Investment'!$I89,SUM($K88:N88)),'Stage (5) Investment:Stage (10) Investment'!$I89)-SUM($K89:M89)))</f>
        <v>0</v>
      </c>
      <c r="O89" s="150">
        <f>IF($B89="NA","NA",IF($B89&lt;=$D$12,0,MIN(IF($B89=($D$12+1),'Stage (5) Investment'!$I89,SUM($K88:O88)),'Stage (6) Investment:Stage (10) Investment'!$I89)-SUM($K89:N89)))</f>
        <v>0</v>
      </c>
      <c r="P89" s="150">
        <f>IF($B89="NA","NA",IF($B89&lt;=$D$13,0,MIN(IF($B89=($D$13+1),'Stage (6) Investment'!$I89,SUM($K88:P88)),'Stage (7) Investment:Stage (10) Investment'!$I89)-SUM($K89:O89)))</f>
        <v>0</v>
      </c>
      <c r="Q89" s="150">
        <f>IF($B89="NA","NA",IF($B89&lt;=$D$14,0,MIN(IF($B89=($D$14+1),'Stage (7) Investment'!$I89,SUM($K88:Q88)),'Stage (8) Investment:Stage (10) Investment'!$I89)-SUM($K89:P89)))</f>
        <v>0</v>
      </c>
      <c r="R89" s="150">
        <f>IF($B89="NA","NA",IF($B89&lt;=$D$15,0,MIN(IF($B89=($D$15+1),'Stage (8) Investment'!$I89,SUM($K88:R88)),'Stage (9) Investment:Stage (10) Investment'!$I89)-SUM($K89:Q89)))</f>
        <v>0</v>
      </c>
      <c r="S89" s="150">
        <f>IF($B89="NA","NA",IF($B89&lt;=$D$16,0,MIN(IF($B89=($D$16+1),'Stage (9) Investment'!$I89,SUM($K88:S88)),'Stage (10) Investment'!$I89)-SUM($K89:R89)))</f>
        <v>0</v>
      </c>
      <c r="T89" s="151">
        <f>IF($B89="NA","NA",IF($B89&lt;=$D$17,0,IF($B89=($D$17+1),'Stage (10) Investment'!$I89,SUM($K88:T88))-SUM($K89:S89)))</f>
        <v>0</v>
      </c>
    </row>
    <row r="90" spans="1:20" x14ac:dyDescent="0.2">
      <c r="A90" s="86">
        <f t="shared" si="10"/>
        <v>2040</v>
      </c>
      <c r="B90" s="142">
        <f t="shared" si="11"/>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50">
        <f>IF(B90="NA","NA",IF(ISNUMBER(VLOOKUP($C90,'A4 Investment'!$A$24:$G$33,7,FALSE)),VLOOKUP($C90,'A4 Investment'!$A$24:$G$33,7,FALSE)*'A4 Investment'!G$18/12,0))</f>
        <v>0</v>
      </c>
      <c r="I90" s="151">
        <f t="shared" si="9"/>
        <v>8904.1666666666661</v>
      </c>
      <c r="J90" s="149">
        <f t="shared" si="12"/>
        <v>8904.1666666666661</v>
      </c>
      <c r="K90" s="150">
        <f>IF($B90="NA","NA",IF($B90&lt;=$D$8,0,MIN(IF($B90=($D$8+1),'Stage (1) Investment'!$I90,K89),'Stage (2) Investment:Stage (10) Investment'!$I90)))</f>
        <v>8904.1666666666661</v>
      </c>
      <c r="L90" s="150">
        <f>IF($B90="NA","NA",IF($B90&lt;=$D$9,0,MIN(IF($B90=($D$9+1),'Stage (2) Investment'!$I90,SUM($K89:L89)),'Stage (3) Investment:Stage (10) Investment'!$I90)-K90))</f>
        <v>0</v>
      </c>
      <c r="M90" s="150">
        <f>IF($B90="NA","NA",IF($B90&lt;=$D$10,0,MIN(IF($B90=($D$10+1),'Stage (3) Investment'!$I90,SUM($K89:M89)),'Stage (4) Investment:Stage (10) Investment'!$I90)-SUM($K90:L90)))</f>
        <v>0</v>
      </c>
      <c r="N90" s="150">
        <f>IF($B90="NA","NA",IF($B90&lt;=$D$11,0,MIN(IF($B90=($D$11+1),'Stage (4) Investment'!$I90,SUM($K89:N89)),'Stage (5) Investment:Stage (10) Investment'!$I90)-SUM($K90:M90)))</f>
        <v>0</v>
      </c>
      <c r="O90" s="150">
        <f>IF($B90="NA","NA",IF($B90&lt;=$D$12,0,MIN(IF($B90=($D$12+1),'Stage (5) Investment'!$I90,SUM($K89:O89)),'Stage (6) Investment:Stage (10) Investment'!$I90)-SUM($K90:N90)))</f>
        <v>0</v>
      </c>
      <c r="P90" s="150">
        <f>IF($B90="NA","NA",IF($B90&lt;=$D$13,0,MIN(IF($B90=($D$13+1),'Stage (6) Investment'!$I90,SUM($K89:P89)),'Stage (7) Investment:Stage (10) Investment'!$I90)-SUM($K90:O90)))</f>
        <v>0</v>
      </c>
      <c r="Q90" s="150">
        <f>IF($B90="NA","NA",IF($B90&lt;=$D$14,0,MIN(IF($B90=($D$14+1),'Stage (7) Investment'!$I90,SUM($K89:Q89)),'Stage (8) Investment:Stage (10) Investment'!$I90)-SUM($K90:P90)))</f>
        <v>0</v>
      </c>
      <c r="R90" s="150">
        <f>IF($B90="NA","NA",IF($B90&lt;=$D$15,0,MIN(IF($B90=($D$15+1),'Stage (8) Investment'!$I90,SUM($K89:R89)),'Stage (9) Investment:Stage (10) Investment'!$I90)-SUM($K90:Q90)))</f>
        <v>0</v>
      </c>
      <c r="S90" s="150">
        <f>IF($B90="NA","NA",IF($B90&lt;=$D$16,0,MIN(IF($B90=($D$16+1),'Stage (9) Investment'!$I90,SUM($K89:S89)),'Stage (10) Investment'!$I90)-SUM($K90:R90)))</f>
        <v>0</v>
      </c>
      <c r="T90" s="151">
        <f>IF($B90="NA","NA",IF($B90&lt;=$D$17,0,IF($B90=($D$17+1),'Stage (10) Investment'!$I90,SUM($K89:T89))-SUM($K90:S90)))</f>
        <v>0</v>
      </c>
    </row>
    <row r="91" spans="1:20" x14ac:dyDescent="0.2">
      <c r="A91" s="86">
        <f t="shared" si="10"/>
        <v>2071</v>
      </c>
      <c r="B91" s="142">
        <f t="shared" si="11"/>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50">
        <f>IF(B91="NA","NA",IF(ISNUMBER(VLOOKUP($C91,'A4 Investment'!$A$24:$G$33,7,FALSE)),VLOOKUP($C91,'A4 Investment'!$A$24:$G$33,7,FALSE)*'A4 Investment'!G$18/12,0))</f>
        <v>0</v>
      </c>
      <c r="I91" s="151">
        <f t="shared" si="9"/>
        <v>8904.1666666666661</v>
      </c>
      <c r="J91" s="149">
        <f t="shared" si="12"/>
        <v>8904.1666666666661</v>
      </c>
      <c r="K91" s="150">
        <f>IF($B91="NA","NA",IF($B91&lt;=$D$8,0,MIN(IF($B91=($D$8+1),'Stage (1) Investment'!$I91,K90),'Stage (2) Investment:Stage (10) Investment'!$I91)))</f>
        <v>8904.1666666666661</v>
      </c>
      <c r="L91" s="150">
        <f>IF($B91="NA","NA",IF($B91&lt;=$D$9,0,MIN(IF($B91=($D$9+1),'Stage (2) Investment'!$I91,SUM($K90:L90)),'Stage (3) Investment:Stage (10) Investment'!$I91)-K91))</f>
        <v>0</v>
      </c>
      <c r="M91" s="150">
        <f>IF($B91="NA","NA",IF($B91&lt;=$D$10,0,MIN(IF($B91=($D$10+1),'Stage (3) Investment'!$I91,SUM($K90:M90)),'Stage (4) Investment:Stage (10) Investment'!$I91)-SUM($K91:L91)))</f>
        <v>0</v>
      </c>
      <c r="N91" s="150">
        <f>IF($B91="NA","NA",IF($B91&lt;=$D$11,0,MIN(IF($B91=($D$11+1),'Stage (4) Investment'!$I91,SUM($K90:N90)),'Stage (5) Investment:Stage (10) Investment'!$I91)-SUM($K91:M91)))</f>
        <v>0</v>
      </c>
      <c r="O91" s="150">
        <f>IF($B91="NA","NA",IF($B91&lt;=$D$12,0,MIN(IF($B91=($D$12+1),'Stage (5) Investment'!$I91,SUM($K90:O90)),'Stage (6) Investment:Stage (10) Investment'!$I91)-SUM($K91:N91)))</f>
        <v>0</v>
      </c>
      <c r="P91" s="150">
        <f>IF($B91="NA","NA",IF($B91&lt;=$D$13,0,MIN(IF($B91=($D$13+1),'Stage (6) Investment'!$I91,SUM($K90:P90)),'Stage (7) Investment:Stage (10) Investment'!$I91)-SUM($K91:O91)))</f>
        <v>0</v>
      </c>
      <c r="Q91" s="150">
        <f>IF($B91="NA","NA",IF($B91&lt;=$D$14,0,MIN(IF($B91=($D$14+1),'Stage (7) Investment'!$I91,SUM($K90:Q90)),'Stage (8) Investment:Stage (10) Investment'!$I91)-SUM($K91:P91)))</f>
        <v>0</v>
      </c>
      <c r="R91" s="150">
        <f>IF($B91="NA","NA",IF($B91&lt;=$D$15,0,MIN(IF($B91=($D$15+1),'Stage (8) Investment'!$I91,SUM($K90:R90)),'Stage (9) Investment:Stage (10) Investment'!$I91)-SUM($K91:Q91)))</f>
        <v>0</v>
      </c>
      <c r="S91" s="150">
        <f>IF($B91="NA","NA",IF($B91&lt;=$D$16,0,MIN(IF($B91=($D$16+1),'Stage (9) Investment'!$I91,SUM($K90:S90)),'Stage (10) Investment'!$I91)-SUM($K91:R91)))</f>
        <v>0</v>
      </c>
      <c r="T91" s="151">
        <f>IF($B91="NA","NA",IF($B91&lt;=$D$17,0,IF($B91=($D$17+1),'Stage (10) Investment'!$I91,SUM($K90:T90))-SUM($K91:S91)))</f>
        <v>0</v>
      </c>
    </row>
    <row r="92" spans="1:20" x14ac:dyDescent="0.2">
      <c r="A92" s="86">
        <f t="shared" si="10"/>
        <v>2101</v>
      </c>
      <c r="B92" s="142">
        <f t="shared" si="11"/>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50">
        <f>IF(B92="NA","NA",IF(ISNUMBER(VLOOKUP($C92,'A4 Investment'!$A$24:$G$33,7,FALSE)),VLOOKUP($C92,'A4 Investment'!$A$24:$G$33,7,FALSE)*'A4 Investment'!G$18/12,0))</f>
        <v>0</v>
      </c>
      <c r="I92" s="151">
        <f t="shared" si="9"/>
        <v>8904.1666666666661</v>
      </c>
      <c r="J92" s="149">
        <f t="shared" si="12"/>
        <v>8904.1666666666661</v>
      </c>
      <c r="K92" s="150">
        <f>IF($B92="NA","NA",IF($B92&lt;=$D$8,0,MIN(IF($B92=($D$8+1),'Stage (1) Investment'!$I92,K91),'Stage (2) Investment:Stage (10) Investment'!$I92)))</f>
        <v>8904.1666666666661</v>
      </c>
      <c r="L92" s="150">
        <f>IF($B92="NA","NA",IF($B92&lt;=$D$9,0,MIN(IF($B92=($D$9+1),'Stage (2) Investment'!$I92,SUM($K91:L91)),'Stage (3) Investment:Stage (10) Investment'!$I92)-K92))</f>
        <v>0</v>
      </c>
      <c r="M92" s="150">
        <f>IF($B92="NA","NA",IF($B92&lt;=$D$10,0,MIN(IF($B92=($D$10+1),'Stage (3) Investment'!$I92,SUM($K91:M91)),'Stage (4) Investment:Stage (10) Investment'!$I92)-SUM($K92:L92)))</f>
        <v>0</v>
      </c>
      <c r="N92" s="150">
        <f>IF($B92="NA","NA",IF($B92&lt;=$D$11,0,MIN(IF($B92=($D$11+1),'Stage (4) Investment'!$I92,SUM($K91:N91)),'Stage (5) Investment:Stage (10) Investment'!$I92)-SUM($K92:M92)))</f>
        <v>0</v>
      </c>
      <c r="O92" s="150">
        <f>IF($B92="NA","NA",IF($B92&lt;=$D$12,0,MIN(IF($B92=($D$12+1),'Stage (5) Investment'!$I92,SUM($K91:O91)),'Stage (6) Investment:Stage (10) Investment'!$I92)-SUM($K92:N92)))</f>
        <v>0</v>
      </c>
      <c r="P92" s="150">
        <f>IF($B92="NA","NA",IF($B92&lt;=$D$13,0,MIN(IF($B92=($D$13+1),'Stage (6) Investment'!$I92,SUM($K91:P91)),'Stage (7) Investment:Stage (10) Investment'!$I92)-SUM($K92:O92)))</f>
        <v>0</v>
      </c>
      <c r="Q92" s="150">
        <f>IF($B92="NA","NA",IF($B92&lt;=$D$14,0,MIN(IF($B92=($D$14+1),'Stage (7) Investment'!$I92,SUM($K91:Q91)),'Stage (8) Investment:Stage (10) Investment'!$I92)-SUM($K92:P92)))</f>
        <v>0</v>
      </c>
      <c r="R92" s="150">
        <f>IF($B92="NA","NA",IF($B92&lt;=$D$15,0,MIN(IF($B92=($D$15+1),'Stage (8) Investment'!$I92,SUM($K91:R91)),'Stage (9) Investment:Stage (10) Investment'!$I92)-SUM($K92:Q92)))</f>
        <v>0</v>
      </c>
      <c r="S92" s="150">
        <f>IF($B92="NA","NA",IF($B92&lt;=$D$16,0,MIN(IF($B92=($D$16+1),'Stage (9) Investment'!$I92,SUM($K91:S91)),'Stage (10) Investment'!$I92)-SUM($K92:R92)))</f>
        <v>0</v>
      </c>
      <c r="T92" s="151">
        <f>IF($B92="NA","NA",IF($B92&lt;=$D$17,0,IF($B92=($D$17+1),'Stage (10) Investment'!$I92,SUM($K91:T91))-SUM($K92:S92)))</f>
        <v>0</v>
      </c>
    </row>
    <row r="93" spans="1:20" x14ac:dyDescent="0.2">
      <c r="A93" s="86">
        <f t="shared" si="10"/>
        <v>2132</v>
      </c>
      <c r="B93" s="142">
        <f t="shared" si="11"/>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50">
        <f>IF(B93="NA","NA",IF(ISNUMBER(VLOOKUP($C93,'A4 Investment'!$A$24:$G$33,7,FALSE)),VLOOKUP($C93,'A4 Investment'!$A$24:$G$33,7,FALSE)*'A4 Investment'!G$18/12,0))</f>
        <v>0</v>
      </c>
      <c r="I93" s="151">
        <f t="shared" si="9"/>
        <v>8904.1666666666661</v>
      </c>
      <c r="J93" s="149">
        <f t="shared" si="12"/>
        <v>8904.1666666666661</v>
      </c>
      <c r="K93" s="150">
        <f>IF($B93="NA","NA",IF($B93&lt;=$D$8,0,MIN(IF($B93=($D$8+1),'Stage (1) Investment'!$I93,K92),'Stage (2) Investment:Stage (10) Investment'!$I93)))</f>
        <v>8904.1666666666661</v>
      </c>
      <c r="L93" s="150">
        <f>IF($B93="NA","NA",IF($B93&lt;=$D$9,0,MIN(IF($B93=($D$9+1),'Stage (2) Investment'!$I93,SUM($K92:L92)),'Stage (3) Investment:Stage (10) Investment'!$I93)-K93))</f>
        <v>0</v>
      </c>
      <c r="M93" s="150">
        <f>IF($B93="NA","NA",IF($B93&lt;=$D$10,0,MIN(IF($B93=($D$10+1),'Stage (3) Investment'!$I93,SUM($K92:M92)),'Stage (4) Investment:Stage (10) Investment'!$I93)-SUM($K93:L93)))</f>
        <v>0</v>
      </c>
      <c r="N93" s="150">
        <f>IF($B93="NA","NA",IF($B93&lt;=$D$11,0,MIN(IF($B93=($D$11+1),'Stage (4) Investment'!$I93,SUM($K92:N92)),'Stage (5) Investment:Stage (10) Investment'!$I93)-SUM($K93:M93)))</f>
        <v>0</v>
      </c>
      <c r="O93" s="150">
        <f>IF($B93="NA","NA",IF($B93&lt;=$D$12,0,MIN(IF($B93=($D$12+1),'Stage (5) Investment'!$I93,SUM($K92:O92)),'Stage (6) Investment:Stage (10) Investment'!$I93)-SUM($K93:N93)))</f>
        <v>0</v>
      </c>
      <c r="P93" s="150">
        <f>IF($B93="NA","NA",IF($B93&lt;=$D$13,0,MIN(IF($B93=($D$13+1),'Stage (6) Investment'!$I93,SUM($K92:P92)),'Stage (7) Investment:Stage (10) Investment'!$I93)-SUM($K93:O93)))</f>
        <v>0</v>
      </c>
      <c r="Q93" s="150">
        <f>IF($B93="NA","NA",IF($B93&lt;=$D$14,0,MIN(IF($B93=($D$14+1),'Stage (7) Investment'!$I93,SUM($K92:Q92)),'Stage (8) Investment:Stage (10) Investment'!$I93)-SUM($K93:P93)))</f>
        <v>0</v>
      </c>
      <c r="R93" s="150">
        <f>IF($B93="NA","NA",IF($B93&lt;=$D$15,0,MIN(IF($B93=($D$15+1),'Stage (8) Investment'!$I93,SUM($K92:R92)),'Stage (9) Investment:Stage (10) Investment'!$I93)-SUM($K93:Q93)))</f>
        <v>0</v>
      </c>
      <c r="S93" s="150">
        <f>IF($B93="NA","NA",IF($B93&lt;=$D$16,0,MIN(IF($B93=($D$16+1),'Stage (9) Investment'!$I93,SUM($K92:S92)),'Stage (10) Investment'!$I93)-SUM($K93:R93)))</f>
        <v>0</v>
      </c>
      <c r="T93" s="151">
        <f>IF($B93="NA","NA",IF($B93&lt;=$D$17,0,IF($B93=($D$17+1),'Stage (10) Investment'!$I93,SUM($K92:T92))-SUM($K93:S93)))</f>
        <v>0</v>
      </c>
    </row>
    <row r="94" spans="1:20" x14ac:dyDescent="0.2">
      <c r="A94" s="86">
        <f t="shared" si="10"/>
        <v>2162</v>
      </c>
      <c r="B94" s="142">
        <f t="shared" si="11"/>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50">
        <f>IF(B94="NA","NA",IF(ISNUMBER(VLOOKUP($C94,'A4 Investment'!$A$24:$G$33,7,FALSE)),VLOOKUP($C94,'A4 Investment'!$A$24:$G$33,7,FALSE)*'A4 Investment'!G$18/12,0))</f>
        <v>0</v>
      </c>
      <c r="I94" s="151">
        <f t="shared" si="9"/>
        <v>8904.1666666666661</v>
      </c>
      <c r="J94" s="149">
        <f t="shared" si="12"/>
        <v>8904.1666666666661</v>
      </c>
      <c r="K94" s="150">
        <f>IF($B94="NA","NA",IF($B94&lt;=$D$8,0,MIN(IF($B94=($D$8+1),'Stage (1) Investment'!$I94,K93),'Stage (2) Investment:Stage (10) Investment'!$I94)))</f>
        <v>8904.1666666666661</v>
      </c>
      <c r="L94" s="150">
        <f>IF($B94="NA","NA",IF($B94&lt;=$D$9,0,MIN(IF($B94=($D$9+1),'Stage (2) Investment'!$I94,SUM($K93:L93)),'Stage (3) Investment:Stage (10) Investment'!$I94)-K94))</f>
        <v>0</v>
      </c>
      <c r="M94" s="150">
        <f>IF($B94="NA","NA",IF($B94&lt;=$D$10,0,MIN(IF($B94=($D$10+1),'Stage (3) Investment'!$I94,SUM($K93:M93)),'Stage (4) Investment:Stage (10) Investment'!$I94)-SUM($K94:L94)))</f>
        <v>0</v>
      </c>
      <c r="N94" s="150">
        <f>IF($B94="NA","NA",IF($B94&lt;=$D$11,0,MIN(IF($B94=($D$11+1),'Stage (4) Investment'!$I94,SUM($K93:N93)),'Stage (5) Investment:Stage (10) Investment'!$I94)-SUM($K94:M94)))</f>
        <v>0</v>
      </c>
      <c r="O94" s="150">
        <f>IF($B94="NA","NA",IF($B94&lt;=$D$12,0,MIN(IF($B94=($D$12+1),'Stage (5) Investment'!$I94,SUM($K93:O93)),'Stage (6) Investment:Stage (10) Investment'!$I94)-SUM($K94:N94)))</f>
        <v>0</v>
      </c>
      <c r="P94" s="150">
        <f>IF($B94="NA","NA",IF($B94&lt;=$D$13,0,MIN(IF($B94=($D$13+1),'Stage (6) Investment'!$I94,SUM($K93:P93)),'Stage (7) Investment:Stage (10) Investment'!$I94)-SUM($K94:O94)))</f>
        <v>0</v>
      </c>
      <c r="Q94" s="150">
        <f>IF($B94="NA","NA",IF($B94&lt;=$D$14,0,MIN(IF($B94=($D$14+1),'Stage (7) Investment'!$I94,SUM($K93:Q93)),'Stage (8) Investment:Stage (10) Investment'!$I94)-SUM($K94:P94)))</f>
        <v>0</v>
      </c>
      <c r="R94" s="150">
        <f>IF($B94="NA","NA",IF($B94&lt;=$D$15,0,MIN(IF($B94=($D$15+1),'Stage (8) Investment'!$I94,SUM($K93:R93)),'Stage (9) Investment:Stage (10) Investment'!$I94)-SUM($K94:Q94)))</f>
        <v>0</v>
      </c>
      <c r="S94" s="150">
        <f>IF($B94="NA","NA",IF($B94&lt;=$D$16,0,MIN(IF($B94=($D$16+1),'Stage (9) Investment'!$I94,SUM($K93:S93)),'Stage (10) Investment'!$I94)-SUM($K94:R94)))</f>
        <v>0</v>
      </c>
      <c r="T94" s="151">
        <f>IF($B94="NA","NA",IF($B94&lt;=$D$17,0,IF($B94=($D$17+1),'Stage (10) Investment'!$I94,SUM($K93:T93))-SUM($K94:S94)))</f>
        <v>0</v>
      </c>
    </row>
    <row r="95" spans="1:20" x14ac:dyDescent="0.2">
      <c r="A95" s="86">
        <f t="shared" si="10"/>
        <v>2193</v>
      </c>
      <c r="B95" s="142">
        <f t="shared" si="11"/>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50">
        <f>IF(B95="NA","NA",IF(ISNUMBER(VLOOKUP($C95,'A4 Investment'!$A$24:$G$33,7,FALSE)),VLOOKUP($C95,'A4 Investment'!$A$24:$G$33,7,FALSE)*'A4 Investment'!G$18/12,0))</f>
        <v>0</v>
      </c>
      <c r="I95" s="151">
        <f t="shared" si="9"/>
        <v>8904.1666666666661</v>
      </c>
      <c r="J95" s="149">
        <f t="shared" si="12"/>
        <v>8904.1666666666661</v>
      </c>
      <c r="K95" s="150">
        <f>IF($B95="NA","NA",IF($B95&lt;=$D$8,0,MIN(IF($B95=($D$8+1),'Stage (1) Investment'!$I95,K94),'Stage (2) Investment:Stage (10) Investment'!$I95)))</f>
        <v>8904.1666666666661</v>
      </c>
      <c r="L95" s="150">
        <f>IF($B95="NA","NA",IF($B95&lt;=$D$9,0,MIN(IF($B95=($D$9+1),'Stage (2) Investment'!$I95,SUM($K94:L94)),'Stage (3) Investment:Stage (10) Investment'!$I95)-K95))</f>
        <v>0</v>
      </c>
      <c r="M95" s="150">
        <f>IF($B95="NA","NA",IF($B95&lt;=$D$10,0,MIN(IF($B95=($D$10+1),'Stage (3) Investment'!$I95,SUM($K94:M94)),'Stage (4) Investment:Stage (10) Investment'!$I95)-SUM($K95:L95)))</f>
        <v>0</v>
      </c>
      <c r="N95" s="150">
        <f>IF($B95="NA","NA",IF($B95&lt;=$D$11,0,MIN(IF($B95=($D$11+1),'Stage (4) Investment'!$I95,SUM($K94:N94)),'Stage (5) Investment:Stage (10) Investment'!$I95)-SUM($K95:M95)))</f>
        <v>0</v>
      </c>
      <c r="O95" s="150">
        <f>IF($B95="NA","NA",IF($B95&lt;=$D$12,0,MIN(IF($B95=($D$12+1),'Stage (5) Investment'!$I95,SUM($K94:O94)),'Stage (6) Investment:Stage (10) Investment'!$I95)-SUM($K95:N95)))</f>
        <v>0</v>
      </c>
      <c r="P95" s="150">
        <f>IF($B95="NA","NA",IF($B95&lt;=$D$13,0,MIN(IF($B95=($D$13+1),'Stage (6) Investment'!$I95,SUM($K94:P94)),'Stage (7) Investment:Stage (10) Investment'!$I95)-SUM($K95:O95)))</f>
        <v>0</v>
      </c>
      <c r="Q95" s="150">
        <f>IF($B95="NA","NA",IF($B95&lt;=$D$14,0,MIN(IF($B95=($D$14+1),'Stage (7) Investment'!$I95,SUM($K94:Q94)),'Stage (8) Investment:Stage (10) Investment'!$I95)-SUM($K95:P95)))</f>
        <v>0</v>
      </c>
      <c r="R95" s="150">
        <f>IF($B95="NA","NA",IF($B95&lt;=$D$15,0,MIN(IF($B95=($D$15+1),'Stage (8) Investment'!$I95,SUM($K94:R94)),'Stage (9) Investment:Stage (10) Investment'!$I95)-SUM($K95:Q95)))</f>
        <v>0</v>
      </c>
      <c r="S95" s="150">
        <f>IF($B95="NA","NA",IF($B95&lt;=$D$16,0,MIN(IF($B95=($D$16+1),'Stage (9) Investment'!$I95,SUM($K94:S94)),'Stage (10) Investment'!$I95)-SUM($K95:R95)))</f>
        <v>0</v>
      </c>
      <c r="T95" s="151">
        <f>IF($B95="NA","NA",IF($B95&lt;=$D$17,0,IF($B95=($D$17+1),'Stage (10) Investment'!$I95,SUM($K94:T94))-SUM($K95:S95)))</f>
        <v>0</v>
      </c>
    </row>
    <row r="96" spans="1:20" x14ac:dyDescent="0.2">
      <c r="A96" s="86">
        <f t="shared" si="10"/>
        <v>2224</v>
      </c>
      <c r="B96" s="142">
        <f t="shared" si="11"/>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50">
        <f>IF(B96="NA","NA",IF(ISNUMBER(VLOOKUP($C96,'A4 Investment'!$A$24:$G$33,7,FALSE)),VLOOKUP($C96,'A4 Investment'!$A$24:$G$33,7,FALSE)*'A4 Investment'!G$18/12,0))</f>
        <v>0</v>
      </c>
      <c r="I96" s="151">
        <f t="shared" si="9"/>
        <v>8904.1666666666661</v>
      </c>
      <c r="J96" s="149">
        <f t="shared" si="12"/>
        <v>8904.1666666666661</v>
      </c>
      <c r="K96" s="150">
        <f>IF($B96="NA","NA",IF($B96&lt;=$D$8,0,MIN(IF($B96=($D$8+1),'Stage (1) Investment'!$I96,K95),'Stage (2) Investment:Stage (10) Investment'!$I96)))</f>
        <v>8904.1666666666661</v>
      </c>
      <c r="L96" s="150">
        <f>IF($B96="NA","NA",IF($B96&lt;=$D$9,0,MIN(IF($B96=($D$9+1),'Stage (2) Investment'!$I96,SUM($K95:L95)),'Stage (3) Investment:Stage (10) Investment'!$I96)-K96))</f>
        <v>0</v>
      </c>
      <c r="M96" s="150">
        <f>IF($B96="NA","NA",IF($B96&lt;=$D$10,0,MIN(IF($B96=($D$10+1),'Stage (3) Investment'!$I96,SUM($K95:M95)),'Stage (4) Investment:Stage (10) Investment'!$I96)-SUM($K96:L96)))</f>
        <v>0</v>
      </c>
      <c r="N96" s="150">
        <f>IF($B96="NA","NA",IF($B96&lt;=$D$11,0,MIN(IF($B96=($D$11+1),'Stage (4) Investment'!$I96,SUM($K95:N95)),'Stage (5) Investment:Stage (10) Investment'!$I96)-SUM($K96:M96)))</f>
        <v>0</v>
      </c>
      <c r="O96" s="150">
        <f>IF($B96="NA","NA",IF($B96&lt;=$D$12,0,MIN(IF($B96=($D$12+1),'Stage (5) Investment'!$I96,SUM($K95:O95)),'Stage (6) Investment:Stage (10) Investment'!$I96)-SUM($K96:N96)))</f>
        <v>0</v>
      </c>
      <c r="P96" s="150">
        <f>IF($B96="NA","NA",IF($B96&lt;=$D$13,0,MIN(IF($B96=($D$13+1),'Stage (6) Investment'!$I96,SUM($K95:P95)),'Stage (7) Investment:Stage (10) Investment'!$I96)-SUM($K96:O96)))</f>
        <v>0</v>
      </c>
      <c r="Q96" s="150">
        <f>IF($B96="NA","NA",IF($B96&lt;=$D$14,0,MIN(IF($B96=($D$14+1),'Stage (7) Investment'!$I96,SUM($K95:Q95)),'Stage (8) Investment:Stage (10) Investment'!$I96)-SUM($K96:P96)))</f>
        <v>0</v>
      </c>
      <c r="R96" s="150">
        <f>IF($B96="NA","NA",IF($B96&lt;=$D$15,0,MIN(IF($B96=($D$15+1),'Stage (8) Investment'!$I96,SUM($K95:R95)),'Stage (9) Investment:Stage (10) Investment'!$I96)-SUM($K96:Q96)))</f>
        <v>0</v>
      </c>
      <c r="S96" s="150">
        <f>IF($B96="NA","NA",IF($B96&lt;=$D$16,0,MIN(IF($B96=($D$16+1),'Stage (9) Investment'!$I96,SUM($K95:S95)),'Stage (10) Investment'!$I96)-SUM($K96:R96)))</f>
        <v>0</v>
      </c>
      <c r="T96" s="151">
        <f>IF($B96="NA","NA",IF($B96&lt;=$D$17,0,IF($B96=($D$17+1),'Stage (10) Investment'!$I96,SUM($K95:T95))-SUM($K96:S96)))</f>
        <v>0</v>
      </c>
    </row>
    <row r="97" spans="1:20" x14ac:dyDescent="0.2">
      <c r="A97" s="86">
        <f t="shared" si="10"/>
        <v>2252</v>
      </c>
      <c r="B97" s="142">
        <f t="shared" si="11"/>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50">
        <f>IF(B97="NA","NA",IF(ISNUMBER(VLOOKUP($C97,'A4 Investment'!$A$24:$G$33,7,FALSE)),VLOOKUP($C97,'A4 Investment'!$A$24:$G$33,7,FALSE)*'A4 Investment'!G$18/12,0))</f>
        <v>0</v>
      </c>
      <c r="I97" s="151">
        <f t="shared" si="9"/>
        <v>8904.1666666666661</v>
      </c>
      <c r="J97" s="149">
        <f t="shared" si="12"/>
        <v>8904.1666666666661</v>
      </c>
      <c r="K97" s="150">
        <f>IF($B97="NA","NA",IF($B97&lt;=$D$8,0,MIN(IF($B97=($D$8+1),'Stage (1) Investment'!$I97,K96),'Stage (2) Investment:Stage (10) Investment'!$I97)))</f>
        <v>8904.1666666666661</v>
      </c>
      <c r="L97" s="150">
        <f>IF($B97="NA","NA",IF($B97&lt;=$D$9,0,MIN(IF($B97=($D$9+1),'Stage (2) Investment'!$I97,SUM($K96:L96)),'Stage (3) Investment:Stage (10) Investment'!$I97)-K97))</f>
        <v>0</v>
      </c>
      <c r="M97" s="150">
        <f>IF($B97="NA","NA",IF($B97&lt;=$D$10,0,MIN(IF($B97=($D$10+1),'Stage (3) Investment'!$I97,SUM($K96:M96)),'Stage (4) Investment:Stage (10) Investment'!$I97)-SUM($K97:L97)))</f>
        <v>0</v>
      </c>
      <c r="N97" s="150">
        <f>IF($B97="NA","NA",IF($B97&lt;=$D$11,0,MIN(IF($B97=($D$11+1),'Stage (4) Investment'!$I97,SUM($K96:N96)),'Stage (5) Investment:Stage (10) Investment'!$I97)-SUM($K97:M97)))</f>
        <v>0</v>
      </c>
      <c r="O97" s="150">
        <f>IF($B97="NA","NA",IF($B97&lt;=$D$12,0,MIN(IF($B97=($D$12+1),'Stage (5) Investment'!$I97,SUM($K96:O96)),'Stage (6) Investment:Stage (10) Investment'!$I97)-SUM($K97:N97)))</f>
        <v>0</v>
      </c>
      <c r="P97" s="150">
        <f>IF($B97="NA","NA",IF($B97&lt;=$D$13,0,MIN(IF($B97=($D$13+1),'Stage (6) Investment'!$I97,SUM($K96:P96)),'Stage (7) Investment:Stage (10) Investment'!$I97)-SUM($K97:O97)))</f>
        <v>0</v>
      </c>
      <c r="Q97" s="150">
        <f>IF($B97="NA","NA",IF($B97&lt;=$D$14,0,MIN(IF($B97=($D$14+1),'Stage (7) Investment'!$I97,SUM($K96:Q96)),'Stage (8) Investment:Stage (10) Investment'!$I97)-SUM($K97:P97)))</f>
        <v>0</v>
      </c>
      <c r="R97" s="150">
        <f>IF($B97="NA","NA",IF($B97&lt;=$D$15,0,MIN(IF($B97=($D$15+1),'Stage (8) Investment'!$I97,SUM($K96:R96)),'Stage (9) Investment:Stage (10) Investment'!$I97)-SUM($K97:Q97)))</f>
        <v>0</v>
      </c>
      <c r="S97" s="150">
        <f>IF($B97="NA","NA",IF($B97&lt;=$D$16,0,MIN(IF($B97=($D$16+1),'Stage (9) Investment'!$I97,SUM($K96:S96)),'Stage (10) Investment'!$I97)-SUM($K97:R97)))</f>
        <v>0</v>
      </c>
      <c r="T97" s="151">
        <f>IF($B97="NA","NA",IF($B97&lt;=$D$17,0,IF($B97=($D$17+1),'Stage (10) Investment'!$I97,SUM($K96:T96))-SUM($K97:S97)))</f>
        <v>0</v>
      </c>
    </row>
    <row r="98" spans="1:20" x14ac:dyDescent="0.2">
      <c r="A98" s="86">
        <f t="shared" si="10"/>
        <v>2283</v>
      </c>
      <c r="B98" s="142">
        <f t="shared" si="11"/>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50">
        <f>IF(B98="NA","NA",IF(ISNUMBER(VLOOKUP($C98,'A4 Investment'!$A$24:$G$33,7,FALSE)),VLOOKUP($C98,'A4 Investment'!$A$24:$G$33,7,FALSE)*'A4 Investment'!G$18/12,0))</f>
        <v>0</v>
      </c>
      <c r="I98" s="151">
        <f t="shared" si="9"/>
        <v>8904.1666666666661</v>
      </c>
      <c r="J98" s="149">
        <f t="shared" si="12"/>
        <v>8904.1666666666661</v>
      </c>
      <c r="K98" s="150">
        <f>IF($B98="NA","NA",IF($B98&lt;=$D$8,0,MIN(IF($B98=($D$8+1),'Stage (1) Investment'!$I98,K97),'Stage (2) Investment:Stage (10) Investment'!$I98)))</f>
        <v>8904.1666666666661</v>
      </c>
      <c r="L98" s="150">
        <f>IF($B98="NA","NA",IF($B98&lt;=$D$9,0,MIN(IF($B98=($D$9+1),'Stage (2) Investment'!$I98,SUM($K97:L97)),'Stage (3) Investment:Stage (10) Investment'!$I98)-K98))</f>
        <v>0</v>
      </c>
      <c r="M98" s="150">
        <f>IF($B98="NA","NA",IF($B98&lt;=$D$10,0,MIN(IF($B98=($D$10+1),'Stage (3) Investment'!$I98,SUM($K97:M97)),'Stage (4) Investment:Stage (10) Investment'!$I98)-SUM($K98:L98)))</f>
        <v>0</v>
      </c>
      <c r="N98" s="150">
        <f>IF($B98="NA","NA",IF($B98&lt;=$D$11,0,MIN(IF($B98=($D$11+1),'Stage (4) Investment'!$I98,SUM($K97:N97)),'Stage (5) Investment:Stage (10) Investment'!$I98)-SUM($K98:M98)))</f>
        <v>0</v>
      </c>
      <c r="O98" s="150">
        <f>IF($B98="NA","NA",IF($B98&lt;=$D$12,0,MIN(IF($B98=($D$12+1),'Stage (5) Investment'!$I98,SUM($K97:O97)),'Stage (6) Investment:Stage (10) Investment'!$I98)-SUM($K98:N98)))</f>
        <v>0</v>
      </c>
      <c r="P98" s="150">
        <f>IF($B98="NA","NA",IF($B98&lt;=$D$13,0,MIN(IF($B98=($D$13+1),'Stage (6) Investment'!$I98,SUM($K97:P97)),'Stage (7) Investment:Stage (10) Investment'!$I98)-SUM($K98:O98)))</f>
        <v>0</v>
      </c>
      <c r="Q98" s="150">
        <f>IF($B98="NA","NA",IF($B98&lt;=$D$14,0,MIN(IF($B98=($D$14+1),'Stage (7) Investment'!$I98,SUM($K97:Q97)),'Stage (8) Investment:Stage (10) Investment'!$I98)-SUM($K98:P98)))</f>
        <v>0</v>
      </c>
      <c r="R98" s="150">
        <f>IF($B98="NA","NA",IF($B98&lt;=$D$15,0,MIN(IF($B98=($D$15+1),'Stage (8) Investment'!$I98,SUM($K97:R97)),'Stage (9) Investment:Stage (10) Investment'!$I98)-SUM($K98:Q98)))</f>
        <v>0</v>
      </c>
      <c r="S98" s="150">
        <f>IF($B98="NA","NA",IF($B98&lt;=$D$16,0,MIN(IF($B98=($D$16+1),'Stage (9) Investment'!$I98,SUM($K97:S97)),'Stage (10) Investment'!$I98)-SUM($K98:R98)))</f>
        <v>0</v>
      </c>
      <c r="T98" s="151">
        <f>IF($B98="NA","NA",IF($B98&lt;=$D$17,0,IF($B98=($D$17+1),'Stage (10) Investment'!$I98,SUM($K97:T97))-SUM($K98:S98)))</f>
        <v>0</v>
      </c>
    </row>
    <row r="99" spans="1:20" x14ac:dyDescent="0.2">
      <c r="A99" s="86">
        <f t="shared" si="10"/>
        <v>2313</v>
      </c>
      <c r="B99" s="142">
        <f t="shared" si="11"/>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50">
        <f>IF(B99="NA","NA",IF(ISNUMBER(VLOOKUP($C99,'A4 Investment'!$A$24:$G$33,7,FALSE)),VLOOKUP($C99,'A4 Investment'!$A$24:$G$33,7,FALSE)*'A4 Investment'!G$18/12,0))</f>
        <v>0</v>
      </c>
      <c r="I99" s="151">
        <f t="shared" si="9"/>
        <v>8904.1666666666661</v>
      </c>
      <c r="J99" s="149">
        <f t="shared" si="12"/>
        <v>8904.1666666666661</v>
      </c>
      <c r="K99" s="150">
        <f>IF($B99="NA","NA",IF($B99&lt;=$D$8,0,MIN(IF($B99=($D$8+1),'Stage (1) Investment'!$I99,K98),'Stage (2) Investment:Stage (10) Investment'!$I99)))</f>
        <v>8904.1666666666661</v>
      </c>
      <c r="L99" s="150">
        <f>IF($B99="NA","NA",IF($B99&lt;=$D$9,0,MIN(IF($B99=($D$9+1),'Stage (2) Investment'!$I99,SUM($K98:L98)),'Stage (3) Investment:Stage (10) Investment'!$I99)-K99))</f>
        <v>0</v>
      </c>
      <c r="M99" s="150">
        <f>IF($B99="NA","NA",IF($B99&lt;=$D$10,0,MIN(IF($B99=($D$10+1),'Stage (3) Investment'!$I99,SUM($K98:M98)),'Stage (4) Investment:Stage (10) Investment'!$I99)-SUM($K99:L99)))</f>
        <v>0</v>
      </c>
      <c r="N99" s="150">
        <f>IF($B99="NA","NA",IF($B99&lt;=$D$11,0,MIN(IF($B99=($D$11+1),'Stage (4) Investment'!$I99,SUM($K98:N98)),'Stage (5) Investment:Stage (10) Investment'!$I99)-SUM($K99:M99)))</f>
        <v>0</v>
      </c>
      <c r="O99" s="150">
        <f>IF($B99="NA","NA",IF($B99&lt;=$D$12,0,MIN(IF($B99=($D$12+1),'Stage (5) Investment'!$I99,SUM($K98:O98)),'Stage (6) Investment:Stage (10) Investment'!$I99)-SUM($K99:N99)))</f>
        <v>0</v>
      </c>
      <c r="P99" s="150">
        <f>IF($B99="NA","NA",IF($B99&lt;=$D$13,0,MIN(IF($B99=($D$13+1),'Stage (6) Investment'!$I99,SUM($K98:P98)),'Stage (7) Investment:Stage (10) Investment'!$I99)-SUM($K99:O99)))</f>
        <v>0</v>
      </c>
      <c r="Q99" s="150">
        <f>IF($B99="NA","NA",IF($B99&lt;=$D$14,0,MIN(IF($B99=($D$14+1),'Stage (7) Investment'!$I99,SUM($K98:Q98)),'Stage (8) Investment:Stage (10) Investment'!$I99)-SUM($K99:P99)))</f>
        <v>0</v>
      </c>
      <c r="R99" s="150">
        <f>IF($B99="NA","NA",IF($B99&lt;=$D$15,0,MIN(IF($B99=($D$15+1),'Stage (8) Investment'!$I99,SUM($K98:R98)),'Stage (9) Investment:Stage (10) Investment'!$I99)-SUM($K99:Q99)))</f>
        <v>0</v>
      </c>
      <c r="S99" s="150">
        <f>IF($B99="NA","NA",IF($B99&lt;=$D$16,0,MIN(IF($B99=($D$16+1),'Stage (9) Investment'!$I99,SUM($K98:S98)),'Stage (10) Investment'!$I99)-SUM($K99:R99)))</f>
        <v>0</v>
      </c>
      <c r="T99" s="151">
        <f>IF($B99="NA","NA",IF($B99&lt;=$D$17,0,IF($B99=($D$17+1),'Stage (10) Investment'!$I99,SUM($K98:T98))-SUM($K99:S99)))</f>
        <v>0</v>
      </c>
    </row>
    <row r="100" spans="1:20" x14ac:dyDescent="0.2">
      <c r="A100" s="86">
        <f t="shared" si="10"/>
        <v>2344</v>
      </c>
      <c r="B100" s="142">
        <f t="shared" si="11"/>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50">
        <f>IF(B100="NA","NA",IF(ISNUMBER(VLOOKUP($C100,'A4 Investment'!$A$24:$G$33,7,FALSE)),VLOOKUP($C100,'A4 Investment'!$A$24:$G$33,7,FALSE)*'A4 Investment'!G$18/12,0))</f>
        <v>0</v>
      </c>
      <c r="I100" s="151">
        <f t="shared" si="9"/>
        <v>8904.1666666666661</v>
      </c>
      <c r="J100" s="149">
        <f t="shared" si="12"/>
        <v>8904.1666666666661</v>
      </c>
      <c r="K100" s="150">
        <f>IF($B100="NA","NA",IF($B100&lt;=$D$8,0,MIN(IF($B100=($D$8+1),'Stage (1) Investment'!$I100,K99),'Stage (2) Investment:Stage (10) Investment'!$I100)))</f>
        <v>8904.1666666666661</v>
      </c>
      <c r="L100" s="150">
        <f>IF($B100="NA","NA",IF($B100&lt;=$D$9,0,MIN(IF($B100=($D$9+1),'Stage (2) Investment'!$I100,SUM($K99:L99)),'Stage (3) Investment:Stage (10) Investment'!$I100)-K100))</f>
        <v>0</v>
      </c>
      <c r="M100" s="150">
        <f>IF($B100="NA","NA",IF($B100&lt;=$D$10,0,MIN(IF($B100=($D$10+1),'Stage (3) Investment'!$I100,SUM($K99:M99)),'Stage (4) Investment:Stage (10) Investment'!$I100)-SUM($K100:L100)))</f>
        <v>0</v>
      </c>
      <c r="N100" s="150">
        <f>IF($B100="NA","NA",IF($B100&lt;=$D$11,0,MIN(IF($B100=($D$11+1),'Stage (4) Investment'!$I100,SUM($K99:N99)),'Stage (5) Investment:Stage (10) Investment'!$I100)-SUM($K100:M100)))</f>
        <v>0</v>
      </c>
      <c r="O100" s="150">
        <f>IF($B100="NA","NA",IF($B100&lt;=$D$12,0,MIN(IF($B100=($D$12+1),'Stage (5) Investment'!$I100,SUM($K99:O99)),'Stage (6) Investment:Stage (10) Investment'!$I100)-SUM($K100:N100)))</f>
        <v>0</v>
      </c>
      <c r="P100" s="150">
        <f>IF($B100="NA","NA",IF($B100&lt;=$D$13,0,MIN(IF($B100=($D$13+1),'Stage (6) Investment'!$I100,SUM($K99:P99)),'Stage (7) Investment:Stage (10) Investment'!$I100)-SUM($K100:O100)))</f>
        <v>0</v>
      </c>
      <c r="Q100" s="150">
        <f>IF($B100="NA","NA",IF($B100&lt;=$D$14,0,MIN(IF($B100=($D$14+1),'Stage (7) Investment'!$I100,SUM($K99:Q99)),'Stage (8) Investment:Stage (10) Investment'!$I100)-SUM($K100:P100)))</f>
        <v>0</v>
      </c>
      <c r="R100" s="150">
        <f>IF($B100="NA","NA",IF($B100&lt;=$D$15,0,MIN(IF($B100=($D$15+1),'Stage (8) Investment'!$I100,SUM($K99:R99)),'Stage (9) Investment:Stage (10) Investment'!$I100)-SUM($K100:Q100)))</f>
        <v>0</v>
      </c>
      <c r="S100" s="150">
        <f>IF($B100="NA","NA",IF($B100&lt;=$D$16,0,MIN(IF($B100=($D$16+1),'Stage (9) Investment'!$I100,SUM($K99:S99)),'Stage (10) Investment'!$I100)-SUM($K100:R100)))</f>
        <v>0</v>
      </c>
      <c r="T100" s="151">
        <f>IF($B100="NA","NA",IF($B100&lt;=$D$17,0,IF($B100=($D$17+1),'Stage (10) Investment'!$I100,SUM($K99:T99))-SUM($K100:S100)))</f>
        <v>0</v>
      </c>
    </row>
    <row r="101" spans="1:20" x14ac:dyDescent="0.2">
      <c r="A101" s="86">
        <f t="shared" si="10"/>
        <v>2374</v>
      </c>
      <c r="B101" s="142">
        <f t="shared" si="11"/>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50">
        <f>IF(B101="NA","NA",IF(ISNUMBER(VLOOKUP($C101,'A4 Investment'!$A$24:$G$33,7,FALSE)),VLOOKUP($C101,'A4 Investment'!$A$24:$G$33,7,FALSE)*'A4 Investment'!G$18/12,0))</f>
        <v>0</v>
      </c>
      <c r="I101" s="151">
        <f t="shared" si="9"/>
        <v>8904.1666666666661</v>
      </c>
      <c r="J101" s="149">
        <f t="shared" si="12"/>
        <v>8904.1666666666661</v>
      </c>
      <c r="K101" s="150">
        <f>IF($B101="NA","NA",IF($B101&lt;=$D$8,0,MIN(IF($B101=($D$8+1),'Stage (1) Investment'!$I101,K100),'Stage (2) Investment:Stage (10) Investment'!$I101)))</f>
        <v>8904.1666666666661</v>
      </c>
      <c r="L101" s="150">
        <f>IF($B101="NA","NA",IF($B101&lt;=$D$9,0,MIN(IF($B101=($D$9+1),'Stage (2) Investment'!$I101,SUM($K100:L100)),'Stage (3) Investment:Stage (10) Investment'!$I101)-K101))</f>
        <v>0</v>
      </c>
      <c r="M101" s="150">
        <f>IF($B101="NA","NA",IF($B101&lt;=$D$10,0,MIN(IF($B101=($D$10+1),'Stage (3) Investment'!$I101,SUM($K100:M100)),'Stage (4) Investment:Stage (10) Investment'!$I101)-SUM($K101:L101)))</f>
        <v>0</v>
      </c>
      <c r="N101" s="150">
        <f>IF($B101="NA","NA",IF($B101&lt;=$D$11,0,MIN(IF($B101=($D$11+1),'Stage (4) Investment'!$I101,SUM($K100:N100)),'Stage (5) Investment:Stage (10) Investment'!$I101)-SUM($K101:M101)))</f>
        <v>0</v>
      </c>
      <c r="O101" s="150">
        <f>IF($B101="NA","NA",IF($B101&lt;=$D$12,0,MIN(IF($B101=($D$12+1),'Stage (5) Investment'!$I101,SUM($K100:O100)),'Stage (6) Investment:Stage (10) Investment'!$I101)-SUM($K101:N101)))</f>
        <v>0</v>
      </c>
      <c r="P101" s="150">
        <f>IF($B101="NA","NA",IF($B101&lt;=$D$13,0,MIN(IF($B101=($D$13+1),'Stage (6) Investment'!$I101,SUM($K100:P100)),'Stage (7) Investment:Stage (10) Investment'!$I101)-SUM($K101:O101)))</f>
        <v>0</v>
      </c>
      <c r="Q101" s="150">
        <f>IF($B101="NA","NA",IF($B101&lt;=$D$14,0,MIN(IF($B101=($D$14+1),'Stage (7) Investment'!$I101,SUM($K100:Q100)),'Stage (8) Investment:Stage (10) Investment'!$I101)-SUM($K101:P101)))</f>
        <v>0</v>
      </c>
      <c r="R101" s="150">
        <f>IF($B101="NA","NA",IF($B101&lt;=$D$15,0,MIN(IF($B101=($D$15+1),'Stage (8) Investment'!$I101,SUM($K100:R100)),'Stage (9) Investment:Stage (10) Investment'!$I101)-SUM($K101:Q101)))</f>
        <v>0</v>
      </c>
      <c r="S101" s="150">
        <f>IF($B101="NA","NA",IF($B101&lt;=$D$16,0,MIN(IF($B101=($D$16+1),'Stage (9) Investment'!$I101,SUM($K100:S100)),'Stage (10) Investment'!$I101)-SUM($K101:R101)))</f>
        <v>0</v>
      </c>
      <c r="T101" s="151">
        <f>IF($B101="NA","NA",IF($B101&lt;=$D$17,0,IF($B101=($D$17+1),'Stage (10) Investment'!$I101,SUM($K100:T100))-SUM($K101:S101)))</f>
        <v>0</v>
      </c>
    </row>
    <row r="102" spans="1:20" x14ac:dyDescent="0.2">
      <c r="A102" s="86">
        <f t="shared" si="10"/>
        <v>2405</v>
      </c>
      <c r="B102" s="142">
        <f t="shared" si="11"/>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50">
        <f>IF(B102="NA","NA",IF(ISNUMBER(VLOOKUP($C102,'A4 Investment'!$A$24:$G$33,7,FALSE)),VLOOKUP($C102,'A4 Investment'!$A$24:$G$33,7,FALSE)*'A4 Investment'!G$18/12,0))</f>
        <v>0</v>
      </c>
      <c r="I102" s="151">
        <f t="shared" si="9"/>
        <v>8904.1666666666661</v>
      </c>
      <c r="J102" s="149">
        <f t="shared" si="12"/>
        <v>8904.1666666666661</v>
      </c>
      <c r="K102" s="150">
        <f>IF($B102="NA","NA",IF($B102&lt;=$D$8,0,MIN(IF($B102=($D$8+1),'Stage (1) Investment'!$I102,K101),'Stage (2) Investment:Stage (10) Investment'!$I102)))</f>
        <v>8904.1666666666661</v>
      </c>
      <c r="L102" s="150">
        <f>IF($B102="NA","NA",IF($B102&lt;=$D$9,0,MIN(IF($B102=($D$9+1),'Stage (2) Investment'!$I102,SUM($K101:L101)),'Stage (3) Investment:Stage (10) Investment'!$I102)-K102))</f>
        <v>0</v>
      </c>
      <c r="M102" s="150">
        <f>IF($B102="NA","NA",IF($B102&lt;=$D$10,0,MIN(IF($B102=($D$10+1),'Stage (3) Investment'!$I102,SUM($K101:M101)),'Stage (4) Investment:Stage (10) Investment'!$I102)-SUM($K102:L102)))</f>
        <v>0</v>
      </c>
      <c r="N102" s="150">
        <f>IF($B102="NA","NA",IF($B102&lt;=$D$11,0,MIN(IF($B102=($D$11+1),'Stage (4) Investment'!$I102,SUM($K101:N101)),'Stage (5) Investment:Stage (10) Investment'!$I102)-SUM($K102:M102)))</f>
        <v>0</v>
      </c>
      <c r="O102" s="150">
        <f>IF($B102="NA","NA",IF($B102&lt;=$D$12,0,MIN(IF($B102=($D$12+1),'Stage (5) Investment'!$I102,SUM($K101:O101)),'Stage (6) Investment:Stage (10) Investment'!$I102)-SUM($K102:N102)))</f>
        <v>0</v>
      </c>
      <c r="P102" s="150">
        <f>IF($B102="NA","NA",IF($B102&lt;=$D$13,0,MIN(IF($B102=($D$13+1),'Stage (6) Investment'!$I102,SUM($K101:P101)),'Stage (7) Investment:Stage (10) Investment'!$I102)-SUM($K102:O102)))</f>
        <v>0</v>
      </c>
      <c r="Q102" s="150">
        <f>IF($B102="NA","NA",IF($B102&lt;=$D$14,0,MIN(IF($B102=($D$14+1),'Stage (7) Investment'!$I102,SUM($K101:Q101)),'Stage (8) Investment:Stage (10) Investment'!$I102)-SUM($K102:P102)))</f>
        <v>0</v>
      </c>
      <c r="R102" s="150">
        <f>IF($B102="NA","NA",IF($B102&lt;=$D$15,0,MIN(IF($B102=($D$15+1),'Stage (8) Investment'!$I102,SUM($K101:R101)),'Stage (9) Investment:Stage (10) Investment'!$I102)-SUM($K102:Q102)))</f>
        <v>0</v>
      </c>
      <c r="S102" s="150">
        <f>IF($B102="NA","NA",IF($B102&lt;=$D$16,0,MIN(IF($B102=($D$16+1),'Stage (9) Investment'!$I102,SUM($K101:S101)),'Stage (10) Investment'!$I102)-SUM($K102:R102)))</f>
        <v>0</v>
      </c>
      <c r="T102" s="151">
        <f>IF($B102="NA","NA",IF($B102&lt;=$D$17,0,IF($B102=($D$17+1),'Stage (10) Investment'!$I102,SUM($K101:T101))-SUM($K102:S102)))</f>
        <v>0</v>
      </c>
    </row>
    <row r="103" spans="1:20" x14ac:dyDescent="0.2">
      <c r="A103" s="86">
        <f t="shared" si="10"/>
        <v>2436</v>
      </c>
      <c r="B103" s="142">
        <f t="shared" si="11"/>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50">
        <f>IF(B103="NA","NA",IF(ISNUMBER(VLOOKUP($C103,'A4 Investment'!$A$24:$G$33,7,FALSE)),VLOOKUP($C103,'A4 Investment'!$A$24:$G$33,7,FALSE)*'A4 Investment'!G$18/12,0))</f>
        <v>0</v>
      </c>
      <c r="I103" s="151">
        <f t="shared" si="9"/>
        <v>8904.1666666666661</v>
      </c>
      <c r="J103" s="149">
        <f t="shared" si="12"/>
        <v>8904.1666666666661</v>
      </c>
      <c r="K103" s="150">
        <f>IF($B103="NA","NA",IF($B103&lt;=$D$8,0,MIN(IF($B103=($D$8+1),'Stage (1) Investment'!$I103,K102),'Stage (2) Investment:Stage (10) Investment'!$I103)))</f>
        <v>8904.1666666666661</v>
      </c>
      <c r="L103" s="150">
        <f>IF($B103="NA","NA",IF($B103&lt;=$D$9,0,MIN(IF($B103=($D$9+1),'Stage (2) Investment'!$I103,SUM($K102:L102)),'Stage (3) Investment:Stage (10) Investment'!$I103)-K103))</f>
        <v>0</v>
      </c>
      <c r="M103" s="150">
        <f>IF($B103="NA","NA",IF($B103&lt;=$D$10,0,MIN(IF($B103=($D$10+1),'Stage (3) Investment'!$I103,SUM($K102:M102)),'Stage (4) Investment:Stage (10) Investment'!$I103)-SUM($K103:L103)))</f>
        <v>0</v>
      </c>
      <c r="N103" s="150">
        <f>IF($B103="NA","NA",IF($B103&lt;=$D$11,0,MIN(IF($B103=($D$11+1),'Stage (4) Investment'!$I103,SUM($K102:N102)),'Stage (5) Investment:Stage (10) Investment'!$I103)-SUM($K103:M103)))</f>
        <v>0</v>
      </c>
      <c r="O103" s="150">
        <f>IF($B103="NA","NA",IF($B103&lt;=$D$12,0,MIN(IF($B103=($D$12+1),'Stage (5) Investment'!$I103,SUM($K102:O102)),'Stage (6) Investment:Stage (10) Investment'!$I103)-SUM($K103:N103)))</f>
        <v>0</v>
      </c>
      <c r="P103" s="150">
        <f>IF($B103="NA","NA",IF($B103&lt;=$D$13,0,MIN(IF($B103=($D$13+1),'Stage (6) Investment'!$I103,SUM($K102:P102)),'Stage (7) Investment:Stage (10) Investment'!$I103)-SUM($K103:O103)))</f>
        <v>0</v>
      </c>
      <c r="Q103" s="150">
        <f>IF($B103="NA","NA",IF($B103&lt;=$D$14,0,MIN(IF($B103=($D$14+1),'Stage (7) Investment'!$I103,SUM($K102:Q102)),'Stage (8) Investment:Stage (10) Investment'!$I103)-SUM($K103:P103)))</f>
        <v>0</v>
      </c>
      <c r="R103" s="150">
        <f>IF($B103="NA","NA",IF($B103&lt;=$D$15,0,MIN(IF($B103=($D$15+1),'Stage (8) Investment'!$I103,SUM($K102:R102)),'Stage (9) Investment:Stage (10) Investment'!$I103)-SUM($K103:Q103)))</f>
        <v>0</v>
      </c>
      <c r="S103" s="150">
        <f>IF($B103="NA","NA",IF($B103&lt;=$D$16,0,MIN(IF($B103=($D$16+1),'Stage (9) Investment'!$I103,SUM($K102:S102)),'Stage (10) Investment'!$I103)-SUM($K103:R103)))</f>
        <v>0</v>
      </c>
      <c r="T103" s="151">
        <f>IF($B103="NA","NA",IF($B103&lt;=$D$17,0,IF($B103=($D$17+1),'Stage (10) Investment'!$I103,SUM($K102:T102))-SUM($K103:S103)))</f>
        <v>0</v>
      </c>
    </row>
    <row r="104" spans="1:20" x14ac:dyDescent="0.2">
      <c r="A104" s="86">
        <f t="shared" si="10"/>
        <v>2466</v>
      </c>
      <c r="B104" s="142">
        <f t="shared" si="11"/>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50">
        <f>IF(B104="NA","NA",IF(ISNUMBER(VLOOKUP($C104,'A4 Investment'!$A$24:$G$33,7,FALSE)),VLOOKUP($C104,'A4 Investment'!$A$24:$G$33,7,FALSE)*'A4 Investment'!G$18/12,0))</f>
        <v>0</v>
      </c>
      <c r="I104" s="151">
        <f t="shared" si="9"/>
        <v>8904.1666666666661</v>
      </c>
      <c r="J104" s="149">
        <f t="shared" si="12"/>
        <v>8904.1666666666661</v>
      </c>
      <c r="K104" s="150">
        <f>IF($B104="NA","NA",IF($B104&lt;=$D$8,0,MIN(IF($B104=($D$8+1),'Stage (1) Investment'!$I104,K103),'Stage (2) Investment:Stage (10) Investment'!$I104)))</f>
        <v>8904.1666666666661</v>
      </c>
      <c r="L104" s="150">
        <f>IF($B104="NA","NA",IF($B104&lt;=$D$9,0,MIN(IF($B104=($D$9+1),'Stage (2) Investment'!$I104,SUM($K103:L103)),'Stage (3) Investment:Stage (10) Investment'!$I104)-K104))</f>
        <v>0</v>
      </c>
      <c r="M104" s="150">
        <f>IF($B104="NA","NA",IF($B104&lt;=$D$10,0,MIN(IF($B104=($D$10+1),'Stage (3) Investment'!$I104,SUM($K103:M103)),'Stage (4) Investment:Stage (10) Investment'!$I104)-SUM($K104:L104)))</f>
        <v>0</v>
      </c>
      <c r="N104" s="150">
        <f>IF($B104="NA","NA",IF($B104&lt;=$D$11,0,MIN(IF($B104=($D$11+1),'Stage (4) Investment'!$I104,SUM($K103:N103)),'Stage (5) Investment:Stage (10) Investment'!$I104)-SUM($K104:M104)))</f>
        <v>0</v>
      </c>
      <c r="O104" s="150">
        <f>IF($B104="NA","NA",IF($B104&lt;=$D$12,0,MIN(IF($B104=($D$12+1),'Stage (5) Investment'!$I104,SUM($K103:O103)),'Stage (6) Investment:Stage (10) Investment'!$I104)-SUM($K104:N104)))</f>
        <v>0</v>
      </c>
      <c r="P104" s="150">
        <f>IF($B104="NA","NA",IF($B104&lt;=$D$13,0,MIN(IF($B104=($D$13+1),'Stage (6) Investment'!$I104,SUM($K103:P103)),'Stage (7) Investment:Stage (10) Investment'!$I104)-SUM($K104:O104)))</f>
        <v>0</v>
      </c>
      <c r="Q104" s="150">
        <f>IF($B104="NA","NA",IF($B104&lt;=$D$14,0,MIN(IF($B104=($D$14+1),'Stage (7) Investment'!$I104,SUM($K103:Q103)),'Stage (8) Investment:Stage (10) Investment'!$I104)-SUM($K104:P104)))</f>
        <v>0</v>
      </c>
      <c r="R104" s="150">
        <f>IF($B104="NA","NA",IF($B104&lt;=$D$15,0,MIN(IF($B104=($D$15+1),'Stage (8) Investment'!$I104,SUM($K103:R103)),'Stage (9) Investment:Stage (10) Investment'!$I104)-SUM($K104:Q104)))</f>
        <v>0</v>
      </c>
      <c r="S104" s="150">
        <f>IF($B104="NA","NA",IF($B104&lt;=$D$16,0,MIN(IF($B104=($D$16+1),'Stage (9) Investment'!$I104,SUM($K103:S103)),'Stage (10) Investment'!$I104)-SUM($K104:R104)))</f>
        <v>0</v>
      </c>
      <c r="T104" s="151">
        <f>IF($B104="NA","NA",IF($B104&lt;=$D$17,0,IF($B104=($D$17+1),'Stage (10) Investment'!$I104,SUM($K103:T103))-SUM($K104:S104)))</f>
        <v>0</v>
      </c>
    </row>
    <row r="105" spans="1:20" x14ac:dyDescent="0.2">
      <c r="A105" s="86">
        <f t="shared" si="10"/>
        <v>2497</v>
      </c>
      <c r="B105" s="142">
        <f t="shared" si="11"/>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50">
        <f>IF(B105="NA","NA",IF(ISNUMBER(VLOOKUP($C105,'A4 Investment'!$A$24:$G$33,7,FALSE)),VLOOKUP($C105,'A4 Investment'!$A$24:$G$33,7,FALSE)*'A4 Investment'!G$18/12,0))</f>
        <v>0</v>
      </c>
      <c r="I105" s="151">
        <f t="shared" si="9"/>
        <v>8904.1666666666661</v>
      </c>
      <c r="J105" s="149">
        <f t="shared" si="12"/>
        <v>8904.1666666666661</v>
      </c>
      <c r="K105" s="150">
        <f>IF($B105="NA","NA",IF($B105&lt;=$D$8,0,MIN(IF($B105=($D$8+1),'Stage (1) Investment'!$I105,K104),'Stage (2) Investment:Stage (10) Investment'!$I105)))</f>
        <v>8904.1666666666661</v>
      </c>
      <c r="L105" s="150">
        <f>IF($B105="NA","NA",IF($B105&lt;=$D$9,0,MIN(IF($B105=($D$9+1),'Stage (2) Investment'!$I105,SUM($K104:L104)),'Stage (3) Investment:Stage (10) Investment'!$I105)-K105))</f>
        <v>0</v>
      </c>
      <c r="M105" s="150">
        <f>IF($B105="NA","NA",IF($B105&lt;=$D$10,0,MIN(IF($B105=($D$10+1),'Stage (3) Investment'!$I105,SUM($K104:M104)),'Stage (4) Investment:Stage (10) Investment'!$I105)-SUM($K105:L105)))</f>
        <v>0</v>
      </c>
      <c r="N105" s="150">
        <f>IF($B105="NA","NA",IF($B105&lt;=$D$11,0,MIN(IF($B105=($D$11+1),'Stage (4) Investment'!$I105,SUM($K104:N104)),'Stage (5) Investment:Stage (10) Investment'!$I105)-SUM($K105:M105)))</f>
        <v>0</v>
      </c>
      <c r="O105" s="150">
        <f>IF($B105="NA","NA",IF($B105&lt;=$D$12,0,MIN(IF($B105=($D$12+1),'Stage (5) Investment'!$I105,SUM($K104:O104)),'Stage (6) Investment:Stage (10) Investment'!$I105)-SUM($K105:N105)))</f>
        <v>0</v>
      </c>
      <c r="P105" s="150">
        <f>IF($B105="NA","NA",IF($B105&lt;=$D$13,0,MIN(IF($B105=($D$13+1),'Stage (6) Investment'!$I105,SUM($K104:P104)),'Stage (7) Investment:Stage (10) Investment'!$I105)-SUM($K105:O105)))</f>
        <v>0</v>
      </c>
      <c r="Q105" s="150">
        <f>IF($B105="NA","NA",IF($B105&lt;=$D$14,0,MIN(IF($B105=($D$14+1),'Stage (7) Investment'!$I105,SUM($K104:Q104)),'Stage (8) Investment:Stage (10) Investment'!$I105)-SUM($K105:P105)))</f>
        <v>0</v>
      </c>
      <c r="R105" s="150">
        <f>IF($B105="NA","NA",IF($B105&lt;=$D$15,0,MIN(IF($B105=($D$15+1),'Stage (8) Investment'!$I105,SUM($K104:R104)),'Stage (9) Investment:Stage (10) Investment'!$I105)-SUM($K105:Q105)))</f>
        <v>0</v>
      </c>
      <c r="S105" s="150">
        <f>IF($B105="NA","NA",IF($B105&lt;=$D$16,0,MIN(IF($B105=($D$16+1),'Stage (9) Investment'!$I105,SUM($K104:S104)),'Stage (10) Investment'!$I105)-SUM($K105:R105)))</f>
        <v>0</v>
      </c>
      <c r="T105" s="151">
        <f>IF($B105="NA","NA",IF($B105&lt;=$D$17,0,IF($B105=($D$17+1),'Stage (10) Investment'!$I105,SUM($K104:T104))-SUM($K105:S105)))</f>
        <v>0</v>
      </c>
    </row>
    <row r="106" spans="1:20" x14ac:dyDescent="0.2">
      <c r="A106" s="86">
        <f t="shared" si="10"/>
        <v>2527</v>
      </c>
      <c r="B106" s="142">
        <f t="shared" si="11"/>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50">
        <f>IF(B106="NA","NA",IF(ISNUMBER(VLOOKUP($C106,'A4 Investment'!$A$24:$G$33,7,FALSE)),VLOOKUP($C106,'A4 Investment'!$A$24:$G$33,7,FALSE)*'A4 Investment'!G$18/12,0))</f>
        <v>0</v>
      </c>
      <c r="I106" s="151">
        <f t="shared" si="9"/>
        <v>8904.1666666666661</v>
      </c>
      <c r="J106" s="149">
        <f t="shared" si="12"/>
        <v>8904.1666666666661</v>
      </c>
      <c r="K106" s="150">
        <f>IF($B106="NA","NA",IF($B106&lt;=$D$8,0,MIN(IF($B106=($D$8+1),'Stage (1) Investment'!$I106,K105),'Stage (2) Investment:Stage (10) Investment'!$I106)))</f>
        <v>8904.1666666666661</v>
      </c>
      <c r="L106" s="150">
        <f>IF($B106="NA","NA",IF($B106&lt;=$D$9,0,MIN(IF($B106=($D$9+1),'Stage (2) Investment'!$I106,SUM($K105:L105)),'Stage (3) Investment:Stage (10) Investment'!$I106)-K106))</f>
        <v>0</v>
      </c>
      <c r="M106" s="150">
        <f>IF($B106="NA","NA",IF($B106&lt;=$D$10,0,MIN(IF($B106=($D$10+1),'Stage (3) Investment'!$I106,SUM($K105:M105)),'Stage (4) Investment:Stage (10) Investment'!$I106)-SUM($K106:L106)))</f>
        <v>0</v>
      </c>
      <c r="N106" s="150">
        <f>IF($B106="NA","NA",IF($B106&lt;=$D$11,0,MIN(IF($B106=($D$11+1),'Stage (4) Investment'!$I106,SUM($K105:N105)),'Stage (5) Investment:Stage (10) Investment'!$I106)-SUM($K106:M106)))</f>
        <v>0</v>
      </c>
      <c r="O106" s="150">
        <f>IF($B106="NA","NA",IF($B106&lt;=$D$12,0,MIN(IF($B106=($D$12+1),'Stage (5) Investment'!$I106,SUM($K105:O105)),'Stage (6) Investment:Stage (10) Investment'!$I106)-SUM($K106:N106)))</f>
        <v>0</v>
      </c>
      <c r="P106" s="150">
        <f>IF($B106="NA","NA",IF($B106&lt;=$D$13,0,MIN(IF($B106=($D$13+1),'Stage (6) Investment'!$I106,SUM($K105:P105)),'Stage (7) Investment:Stage (10) Investment'!$I106)-SUM($K106:O106)))</f>
        <v>0</v>
      </c>
      <c r="Q106" s="150">
        <f>IF($B106="NA","NA",IF($B106&lt;=$D$14,0,MIN(IF($B106=($D$14+1),'Stage (7) Investment'!$I106,SUM($K105:Q105)),'Stage (8) Investment:Stage (10) Investment'!$I106)-SUM($K106:P106)))</f>
        <v>0</v>
      </c>
      <c r="R106" s="150">
        <f>IF($B106="NA","NA",IF($B106&lt;=$D$15,0,MIN(IF($B106=($D$15+1),'Stage (8) Investment'!$I106,SUM($K105:R105)),'Stage (9) Investment:Stage (10) Investment'!$I106)-SUM($K106:Q106)))</f>
        <v>0</v>
      </c>
      <c r="S106" s="150">
        <f>IF($B106="NA","NA",IF($B106&lt;=$D$16,0,MIN(IF($B106=($D$16+1),'Stage (9) Investment'!$I106,SUM($K105:S105)),'Stage (10) Investment'!$I106)-SUM($K106:R106)))</f>
        <v>0</v>
      </c>
      <c r="T106" s="151">
        <f>IF($B106="NA","NA",IF($B106&lt;=$D$17,0,IF($B106=($D$17+1),'Stage (10) Investment'!$I106,SUM($K105:T105))-SUM($K106:S106)))</f>
        <v>0</v>
      </c>
    </row>
    <row r="107" spans="1:20" x14ac:dyDescent="0.2">
      <c r="A107" s="86">
        <f t="shared" si="10"/>
        <v>2558</v>
      </c>
      <c r="B107" s="142">
        <f t="shared" si="11"/>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50">
        <f>IF(B107="NA","NA",IF(ISNUMBER(VLOOKUP($C107,'A4 Investment'!$A$24:$G$33,7,FALSE)),VLOOKUP($C107,'A4 Investment'!$A$24:$G$33,7,FALSE)*'A4 Investment'!G$18/12,0))</f>
        <v>0</v>
      </c>
      <c r="I107" s="151">
        <f t="shared" si="9"/>
        <v>8904.1666666666661</v>
      </c>
      <c r="J107" s="149">
        <f t="shared" si="12"/>
        <v>8904.1666666666661</v>
      </c>
      <c r="K107" s="150">
        <f>IF($B107="NA","NA",IF($B107&lt;=$D$8,0,MIN(IF($B107=($D$8+1),'Stage (1) Investment'!$I107,K106),'Stage (2) Investment:Stage (10) Investment'!$I107)))</f>
        <v>8904.1666666666661</v>
      </c>
      <c r="L107" s="150">
        <f>IF($B107="NA","NA",IF($B107&lt;=$D$9,0,MIN(IF($B107=($D$9+1),'Stage (2) Investment'!$I107,SUM($K106:L106)),'Stage (3) Investment:Stage (10) Investment'!$I107)-K107))</f>
        <v>0</v>
      </c>
      <c r="M107" s="150">
        <f>IF($B107="NA","NA",IF($B107&lt;=$D$10,0,MIN(IF($B107=($D$10+1),'Stage (3) Investment'!$I107,SUM($K106:M106)),'Stage (4) Investment:Stage (10) Investment'!$I107)-SUM($K107:L107)))</f>
        <v>0</v>
      </c>
      <c r="N107" s="150">
        <f>IF($B107="NA","NA",IF($B107&lt;=$D$11,0,MIN(IF($B107=($D$11+1),'Stage (4) Investment'!$I107,SUM($K106:N106)),'Stage (5) Investment:Stage (10) Investment'!$I107)-SUM($K107:M107)))</f>
        <v>0</v>
      </c>
      <c r="O107" s="150">
        <f>IF($B107="NA","NA",IF($B107&lt;=$D$12,0,MIN(IF($B107=($D$12+1),'Stage (5) Investment'!$I107,SUM($K106:O106)),'Stage (6) Investment:Stage (10) Investment'!$I107)-SUM($K107:N107)))</f>
        <v>0</v>
      </c>
      <c r="P107" s="150">
        <f>IF($B107="NA","NA",IF($B107&lt;=$D$13,0,MIN(IF($B107=($D$13+1),'Stage (6) Investment'!$I107,SUM($K106:P106)),'Stage (7) Investment:Stage (10) Investment'!$I107)-SUM($K107:O107)))</f>
        <v>0</v>
      </c>
      <c r="Q107" s="150">
        <f>IF($B107="NA","NA",IF($B107&lt;=$D$14,0,MIN(IF($B107=($D$14+1),'Stage (7) Investment'!$I107,SUM($K106:Q106)),'Stage (8) Investment:Stage (10) Investment'!$I107)-SUM($K107:P107)))</f>
        <v>0</v>
      </c>
      <c r="R107" s="150">
        <f>IF($B107="NA","NA",IF($B107&lt;=$D$15,0,MIN(IF($B107=($D$15+1),'Stage (8) Investment'!$I107,SUM($K106:R106)),'Stage (9) Investment:Stage (10) Investment'!$I107)-SUM($K107:Q107)))</f>
        <v>0</v>
      </c>
      <c r="S107" s="150">
        <f>IF($B107="NA","NA",IF($B107&lt;=$D$16,0,MIN(IF($B107=($D$16+1),'Stage (9) Investment'!$I107,SUM($K106:S106)),'Stage (10) Investment'!$I107)-SUM($K107:R107)))</f>
        <v>0</v>
      </c>
      <c r="T107" s="151">
        <f>IF($B107="NA","NA",IF($B107&lt;=$D$17,0,IF($B107=($D$17+1),'Stage (10) Investment'!$I107,SUM($K106:T106))-SUM($K107:S107)))</f>
        <v>0</v>
      </c>
    </row>
    <row r="108" spans="1:20" x14ac:dyDescent="0.2">
      <c r="A108" s="86">
        <f t="shared" si="10"/>
        <v>2589</v>
      </c>
      <c r="B108" s="142">
        <f t="shared" si="11"/>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50">
        <f>IF(B108="NA","NA",IF(ISNUMBER(VLOOKUP($C108,'A4 Investment'!$A$24:$G$33,7,FALSE)),VLOOKUP($C108,'A4 Investment'!$A$24:$G$33,7,FALSE)*'A4 Investment'!G$18/12,0))</f>
        <v>0</v>
      </c>
      <c r="I108" s="151">
        <f t="shared" si="9"/>
        <v>8904.1666666666661</v>
      </c>
      <c r="J108" s="149">
        <f t="shared" si="12"/>
        <v>8904.1666666666661</v>
      </c>
      <c r="K108" s="150">
        <f>IF($B108="NA","NA",IF($B108&lt;=$D$8,0,MIN(IF($B108=($D$8+1),'Stage (1) Investment'!$I108,K107),'Stage (2) Investment:Stage (10) Investment'!$I108)))</f>
        <v>8904.1666666666661</v>
      </c>
      <c r="L108" s="150">
        <f>IF($B108="NA","NA",IF($B108&lt;=$D$9,0,MIN(IF($B108=($D$9+1),'Stage (2) Investment'!$I108,SUM($K107:L107)),'Stage (3) Investment:Stage (10) Investment'!$I108)-K108))</f>
        <v>0</v>
      </c>
      <c r="M108" s="150">
        <f>IF($B108="NA","NA",IF($B108&lt;=$D$10,0,MIN(IF($B108=($D$10+1),'Stage (3) Investment'!$I108,SUM($K107:M107)),'Stage (4) Investment:Stage (10) Investment'!$I108)-SUM($K108:L108)))</f>
        <v>0</v>
      </c>
      <c r="N108" s="150">
        <f>IF($B108="NA","NA",IF($B108&lt;=$D$11,0,MIN(IF($B108=($D$11+1),'Stage (4) Investment'!$I108,SUM($K107:N107)),'Stage (5) Investment:Stage (10) Investment'!$I108)-SUM($K108:M108)))</f>
        <v>0</v>
      </c>
      <c r="O108" s="150">
        <f>IF($B108="NA","NA",IF($B108&lt;=$D$12,0,MIN(IF($B108=($D$12+1),'Stage (5) Investment'!$I108,SUM($K107:O107)),'Stage (6) Investment:Stage (10) Investment'!$I108)-SUM($K108:N108)))</f>
        <v>0</v>
      </c>
      <c r="P108" s="150">
        <f>IF($B108="NA","NA",IF($B108&lt;=$D$13,0,MIN(IF($B108=($D$13+1),'Stage (6) Investment'!$I108,SUM($K107:P107)),'Stage (7) Investment:Stage (10) Investment'!$I108)-SUM($K108:O108)))</f>
        <v>0</v>
      </c>
      <c r="Q108" s="150">
        <f>IF($B108="NA","NA",IF($B108&lt;=$D$14,0,MIN(IF($B108=($D$14+1),'Stage (7) Investment'!$I108,SUM($K107:Q107)),'Stage (8) Investment:Stage (10) Investment'!$I108)-SUM($K108:P108)))</f>
        <v>0</v>
      </c>
      <c r="R108" s="150">
        <f>IF($B108="NA","NA",IF($B108&lt;=$D$15,0,MIN(IF($B108=($D$15+1),'Stage (8) Investment'!$I108,SUM($K107:R107)),'Stage (9) Investment:Stage (10) Investment'!$I108)-SUM($K108:Q108)))</f>
        <v>0</v>
      </c>
      <c r="S108" s="150">
        <f>IF($B108="NA","NA",IF($B108&lt;=$D$16,0,MIN(IF($B108=($D$16+1),'Stage (9) Investment'!$I108,SUM($K107:S107)),'Stage (10) Investment'!$I108)-SUM($K108:R108)))</f>
        <v>0</v>
      </c>
      <c r="T108" s="151">
        <f>IF($B108="NA","NA",IF($B108&lt;=$D$17,0,IF($B108=($D$17+1),'Stage (10) Investment'!$I108,SUM($K107:T107))-SUM($K108:S108)))</f>
        <v>0</v>
      </c>
    </row>
    <row r="109" spans="1:20" x14ac:dyDescent="0.2">
      <c r="A109" s="86">
        <f t="shared" si="10"/>
        <v>2617</v>
      </c>
      <c r="B109" s="142">
        <f t="shared" si="11"/>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50">
        <f>IF(B109="NA","NA",IF(ISNUMBER(VLOOKUP($C109,'A4 Investment'!$A$24:$G$33,7,FALSE)),VLOOKUP($C109,'A4 Investment'!$A$24:$G$33,7,FALSE)*'A4 Investment'!G$18/12,0))</f>
        <v>0</v>
      </c>
      <c r="I109" s="151">
        <f t="shared" si="9"/>
        <v>8904.1666666666661</v>
      </c>
      <c r="J109" s="149">
        <f t="shared" si="12"/>
        <v>8904.1666666666661</v>
      </c>
      <c r="K109" s="150">
        <f>IF($B109="NA","NA",IF($B109&lt;=$D$8,0,MIN(IF($B109=($D$8+1),'Stage (1) Investment'!$I109,K108),'Stage (2) Investment:Stage (10) Investment'!$I109)))</f>
        <v>8904.1666666666661</v>
      </c>
      <c r="L109" s="150">
        <f>IF($B109="NA","NA",IF($B109&lt;=$D$9,0,MIN(IF($B109=($D$9+1),'Stage (2) Investment'!$I109,SUM($K108:L108)),'Stage (3) Investment:Stage (10) Investment'!$I109)-K109))</f>
        <v>0</v>
      </c>
      <c r="M109" s="150">
        <f>IF($B109="NA","NA",IF($B109&lt;=$D$10,0,MIN(IF($B109=($D$10+1),'Stage (3) Investment'!$I109,SUM($K108:M108)),'Stage (4) Investment:Stage (10) Investment'!$I109)-SUM($K109:L109)))</f>
        <v>0</v>
      </c>
      <c r="N109" s="150">
        <f>IF($B109="NA","NA",IF($B109&lt;=$D$11,0,MIN(IF($B109=($D$11+1),'Stage (4) Investment'!$I109,SUM($K108:N108)),'Stage (5) Investment:Stage (10) Investment'!$I109)-SUM($K109:M109)))</f>
        <v>0</v>
      </c>
      <c r="O109" s="150">
        <f>IF($B109="NA","NA",IF($B109&lt;=$D$12,0,MIN(IF($B109=($D$12+1),'Stage (5) Investment'!$I109,SUM($K108:O108)),'Stage (6) Investment:Stage (10) Investment'!$I109)-SUM($K109:N109)))</f>
        <v>0</v>
      </c>
      <c r="P109" s="150">
        <f>IF($B109="NA","NA",IF($B109&lt;=$D$13,0,MIN(IF($B109=($D$13+1),'Stage (6) Investment'!$I109,SUM($K108:P108)),'Stage (7) Investment:Stage (10) Investment'!$I109)-SUM($K109:O109)))</f>
        <v>0</v>
      </c>
      <c r="Q109" s="150">
        <f>IF($B109="NA","NA",IF($B109&lt;=$D$14,0,MIN(IF($B109=($D$14+1),'Stage (7) Investment'!$I109,SUM($K108:Q108)),'Stage (8) Investment:Stage (10) Investment'!$I109)-SUM($K109:P109)))</f>
        <v>0</v>
      </c>
      <c r="R109" s="150">
        <f>IF($B109="NA","NA",IF($B109&lt;=$D$15,0,MIN(IF($B109=($D$15+1),'Stage (8) Investment'!$I109,SUM($K108:R108)),'Stage (9) Investment:Stage (10) Investment'!$I109)-SUM($K109:Q109)))</f>
        <v>0</v>
      </c>
      <c r="S109" s="150">
        <f>IF($B109="NA","NA",IF($B109&lt;=$D$16,0,MIN(IF($B109=($D$16+1),'Stage (9) Investment'!$I109,SUM($K108:S108)),'Stage (10) Investment'!$I109)-SUM($K109:R109)))</f>
        <v>0</v>
      </c>
      <c r="T109" s="151">
        <f>IF($B109="NA","NA",IF($B109&lt;=$D$17,0,IF($B109=($D$17+1),'Stage (10) Investment'!$I109,SUM($K108:T108))-SUM($K109:S109)))</f>
        <v>0</v>
      </c>
    </row>
    <row r="110" spans="1:20" x14ac:dyDescent="0.2">
      <c r="A110" s="86">
        <f t="shared" si="10"/>
        <v>2648</v>
      </c>
      <c r="B110" s="142">
        <f t="shared" si="11"/>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50">
        <f>IF(B110="NA","NA",IF(ISNUMBER(VLOOKUP($C110,'A4 Investment'!$A$24:$G$33,7,FALSE)),VLOOKUP($C110,'A4 Investment'!$A$24:$G$33,7,FALSE)*'A4 Investment'!G$18/12,0))</f>
        <v>0</v>
      </c>
      <c r="I110" s="151">
        <f t="shared" si="9"/>
        <v>8904.1666666666661</v>
      </c>
      <c r="J110" s="149">
        <f t="shared" si="12"/>
        <v>8904.1666666666661</v>
      </c>
      <c r="K110" s="150">
        <f>IF($B110="NA","NA",IF($B110&lt;=$D$8,0,MIN(IF($B110=($D$8+1),'Stage (1) Investment'!$I110,K109),'Stage (2) Investment:Stage (10) Investment'!$I110)))</f>
        <v>8904.1666666666661</v>
      </c>
      <c r="L110" s="150">
        <f>IF($B110="NA","NA",IF($B110&lt;=$D$9,0,MIN(IF($B110=($D$9+1),'Stage (2) Investment'!$I110,SUM($K109:L109)),'Stage (3) Investment:Stage (10) Investment'!$I110)-K110))</f>
        <v>0</v>
      </c>
      <c r="M110" s="150">
        <f>IF($B110="NA","NA",IF($B110&lt;=$D$10,0,MIN(IF($B110=($D$10+1),'Stage (3) Investment'!$I110,SUM($K109:M109)),'Stage (4) Investment:Stage (10) Investment'!$I110)-SUM($K110:L110)))</f>
        <v>0</v>
      </c>
      <c r="N110" s="150">
        <f>IF($B110="NA","NA",IF($B110&lt;=$D$11,0,MIN(IF($B110=($D$11+1),'Stage (4) Investment'!$I110,SUM($K109:N109)),'Stage (5) Investment:Stage (10) Investment'!$I110)-SUM($K110:M110)))</f>
        <v>0</v>
      </c>
      <c r="O110" s="150">
        <f>IF($B110="NA","NA",IF($B110&lt;=$D$12,0,MIN(IF($B110=($D$12+1),'Stage (5) Investment'!$I110,SUM($K109:O109)),'Stage (6) Investment:Stage (10) Investment'!$I110)-SUM($K110:N110)))</f>
        <v>0</v>
      </c>
      <c r="P110" s="150">
        <f>IF($B110="NA","NA",IF($B110&lt;=$D$13,0,MIN(IF($B110=($D$13+1),'Stage (6) Investment'!$I110,SUM($K109:P109)),'Stage (7) Investment:Stage (10) Investment'!$I110)-SUM($K110:O110)))</f>
        <v>0</v>
      </c>
      <c r="Q110" s="150">
        <f>IF($B110="NA","NA",IF($B110&lt;=$D$14,0,MIN(IF($B110=($D$14+1),'Stage (7) Investment'!$I110,SUM($K109:Q109)),'Stage (8) Investment:Stage (10) Investment'!$I110)-SUM($K110:P110)))</f>
        <v>0</v>
      </c>
      <c r="R110" s="150">
        <f>IF($B110="NA","NA",IF($B110&lt;=$D$15,0,MIN(IF($B110=($D$15+1),'Stage (8) Investment'!$I110,SUM($K109:R109)),'Stage (9) Investment:Stage (10) Investment'!$I110)-SUM($K110:Q110)))</f>
        <v>0</v>
      </c>
      <c r="S110" s="150">
        <f>IF($B110="NA","NA",IF($B110&lt;=$D$16,0,MIN(IF($B110=($D$16+1),'Stage (9) Investment'!$I110,SUM($K109:S109)),'Stage (10) Investment'!$I110)-SUM($K110:R110)))</f>
        <v>0</v>
      </c>
      <c r="T110" s="151">
        <f>IF($B110="NA","NA",IF($B110&lt;=$D$17,0,IF($B110=($D$17+1),'Stage (10) Investment'!$I110,SUM($K109:T109))-SUM($K110:S110)))</f>
        <v>0</v>
      </c>
    </row>
    <row r="111" spans="1:20" x14ac:dyDescent="0.2">
      <c r="A111" s="86">
        <f t="shared" si="10"/>
        <v>2678</v>
      </c>
      <c r="B111" s="142">
        <f t="shared" si="11"/>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50">
        <f>IF(B111="NA","NA",IF(ISNUMBER(VLOOKUP($C111,'A4 Investment'!$A$24:$G$33,7,FALSE)),VLOOKUP($C111,'A4 Investment'!$A$24:$G$33,7,FALSE)*'A4 Investment'!G$18/12,0))</f>
        <v>0</v>
      </c>
      <c r="I111" s="151">
        <f t="shared" si="9"/>
        <v>8904.1666666666661</v>
      </c>
      <c r="J111" s="149">
        <f t="shared" si="12"/>
        <v>8904.1666666666661</v>
      </c>
      <c r="K111" s="150">
        <f>IF($B111="NA","NA",IF($B111&lt;=$D$8,0,MIN(IF($B111=($D$8+1),'Stage (1) Investment'!$I111,K110),'Stage (2) Investment:Stage (10) Investment'!$I111)))</f>
        <v>8904.1666666666661</v>
      </c>
      <c r="L111" s="150">
        <f>IF($B111="NA","NA",IF($B111&lt;=$D$9,0,MIN(IF($B111=($D$9+1),'Stage (2) Investment'!$I111,SUM($K110:L110)),'Stage (3) Investment:Stage (10) Investment'!$I111)-K111))</f>
        <v>0</v>
      </c>
      <c r="M111" s="150">
        <f>IF($B111="NA","NA",IF($B111&lt;=$D$10,0,MIN(IF($B111=($D$10+1),'Stage (3) Investment'!$I111,SUM($K110:M110)),'Stage (4) Investment:Stage (10) Investment'!$I111)-SUM($K111:L111)))</f>
        <v>0</v>
      </c>
      <c r="N111" s="150">
        <f>IF($B111="NA","NA",IF($B111&lt;=$D$11,0,MIN(IF($B111=($D$11+1),'Stage (4) Investment'!$I111,SUM($K110:N110)),'Stage (5) Investment:Stage (10) Investment'!$I111)-SUM($K111:M111)))</f>
        <v>0</v>
      </c>
      <c r="O111" s="150">
        <f>IF($B111="NA","NA",IF($B111&lt;=$D$12,0,MIN(IF($B111=($D$12+1),'Stage (5) Investment'!$I111,SUM($K110:O110)),'Stage (6) Investment:Stage (10) Investment'!$I111)-SUM($K111:N111)))</f>
        <v>0</v>
      </c>
      <c r="P111" s="150">
        <f>IF($B111="NA","NA",IF($B111&lt;=$D$13,0,MIN(IF($B111=($D$13+1),'Stage (6) Investment'!$I111,SUM($K110:P110)),'Stage (7) Investment:Stage (10) Investment'!$I111)-SUM($K111:O111)))</f>
        <v>0</v>
      </c>
      <c r="Q111" s="150">
        <f>IF($B111="NA","NA",IF($B111&lt;=$D$14,0,MIN(IF($B111=($D$14+1),'Stage (7) Investment'!$I111,SUM($K110:Q110)),'Stage (8) Investment:Stage (10) Investment'!$I111)-SUM($K111:P111)))</f>
        <v>0</v>
      </c>
      <c r="R111" s="150">
        <f>IF($B111="NA","NA",IF($B111&lt;=$D$15,0,MIN(IF($B111=($D$15+1),'Stage (8) Investment'!$I111,SUM($K110:R110)),'Stage (9) Investment:Stage (10) Investment'!$I111)-SUM($K111:Q111)))</f>
        <v>0</v>
      </c>
      <c r="S111" s="150">
        <f>IF($B111="NA","NA",IF($B111&lt;=$D$16,0,MIN(IF($B111=($D$16+1),'Stage (9) Investment'!$I111,SUM($K110:S110)),'Stage (10) Investment'!$I111)-SUM($K111:R111)))</f>
        <v>0</v>
      </c>
      <c r="T111" s="151">
        <f>IF($B111="NA","NA",IF($B111&lt;=$D$17,0,IF($B111=($D$17+1),'Stage (10) Investment'!$I111,SUM($K110:T110))-SUM($K111:S111)))</f>
        <v>0</v>
      </c>
    </row>
    <row r="112" spans="1:20" x14ac:dyDescent="0.2">
      <c r="A112" s="86">
        <f t="shared" si="10"/>
        <v>2709</v>
      </c>
      <c r="B112" s="142">
        <f t="shared" si="11"/>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50">
        <f>IF(B112="NA","NA",IF(ISNUMBER(VLOOKUP($C112,'A4 Investment'!$A$24:$G$33,7,FALSE)),VLOOKUP($C112,'A4 Investment'!$A$24:$G$33,7,FALSE)*'A4 Investment'!G$18/12,0))</f>
        <v>0</v>
      </c>
      <c r="I112" s="151">
        <f t="shared" si="9"/>
        <v>8904.1666666666661</v>
      </c>
      <c r="J112" s="149">
        <f t="shared" si="12"/>
        <v>8904.1666666666661</v>
      </c>
      <c r="K112" s="150">
        <f>IF($B112="NA","NA",IF($B112&lt;=$D$8,0,MIN(IF($B112=($D$8+1),'Stage (1) Investment'!$I112,K111),'Stage (2) Investment:Stage (10) Investment'!$I112)))</f>
        <v>8904.1666666666661</v>
      </c>
      <c r="L112" s="150">
        <f>IF($B112="NA","NA",IF($B112&lt;=$D$9,0,MIN(IF($B112=($D$9+1),'Stage (2) Investment'!$I112,SUM($K111:L111)),'Stage (3) Investment:Stage (10) Investment'!$I112)-K112))</f>
        <v>0</v>
      </c>
      <c r="M112" s="150">
        <f>IF($B112="NA","NA",IF($B112&lt;=$D$10,0,MIN(IF($B112=($D$10+1),'Stage (3) Investment'!$I112,SUM($K111:M111)),'Stage (4) Investment:Stage (10) Investment'!$I112)-SUM($K112:L112)))</f>
        <v>0</v>
      </c>
      <c r="N112" s="150">
        <f>IF($B112="NA","NA",IF($B112&lt;=$D$11,0,MIN(IF($B112=($D$11+1),'Stage (4) Investment'!$I112,SUM($K111:N111)),'Stage (5) Investment:Stage (10) Investment'!$I112)-SUM($K112:M112)))</f>
        <v>0</v>
      </c>
      <c r="O112" s="150">
        <f>IF($B112="NA","NA",IF($B112&lt;=$D$12,0,MIN(IF($B112=($D$12+1),'Stage (5) Investment'!$I112,SUM($K111:O111)),'Stage (6) Investment:Stage (10) Investment'!$I112)-SUM($K112:N112)))</f>
        <v>0</v>
      </c>
      <c r="P112" s="150">
        <f>IF($B112="NA","NA",IF($B112&lt;=$D$13,0,MIN(IF($B112=($D$13+1),'Stage (6) Investment'!$I112,SUM($K111:P111)),'Stage (7) Investment:Stage (10) Investment'!$I112)-SUM($K112:O112)))</f>
        <v>0</v>
      </c>
      <c r="Q112" s="150">
        <f>IF($B112="NA","NA",IF($B112&lt;=$D$14,0,MIN(IF($B112=($D$14+1),'Stage (7) Investment'!$I112,SUM($K111:Q111)),'Stage (8) Investment:Stage (10) Investment'!$I112)-SUM($K112:P112)))</f>
        <v>0</v>
      </c>
      <c r="R112" s="150">
        <f>IF($B112="NA","NA",IF($B112&lt;=$D$15,0,MIN(IF($B112=($D$15+1),'Stage (8) Investment'!$I112,SUM($K111:R111)),'Stage (9) Investment:Stage (10) Investment'!$I112)-SUM($K112:Q112)))</f>
        <v>0</v>
      </c>
      <c r="S112" s="150">
        <f>IF($B112="NA","NA",IF($B112&lt;=$D$16,0,MIN(IF($B112=($D$16+1),'Stage (9) Investment'!$I112,SUM($K111:S111)),'Stage (10) Investment'!$I112)-SUM($K112:R112)))</f>
        <v>0</v>
      </c>
      <c r="T112" s="151">
        <f>IF($B112="NA","NA",IF($B112&lt;=$D$17,0,IF($B112=($D$17+1),'Stage (10) Investment'!$I112,SUM($K111:T111))-SUM($K112:S112)))</f>
        <v>0</v>
      </c>
    </row>
    <row r="113" spans="1:20" x14ac:dyDescent="0.2">
      <c r="A113" s="86">
        <f t="shared" si="10"/>
        <v>2739</v>
      </c>
      <c r="B113" s="142">
        <f t="shared" si="11"/>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50">
        <f>IF(B113="NA","NA",IF(ISNUMBER(VLOOKUP($C113,'A4 Investment'!$A$24:$G$33,7,FALSE)),VLOOKUP($C113,'A4 Investment'!$A$24:$G$33,7,FALSE)*'A4 Investment'!G$18/12,0))</f>
        <v>0</v>
      </c>
      <c r="I113" s="151">
        <f t="shared" si="9"/>
        <v>8904.1666666666661</v>
      </c>
      <c r="J113" s="149">
        <f t="shared" si="12"/>
        <v>8904.1666666666661</v>
      </c>
      <c r="K113" s="150">
        <f>IF($B113="NA","NA",IF($B113&lt;=$D$8,0,MIN(IF($B113=($D$8+1),'Stage (1) Investment'!$I113,K112),'Stage (2) Investment:Stage (10) Investment'!$I113)))</f>
        <v>8904.1666666666661</v>
      </c>
      <c r="L113" s="150">
        <f>IF($B113="NA","NA",IF($B113&lt;=$D$9,0,MIN(IF($B113=($D$9+1),'Stage (2) Investment'!$I113,SUM($K112:L112)),'Stage (3) Investment:Stage (10) Investment'!$I113)-K113))</f>
        <v>0</v>
      </c>
      <c r="M113" s="150">
        <f>IF($B113="NA","NA",IF($B113&lt;=$D$10,0,MIN(IF($B113=($D$10+1),'Stage (3) Investment'!$I113,SUM($K112:M112)),'Stage (4) Investment:Stage (10) Investment'!$I113)-SUM($K113:L113)))</f>
        <v>0</v>
      </c>
      <c r="N113" s="150">
        <f>IF($B113="NA","NA",IF($B113&lt;=$D$11,0,MIN(IF($B113=($D$11+1),'Stage (4) Investment'!$I113,SUM($K112:N112)),'Stage (5) Investment:Stage (10) Investment'!$I113)-SUM($K113:M113)))</f>
        <v>0</v>
      </c>
      <c r="O113" s="150">
        <f>IF($B113="NA","NA",IF($B113&lt;=$D$12,0,MIN(IF($B113=($D$12+1),'Stage (5) Investment'!$I113,SUM($K112:O112)),'Stage (6) Investment:Stage (10) Investment'!$I113)-SUM($K113:N113)))</f>
        <v>0</v>
      </c>
      <c r="P113" s="150">
        <f>IF($B113="NA","NA",IF($B113&lt;=$D$13,0,MIN(IF($B113=($D$13+1),'Stage (6) Investment'!$I113,SUM($K112:P112)),'Stage (7) Investment:Stage (10) Investment'!$I113)-SUM($K113:O113)))</f>
        <v>0</v>
      </c>
      <c r="Q113" s="150">
        <f>IF($B113="NA","NA",IF($B113&lt;=$D$14,0,MIN(IF($B113=($D$14+1),'Stage (7) Investment'!$I113,SUM($K112:Q112)),'Stage (8) Investment:Stage (10) Investment'!$I113)-SUM($K113:P113)))</f>
        <v>0</v>
      </c>
      <c r="R113" s="150">
        <f>IF($B113="NA","NA",IF($B113&lt;=$D$15,0,MIN(IF($B113=($D$15+1),'Stage (8) Investment'!$I113,SUM($K112:R112)),'Stage (9) Investment:Stage (10) Investment'!$I113)-SUM($K113:Q113)))</f>
        <v>0</v>
      </c>
      <c r="S113" s="150">
        <f>IF($B113="NA","NA",IF($B113&lt;=$D$16,0,MIN(IF($B113=($D$16+1),'Stage (9) Investment'!$I113,SUM($K112:S112)),'Stage (10) Investment'!$I113)-SUM($K113:R113)))</f>
        <v>0</v>
      </c>
      <c r="T113" s="151">
        <f>IF($B113="NA","NA",IF($B113&lt;=$D$17,0,IF($B113=($D$17+1),'Stage (10) Investment'!$I113,SUM($K112:T112))-SUM($K113:S113)))</f>
        <v>0</v>
      </c>
    </row>
    <row r="114" spans="1:20" x14ac:dyDescent="0.2">
      <c r="A114" s="86">
        <f t="shared" si="10"/>
        <v>2770</v>
      </c>
      <c r="B114" s="142">
        <f t="shared" si="11"/>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50">
        <f>IF(B114="NA","NA",IF(ISNUMBER(VLOOKUP($C114,'A4 Investment'!$A$24:$G$33,7,FALSE)),VLOOKUP($C114,'A4 Investment'!$A$24:$G$33,7,FALSE)*'A4 Investment'!G$18/12,0))</f>
        <v>0</v>
      </c>
      <c r="I114" s="151">
        <f t="shared" si="9"/>
        <v>8904.1666666666661</v>
      </c>
      <c r="J114" s="149">
        <f t="shared" si="12"/>
        <v>8904.1666666666661</v>
      </c>
      <c r="K114" s="150">
        <f>IF($B114="NA","NA",IF($B114&lt;=$D$8,0,MIN(IF($B114=($D$8+1),'Stage (1) Investment'!$I114,K113),'Stage (2) Investment:Stage (10) Investment'!$I114)))</f>
        <v>8904.1666666666661</v>
      </c>
      <c r="L114" s="150">
        <f>IF($B114="NA","NA",IF($B114&lt;=$D$9,0,MIN(IF($B114=($D$9+1),'Stage (2) Investment'!$I114,SUM($K113:L113)),'Stage (3) Investment:Stage (10) Investment'!$I114)-K114))</f>
        <v>0</v>
      </c>
      <c r="M114" s="150">
        <f>IF($B114="NA","NA",IF($B114&lt;=$D$10,0,MIN(IF($B114=($D$10+1),'Stage (3) Investment'!$I114,SUM($K113:M113)),'Stage (4) Investment:Stage (10) Investment'!$I114)-SUM($K114:L114)))</f>
        <v>0</v>
      </c>
      <c r="N114" s="150">
        <f>IF($B114="NA","NA",IF($B114&lt;=$D$11,0,MIN(IF($B114=($D$11+1),'Stage (4) Investment'!$I114,SUM($K113:N113)),'Stage (5) Investment:Stage (10) Investment'!$I114)-SUM($K114:M114)))</f>
        <v>0</v>
      </c>
      <c r="O114" s="150">
        <f>IF($B114="NA","NA",IF($B114&lt;=$D$12,0,MIN(IF($B114=($D$12+1),'Stage (5) Investment'!$I114,SUM($K113:O113)),'Stage (6) Investment:Stage (10) Investment'!$I114)-SUM($K114:N114)))</f>
        <v>0</v>
      </c>
      <c r="P114" s="150">
        <f>IF($B114="NA","NA",IF($B114&lt;=$D$13,0,MIN(IF($B114=($D$13+1),'Stage (6) Investment'!$I114,SUM($K113:P113)),'Stage (7) Investment:Stage (10) Investment'!$I114)-SUM($K114:O114)))</f>
        <v>0</v>
      </c>
      <c r="Q114" s="150">
        <f>IF($B114="NA","NA",IF($B114&lt;=$D$14,0,MIN(IF($B114=($D$14+1),'Stage (7) Investment'!$I114,SUM($K113:Q113)),'Stage (8) Investment:Stage (10) Investment'!$I114)-SUM($K114:P114)))</f>
        <v>0</v>
      </c>
      <c r="R114" s="150">
        <f>IF($B114="NA","NA",IF($B114&lt;=$D$15,0,MIN(IF($B114=($D$15+1),'Stage (8) Investment'!$I114,SUM($K113:R113)),'Stage (9) Investment:Stage (10) Investment'!$I114)-SUM($K114:Q114)))</f>
        <v>0</v>
      </c>
      <c r="S114" s="150">
        <f>IF($B114="NA","NA",IF($B114&lt;=$D$16,0,MIN(IF($B114=($D$16+1),'Stage (9) Investment'!$I114,SUM($K113:S113)),'Stage (10) Investment'!$I114)-SUM($K114:R114)))</f>
        <v>0</v>
      </c>
      <c r="T114" s="151">
        <f>IF($B114="NA","NA",IF($B114&lt;=$D$17,0,IF($B114=($D$17+1),'Stage (10) Investment'!$I114,SUM($K113:T113))-SUM($K114:S114)))</f>
        <v>0</v>
      </c>
    </row>
    <row r="115" spans="1:20" x14ac:dyDescent="0.2">
      <c r="A115" s="86">
        <f t="shared" si="10"/>
        <v>2801</v>
      </c>
      <c r="B115" s="142">
        <f t="shared" si="11"/>
        <v>93</v>
      </c>
      <c r="C115" s="143">
        <f t="shared" ref="C115:C146" si="13">IF(B115="NA","NA",MATCH(B115-1,$D$8:$D$18,1))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50">
        <f>IF(B115="NA","NA",IF(ISNUMBER(VLOOKUP($C115,'A4 Investment'!$A$24:$G$33,7,FALSE)),VLOOKUP($C115,'A4 Investment'!$A$24:$G$33,7,FALSE)*'A4 Investment'!G$18/12,0))</f>
        <v>0</v>
      </c>
      <c r="I115" s="151">
        <f t="shared" ref="I115:I146" si="14">IF(B115="NA","NA",SUM(D115:H115))</f>
        <v>8904.1666666666661</v>
      </c>
      <c r="J115" s="149">
        <f t="shared" si="12"/>
        <v>8904.1666666666661</v>
      </c>
      <c r="K115" s="150">
        <f>IF($B115="NA","NA",IF($B115&lt;=$D$8,0,MIN(IF($B115=($D$8+1),'Stage (1) Investment'!$I115,K114),'Stage (2) Investment:Stage (10) Investment'!$I115)))</f>
        <v>8904.1666666666661</v>
      </c>
      <c r="L115" s="150">
        <f>IF($B115="NA","NA",IF($B115&lt;=$D$9,0,MIN(IF($B115=($D$9+1),'Stage (2) Investment'!$I115,SUM($K114:L114)),'Stage (3) Investment:Stage (10) Investment'!$I115)-K115))</f>
        <v>0</v>
      </c>
      <c r="M115" s="150">
        <f>IF($B115="NA","NA",IF($B115&lt;=$D$10,0,MIN(IF($B115=($D$10+1),'Stage (3) Investment'!$I115,SUM($K114:M114)),'Stage (4) Investment:Stage (10) Investment'!$I115)-SUM($K115:L115)))</f>
        <v>0</v>
      </c>
      <c r="N115" s="150">
        <f>IF($B115="NA","NA",IF($B115&lt;=$D$11,0,MIN(IF($B115=($D$11+1),'Stage (4) Investment'!$I115,SUM($K114:N114)),'Stage (5) Investment:Stage (10) Investment'!$I115)-SUM($K115:M115)))</f>
        <v>0</v>
      </c>
      <c r="O115" s="150">
        <f>IF($B115="NA","NA",IF($B115&lt;=$D$12,0,MIN(IF($B115=($D$12+1),'Stage (5) Investment'!$I115,SUM($K114:O114)),'Stage (6) Investment:Stage (10) Investment'!$I115)-SUM($K115:N115)))</f>
        <v>0</v>
      </c>
      <c r="P115" s="150">
        <f>IF($B115="NA","NA",IF($B115&lt;=$D$13,0,MIN(IF($B115=($D$13+1),'Stage (6) Investment'!$I115,SUM($K114:P114)),'Stage (7) Investment:Stage (10) Investment'!$I115)-SUM($K115:O115)))</f>
        <v>0</v>
      </c>
      <c r="Q115" s="150">
        <f>IF($B115="NA","NA",IF($B115&lt;=$D$14,0,MIN(IF($B115=($D$14+1),'Stage (7) Investment'!$I115,SUM($K114:Q114)),'Stage (8) Investment:Stage (10) Investment'!$I115)-SUM($K115:P115)))</f>
        <v>0</v>
      </c>
      <c r="R115" s="150">
        <f>IF($B115="NA","NA",IF($B115&lt;=$D$15,0,MIN(IF($B115=($D$15+1),'Stage (8) Investment'!$I115,SUM($K114:R114)),'Stage (9) Investment:Stage (10) Investment'!$I115)-SUM($K115:Q115)))</f>
        <v>0</v>
      </c>
      <c r="S115" s="150">
        <f>IF($B115="NA","NA",IF($B115&lt;=$D$16,0,MIN(IF($B115=($D$16+1),'Stage (9) Investment'!$I115,SUM($K114:S114)),'Stage (10) Investment'!$I115)-SUM($K115:R115)))</f>
        <v>0</v>
      </c>
      <c r="T115" s="151">
        <f>IF($B115="NA","NA",IF($B115&lt;=$D$17,0,IF($B115=($D$17+1),'Stage (10) Investment'!$I115,SUM($K114:T114))-SUM($K115:S115)))</f>
        <v>0</v>
      </c>
    </row>
    <row r="116" spans="1:20" x14ac:dyDescent="0.2">
      <c r="A116" s="86">
        <f t="shared" si="10"/>
        <v>2831</v>
      </c>
      <c r="B116" s="142">
        <f t="shared" si="11"/>
        <v>94</v>
      </c>
      <c r="C116" s="143">
        <f t="shared" si="13"/>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50">
        <f>IF(B116="NA","NA",IF(ISNUMBER(VLOOKUP($C116,'A4 Investment'!$A$24:$G$33,7,FALSE)),VLOOKUP($C116,'A4 Investment'!$A$24:$G$33,7,FALSE)*'A4 Investment'!G$18/12,0))</f>
        <v>0</v>
      </c>
      <c r="I116" s="151">
        <f t="shared" si="14"/>
        <v>8904.1666666666661</v>
      </c>
      <c r="J116" s="149">
        <f t="shared" si="12"/>
        <v>8904.1666666666661</v>
      </c>
      <c r="K116" s="150">
        <f>IF($B116="NA","NA",IF($B116&lt;=$D$8,0,MIN(IF($B116=($D$8+1),'Stage (1) Investment'!$I116,K115),'Stage (2) Investment:Stage (10) Investment'!$I116)))</f>
        <v>8904.1666666666661</v>
      </c>
      <c r="L116" s="150">
        <f>IF($B116="NA","NA",IF($B116&lt;=$D$9,0,MIN(IF($B116=($D$9+1),'Stage (2) Investment'!$I116,SUM($K115:L115)),'Stage (3) Investment:Stage (10) Investment'!$I116)-K116))</f>
        <v>0</v>
      </c>
      <c r="M116" s="150">
        <f>IF($B116="NA","NA",IF($B116&lt;=$D$10,0,MIN(IF($B116=($D$10+1),'Stage (3) Investment'!$I116,SUM($K115:M115)),'Stage (4) Investment:Stage (10) Investment'!$I116)-SUM($K116:L116)))</f>
        <v>0</v>
      </c>
      <c r="N116" s="150">
        <f>IF($B116="NA","NA",IF($B116&lt;=$D$11,0,MIN(IF($B116=($D$11+1),'Stage (4) Investment'!$I116,SUM($K115:N115)),'Stage (5) Investment:Stage (10) Investment'!$I116)-SUM($K116:M116)))</f>
        <v>0</v>
      </c>
      <c r="O116" s="150">
        <f>IF($B116="NA","NA",IF($B116&lt;=$D$12,0,MIN(IF($B116=($D$12+1),'Stage (5) Investment'!$I116,SUM($K115:O115)),'Stage (6) Investment:Stage (10) Investment'!$I116)-SUM($K116:N116)))</f>
        <v>0</v>
      </c>
      <c r="P116" s="150">
        <f>IF($B116="NA","NA",IF($B116&lt;=$D$13,0,MIN(IF($B116=($D$13+1),'Stage (6) Investment'!$I116,SUM($K115:P115)),'Stage (7) Investment:Stage (10) Investment'!$I116)-SUM($K116:O116)))</f>
        <v>0</v>
      </c>
      <c r="Q116" s="150">
        <f>IF($B116="NA","NA",IF($B116&lt;=$D$14,0,MIN(IF($B116=($D$14+1),'Stage (7) Investment'!$I116,SUM($K115:Q115)),'Stage (8) Investment:Stage (10) Investment'!$I116)-SUM($K116:P116)))</f>
        <v>0</v>
      </c>
      <c r="R116" s="150">
        <f>IF($B116="NA","NA",IF($B116&lt;=$D$15,0,MIN(IF($B116=($D$15+1),'Stage (8) Investment'!$I116,SUM($K115:R115)),'Stage (9) Investment:Stage (10) Investment'!$I116)-SUM($K116:Q116)))</f>
        <v>0</v>
      </c>
      <c r="S116" s="150">
        <f>IF($B116="NA","NA",IF($B116&lt;=$D$16,0,MIN(IF($B116=($D$16+1),'Stage (9) Investment'!$I116,SUM($K115:S115)),'Stage (10) Investment'!$I116)-SUM($K116:R116)))</f>
        <v>0</v>
      </c>
      <c r="T116" s="151">
        <f>IF($B116="NA","NA",IF($B116&lt;=$D$17,0,IF($B116=($D$17+1),'Stage (10) Investment'!$I116,SUM($K115:T115))-SUM($K116:S116)))</f>
        <v>0</v>
      </c>
    </row>
    <row r="117" spans="1:20" x14ac:dyDescent="0.2">
      <c r="A117" s="86">
        <f t="shared" si="10"/>
        <v>2862</v>
      </c>
      <c r="B117" s="142">
        <f t="shared" si="11"/>
        <v>95</v>
      </c>
      <c r="C117" s="143">
        <f t="shared" si="13"/>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50">
        <f>IF(B117="NA","NA",IF(ISNUMBER(VLOOKUP($C117,'A4 Investment'!$A$24:$G$33,7,FALSE)),VLOOKUP($C117,'A4 Investment'!$A$24:$G$33,7,FALSE)*'A4 Investment'!G$18/12,0))</f>
        <v>0</v>
      </c>
      <c r="I117" s="151">
        <f t="shared" si="14"/>
        <v>8904.1666666666661</v>
      </c>
      <c r="J117" s="149">
        <f t="shared" si="12"/>
        <v>8904.1666666666661</v>
      </c>
      <c r="K117" s="150">
        <f>IF($B117="NA","NA",IF($B117&lt;=$D$8,0,MIN(IF($B117=($D$8+1),'Stage (1) Investment'!$I117,K116),'Stage (2) Investment:Stage (10) Investment'!$I117)))</f>
        <v>8904.1666666666661</v>
      </c>
      <c r="L117" s="150">
        <f>IF($B117="NA","NA",IF($B117&lt;=$D$9,0,MIN(IF($B117=($D$9+1),'Stage (2) Investment'!$I117,SUM($K116:L116)),'Stage (3) Investment:Stage (10) Investment'!$I117)-K117))</f>
        <v>0</v>
      </c>
      <c r="M117" s="150">
        <f>IF($B117="NA","NA",IF($B117&lt;=$D$10,0,MIN(IF($B117=($D$10+1),'Stage (3) Investment'!$I117,SUM($K116:M116)),'Stage (4) Investment:Stage (10) Investment'!$I117)-SUM($K117:L117)))</f>
        <v>0</v>
      </c>
      <c r="N117" s="150">
        <f>IF($B117="NA","NA",IF($B117&lt;=$D$11,0,MIN(IF($B117=($D$11+1),'Stage (4) Investment'!$I117,SUM($K116:N116)),'Stage (5) Investment:Stage (10) Investment'!$I117)-SUM($K117:M117)))</f>
        <v>0</v>
      </c>
      <c r="O117" s="150">
        <f>IF($B117="NA","NA",IF($B117&lt;=$D$12,0,MIN(IF($B117=($D$12+1),'Stage (5) Investment'!$I117,SUM($K116:O116)),'Stage (6) Investment:Stage (10) Investment'!$I117)-SUM($K117:N117)))</f>
        <v>0</v>
      </c>
      <c r="P117" s="150">
        <f>IF($B117="NA","NA",IF($B117&lt;=$D$13,0,MIN(IF($B117=($D$13+1),'Stage (6) Investment'!$I117,SUM($K116:P116)),'Stage (7) Investment:Stage (10) Investment'!$I117)-SUM($K117:O117)))</f>
        <v>0</v>
      </c>
      <c r="Q117" s="150">
        <f>IF($B117="NA","NA",IF($B117&lt;=$D$14,0,MIN(IF($B117=($D$14+1),'Stage (7) Investment'!$I117,SUM($K116:Q116)),'Stage (8) Investment:Stage (10) Investment'!$I117)-SUM($K117:P117)))</f>
        <v>0</v>
      </c>
      <c r="R117" s="150">
        <f>IF($B117="NA","NA",IF($B117&lt;=$D$15,0,MIN(IF($B117=($D$15+1),'Stage (8) Investment'!$I117,SUM($K116:R116)),'Stage (9) Investment:Stage (10) Investment'!$I117)-SUM($K117:Q117)))</f>
        <v>0</v>
      </c>
      <c r="S117" s="150">
        <f>IF($B117="NA","NA",IF($B117&lt;=$D$16,0,MIN(IF($B117=($D$16+1),'Stage (9) Investment'!$I117,SUM($K116:S116)),'Stage (10) Investment'!$I117)-SUM($K117:R117)))</f>
        <v>0</v>
      </c>
      <c r="T117" s="151">
        <f>IF($B117="NA","NA",IF($B117&lt;=$D$17,0,IF($B117=($D$17+1),'Stage (10) Investment'!$I117,SUM($K116:T116))-SUM($K117:S117)))</f>
        <v>0</v>
      </c>
    </row>
    <row r="118" spans="1:20" x14ac:dyDescent="0.2">
      <c r="A118" s="86">
        <f t="shared" si="10"/>
        <v>2892</v>
      </c>
      <c r="B118" s="142">
        <f t="shared" si="11"/>
        <v>96</v>
      </c>
      <c r="C118" s="143">
        <f t="shared" si="13"/>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50">
        <f>IF(B118="NA","NA",IF(ISNUMBER(VLOOKUP($C118,'A4 Investment'!$A$24:$G$33,7,FALSE)),VLOOKUP($C118,'A4 Investment'!$A$24:$G$33,7,FALSE)*'A4 Investment'!G$18/12,0))</f>
        <v>0</v>
      </c>
      <c r="I118" s="151">
        <f t="shared" si="14"/>
        <v>8904.1666666666661</v>
      </c>
      <c r="J118" s="149">
        <f t="shared" si="12"/>
        <v>8904.1666666666661</v>
      </c>
      <c r="K118" s="150">
        <f>IF($B118="NA","NA",IF($B118&lt;=$D$8,0,MIN(IF($B118=($D$8+1),'Stage (1) Investment'!$I118,K117),'Stage (2) Investment:Stage (10) Investment'!$I118)))</f>
        <v>8904.1666666666661</v>
      </c>
      <c r="L118" s="150">
        <f>IF($B118="NA","NA",IF($B118&lt;=$D$9,0,MIN(IF($B118=($D$9+1),'Stage (2) Investment'!$I118,SUM($K117:L117)),'Stage (3) Investment:Stage (10) Investment'!$I118)-K118))</f>
        <v>0</v>
      </c>
      <c r="M118" s="150">
        <f>IF($B118="NA","NA",IF($B118&lt;=$D$10,0,MIN(IF($B118=($D$10+1),'Stage (3) Investment'!$I118,SUM($K117:M117)),'Stage (4) Investment:Stage (10) Investment'!$I118)-SUM($K118:L118)))</f>
        <v>0</v>
      </c>
      <c r="N118" s="150">
        <f>IF($B118="NA","NA",IF($B118&lt;=$D$11,0,MIN(IF($B118=($D$11+1),'Stage (4) Investment'!$I118,SUM($K117:N117)),'Stage (5) Investment:Stage (10) Investment'!$I118)-SUM($K118:M118)))</f>
        <v>0</v>
      </c>
      <c r="O118" s="150">
        <f>IF($B118="NA","NA",IF($B118&lt;=$D$12,0,MIN(IF($B118=($D$12+1),'Stage (5) Investment'!$I118,SUM($K117:O117)),'Stage (6) Investment:Stage (10) Investment'!$I118)-SUM($K118:N118)))</f>
        <v>0</v>
      </c>
      <c r="P118" s="150">
        <f>IF($B118="NA","NA",IF($B118&lt;=$D$13,0,MIN(IF($B118=($D$13+1),'Stage (6) Investment'!$I118,SUM($K117:P117)),'Stage (7) Investment:Stage (10) Investment'!$I118)-SUM($K118:O118)))</f>
        <v>0</v>
      </c>
      <c r="Q118" s="150">
        <f>IF($B118="NA","NA",IF($B118&lt;=$D$14,0,MIN(IF($B118=($D$14+1),'Stage (7) Investment'!$I118,SUM($K117:Q117)),'Stage (8) Investment:Stage (10) Investment'!$I118)-SUM($K118:P118)))</f>
        <v>0</v>
      </c>
      <c r="R118" s="150">
        <f>IF($B118="NA","NA",IF($B118&lt;=$D$15,0,MIN(IF($B118=($D$15+1),'Stage (8) Investment'!$I118,SUM($K117:R117)),'Stage (9) Investment:Stage (10) Investment'!$I118)-SUM($K118:Q118)))</f>
        <v>0</v>
      </c>
      <c r="S118" s="150">
        <f>IF($B118="NA","NA",IF($B118&lt;=$D$16,0,MIN(IF($B118=($D$16+1),'Stage (9) Investment'!$I118,SUM($K117:S117)),'Stage (10) Investment'!$I118)-SUM($K118:R118)))</f>
        <v>0</v>
      </c>
      <c r="T118" s="151">
        <f>IF($B118="NA","NA",IF($B118&lt;=$D$17,0,IF($B118=($D$17+1),'Stage (10) Investment'!$I118,SUM($K117:T117))-SUM($K118:S118)))</f>
        <v>0</v>
      </c>
    </row>
    <row r="119" spans="1:20" x14ac:dyDescent="0.2">
      <c r="A119" s="86">
        <f t="shared" si="10"/>
        <v>2923</v>
      </c>
      <c r="B119" s="142">
        <f t="shared" si="11"/>
        <v>97</v>
      </c>
      <c r="C119" s="143">
        <f t="shared" si="13"/>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50">
        <f>IF(B119="NA","NA",IF(ISNUMBER(VLOOKUP($C119,'A4 Investment'!$A$24:$G$33,7,FALSE)),VLOOKUP($C119,'A4 Investment'!$A$24:$G$33,7,FALSE)*'A4 Investment'!G$18/12,0))</f>
        <v>0</v>
      </c>
      <c r="I119" s="151">
        <f t="shared" si="14"/>
        <v>8904.1666666666661</v>
      </c>
      <c r="J119" s="149">
        <f t="shared" si="12"/>
        <v>8904.1666666666661</v>
      </c>
      <c r="K119" s="150">
        <f>IF($B119="NA","NA",IF($B119&lt;=$D$8,0,MIN(IF($B119=($D$8+1),'Stage (1) Investment'!$I119,K118),'Stage (2) Investment:Stage (10) Investment'!$I119)))</f>
        <v>8904.1666666666661</v>
      </c>
      <c r="L119" s="150">
        <f>IF($B119="NA","NA",IF($B119&lt;=$D$9,0,MIN(IF($B119=($D$9+1),'Stage (2) Investment'!$I119,SUM($K118:L118)),'Stage (3) Investment:Stage (10) Investment'!$I119)-K119))</f>
        <v>0</v>
      </c>
      <c r="M119" s="150">
        <f>IF($B119="NA","NA",IF($B119&lt;=$D$10,0,MIN(IF($B119=($D$10+1),'Stage (3) Investment'!$I119,SUM($K118:M118)),'Stage (4) Investment:Stage (10) Investment'!$I119)-SUM($K119:L119)))</f>
        <v>0</v>
      </c>
      <c r="N119" s="150">
        <f>IF($B119="NA","NA",IF($B119&lt;=$D$11,0,MIN(IF($B119=($D$11+1),'Stage (4) Investment'!$I119,SUM($K118:N118)),'Stage (5) Investment:Stage (10) Investment'!$I119)-SUM($K119:M119)))</f>
        <v>0</v>
      </c>
      <c r="O119" s="150">
        <f>IF($B119="NA","NA",IF($B119&lt;=$D$12,0,MIN(IF($B119=($D$12+1),'Stage (5) Investment'!$I119,SUM($K118:O118)),'Stage (6) Investment:Stage (10) Investment'!$I119)-SUM($K119:N119)))</f>
        <v>0</v>
      </c>
      <c r="P119" s="150">
        <f>IF($B119="NA","NA",IF($B119&lt;=$D$13,0,MIN(IF($B119=($D$13+1),'Stage (6) Investment'!$I119,SUM($K118:P118)),'Stage (7) Investment:Stage (10) Investment'!$I119)-SUM($K119:O119)))</f>
        <v>0</v>
      </c>
      <c r="Q119" s="150">
        <f>IF($B119="NA","NA",IF($B119&lt;=$D$14,0,MIN(IF($B119=($D$14+1),'Stage (7) Investment'!$I119,SUM($K118:Q118)),'Stage (8) Investment:Stage (10) Investment'!$I119)-SUM($K119:P119)))</f>
        <v>0</v>
      </c>
      <c r="R119" s="150">
        <f>IF($B119="NA","NA",IF($B119&lt;=$D$15,0,MIN(IF($B119=($D$15+1),'Stage (8) Investment'!$I119,SUM($K118:R118)),'Stage (9) Investment:Stage (10) Investment'!$I119)-SUM($K119:Q119)))</f>
        <v>0</v>
      </c>
      <c r="S119" s="150">
        <f>IF($B119="NA","NA",IF($B119&lt;=$D$16,0,MIN(IF($B119=($D$16+1),'Stage (9) Investment'!$I119,SUM($K118:S118)),'Stage (10) Investment'!$I119)-SUM($K119:R119)))</f>
        <v>0</v>
      </c>
      <c r="T119" s="151">
        <f>IF($B119="NA","NA",IF($B119&lt;=$D$17,0,IF($B119=($D$17+1),'Stage (10) Investment'!$I119,SUM($K118:T118))-SUM($K119:S119)))</f>
        <v>0</v>
      </c>
    </row>
    <row r="120" spans="1:20" x14ac:dyDescent="0.2">
      <c r="A120" s="86">
        <f t="shared" si="10"/>
        <v>2954</v>
      </c>
      <c r="B120" s="142">
        <f t="shared" si="11"/>
        <v>98</v>
      </c>
      <c r="C120" s="143">
        <f t="shared" si="13"/>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50">
        <f>IF(B120="NA","NA",IF(ISNUMBER(VLOOKUP($C120,'A4 Investment'!$A$24:$G$33,7,FALSE)),VLOOKUP($C120,'A4 Investment'!$A$24:$G$33,7,FALSE)*'A4 Investment'!G$18/12,0))</f>
        <v>0</v>
      </c>
      <c r="I120" s="151">
        <f t="shared" si="14"/>
        <v>8904.1666666666661</v>
      </c>
      <c r="J120" s="149">
        <f t="shared" si="12"/>
        <v>8904.1666666666661</v>
      </c>
      <c r="K120" s="150">
        <f>IF($B120="NA","NA",IF($B120&lt;=$D$8,0,MIN(IF($B120=($D$8+1),'Stage (1) Investment'!$I120,K119),'Stage (2) Investment:Stage (10) Investment'!$I120)))</f>
        <v>8904.1666666666661</v>
      </c>
      <c r="L120" s="150">
        <f>IF($B120="NA","NA",IF($B120&lt;=$D$9,0,MIN(IF($B120=($D$9+1),'Stage (2) Investment'!$I120,SUM($K119:L119)),'Stage (3) Investment:Stage (10) Investment'!$I120)-K120))</f>
        <v>0</v>
      </c>
      <c r="M120" s="150">
        <f>IF($B120="NA","NA",IF($B120&lt;=$D$10,0,MIN(IF($B120=($D$10+1),'Stage (3) Investment'!$I120,SUM($K119:M119)),'Stage (4) Investment:Stage (10) Investment'!$I120)-SUM($K120:L120)))</f>
        <v>0</v>
      </c>
      <c r="N120" s="150">
        <f>IF($B120="NA","NA",IF($B120&lt;=$D$11,0,MIN(IF($B120=($D$11+1),'Stage (4) Investment'!$I120,SUM($K119:N119)),'Stage (5) Investment:Stage (10) Investment'!$I120)-SUM($K120:M120)))</f>
        <v>0</v>
      </c>
      <c r="O120" s="150">
        <f>IF($B120="NA","NA",IF($B120&lt;=$D$12,0,MIN(IF($B120=($D$12+1),'Stage (5) Investment'!$I120,SUM($K119:O119)),'Stage (6) Investment:Stage (10) Investment'!$I120)-SUM($K120:N120)))</f>
        <v>0</v>
      </c>
      <c r="P120" s="150">
        <f>IF($B120="NA","NA",IF($B120&lt;=$D$13,0,MIN(IF($B120=($D$13+1),'Stage (6) Investment'!$I120,SUM($K119:P119)),'Stage (7) Investment:Stage (10) Investment'!$I120)-SUM($K120:O120)))</f>
        <v>0</v>
      </c>
      <c r="Q120" s="150">
        <f>IF($B120="NA","NA",IF($B120&lt;=$D$14,0,MIN(IF($B120=($D$14+1),'Stage (7) Investment'!$I120,SUM($K119:Q119)),'Stage (8) Investment:Stage (10) Investment'!$I120)-SUM($K120:P120)))</f>
        <v>0</v>
      </c>
      <c r="R120" s="150">
        <f>IF($B120="NA","NA",IF($B120&lt;=$D$15,0,MIN(IF($B120=($D$15+1),'Stage (8) Investment'!$I120,SUM($K119:R119)),'Stage (9) Investment:Stage (10) Investment'!$I120)-SUM($K120:Q120)))</f>
        <v>0</v>
      </c>
      <c r="S120" s="150">
        <f>IF($B120="NA","NA",IF($B120&lt;=$D$16,0,MIN(IF($B120=($D$16+1),'Stage (9) Investment'!$I120,SUM($K119:S119)),'Stage (10) Investment'!$I120)-SUM($K120:R120)))</f>
        <v>0</v>
      </c>
      <c r="T120" s="151">
        <f>IF($B120="NA","NA",IF($B120&lt;=$D$17,0,IF($B120=($D$17+1),'Stage (10) Investment'!$I120,SUM($K119:T119))-SUM($K120:S120)))</f>
        <v>0</v>
      </c>
    </row>
    <row r="121" spans="1:20" x14ac:dyDescent="0.2">
      <c r="A121" s="86">
        <f t="shared" si="10"/>
        <v>2983</v>
      </c>
      <c r="B121" s="142">
        <f t="shared" si="11"/>
        <v>99</v>
      </c>
      <c r="C121" s="143">
        <f t="shared" si="13"/>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50">
        <f>IF(B121="NA","NA",IF(ISNUMBER(VLOOKUP($C121,'A4 Investment'!$A$24:$G$33,7,FALSE)),VLOOKUP($C121,'A4 Investment'!$A$24:$G$33,7,FALSE)*'A4 Investment'!G$18/12,0))</f>
        <v>0</v>
      </c>
      <c r="I121" s="151">
        <f t="shared" si="14"/>
        <v>8904.1666666666661</v>
      </c>
      <c r="J121" s="149">
        <f t="shared" si="12"/>
        <v>8904.1666666666661</v>
      </c>
      <c r="K121" s="150">
        <f>IF($B121="NA","NA",IF($B121&lt;=$D$8,0,MIN(IF($B121=($D$8+1),'Stage (1) Investment'!$I121,K120),'Stage (2) Investment:Stage (10) Investment'!$I121)))</f>
        <v>8904.1666666666661</v>
      </c>
      <c r="L121" s="150">
        <f>IF($B121="NA","NA",IF($B121&lt;=$D$9,0,MIN(IF($B121=($D$9+1),'Stage (2) Investment'!$I121,SUM($K120:L120)),'Stage (3) Investment:Stage (10) Investment'!$I121)-K121))</f>
        <v>0</v>
      </c>
      <c r="M121" s="150">
        <f>IF($B121="NA","NA",IF($B121&lt;=$D$10,0,MIN(IF($B121=($D$10+1),'Stage (3) Investment'!$I121,SUM($K120:M120)),'Stage (4) Investment:Stage (10) Investment'!$I121)-SUM($K121:L121)))</f>
        <v>0</v>
      </c>
      <c r="N121" s="150">
        <f>IF($B121="NA","NA",IF($B121&lt;=$D$11,0,MIN(IF($B121=($D$11+1),'Stage (4) Investment'!$I121,SUM($K120:N120)),'Stage (5) Investment:Stage (10) Investment'!$I121)-SUM($K121:M121)))</f>
        <v>0</v>
      </c>
      <c r="O121" s="150">
        <f>IF($B121="NA","NA",IF($B121&lt;=$D$12,0,MIN(IF($B121=($D$12+1),'Stage (5) Investment'!$I121,SUM($K120:O120)),'Stage (6) Investment:Stage (10) Investment'!$I121)-SUM($K121:N121)))</f>
        <v>0</v>
      </c>
      <c r="P121" s="150">
        <f>IF($B121="NA","NA",IF($B121&lt;=$D$13,0,MIN(IF($B121=($D$13+1),'Stage (6) Investment'!$I121,SUM($K120:P120)),'Stage (7) Investment:Stage (10) Investment'!$I121)-SUM($K121:O121)))</f>
        <v>0</v>
      </c>
      <c r="Q121" s="150">
        <f>IF($B121="NA","NA",IF($B121&lt;=$D$14,0,MIN(IF($B121=($D$14+1),'Stage (7) Investment'!$I121,SUM($K120:Q120)),'Stage (8) Investment:Stage (10) Investment'!$I121)-SUM($K121:P121)))</f>
        <v>0</v>
      </c>
      <c r="R121" s="150">
        <f>IF($B121="NA","NA",IF($B121&lt;=$D$15,0,MIN(IF($B121=($D$15+1),'Stage (8) Investment'!$I121,SUM($K120:R120)),'Stage (9) Investment:Stage (10) Investment'!$I121)-SUM($K121:Q121)))</f>
        <v>0</v>
      </c>
      <c r="S121" s="150">
        <f>IF($B121="NA","NA",IF($B121&lt;=$D$16,0,MIN(IF($B121=($D$16+1),'Stage (9) Investment'!$I121,SUM($K120:S120)),'Stage (10) Investment'!$I121)-SUM($K121:R121)))</f>
        <v>0</v>
      </c>
      <c r="T121" s="151">
        <f>IF($B121="NA","NA",IF($B121&lt;=$D$17,0,IF($B121=($D$17+1),'Stage (10) Investment'!$I121,SUM($K120:T120))-SUM($K121:S121)))</f>
        <v>0</v>
      </c>
    </row>
    <row r="122" spans="1:20" x14ac:dyDescent="0.2">
      <c r="A122" s="86">
        <f t="shared" si="10"/>
        <v>3014</v>
      </c>
      <c r="B122" s="142">
        <f t="shared" si="11"/>
        <v>100</v>
      </c>
      <c r="C122" s="143">
        <f t="shared" si="13"/>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50">
        <f>IF(B122="NA","NA",IF(ISNUMBER(VLOOKUP($C122,'A4 Investment'!$A$24:$G$33,7,FALSE)),VLOOKUP($C122,'A4 Investment'!$A$24:$G$33,7,FALSE)*'A4 Investment'!G$18/12,0))</f>
        <v>0</v>
      </c>
      <c r="I122" s="151">
        <f t="shared" si="14"/>
        <v>8904.1666666666661</v>
      </c>
      <c r="J122" s="149">
        <f t="shared" si="12"/>
        <v>8904.1666666666661</v>
      </c>
      <c r="K122" s="150">
        <f>IF($B122="NA","NA",IF($B122&lt;=$D$8,0,MIN(IF($B122=($D$8+1),'Stage (1) Investment'!$I122,K121),'Stage (2) Investment:Stage (10) Investment'!$I122)))</f>
        <v>8904.1666666666661</v>
      </c>
      <c r="L122" s="150">
        <f>IF($B122="NA","NA",IF($B122&lt;=$D$9,0,MIN(IF($B122=($D$9+1),'Stage (2) Investment'!$I122,SUM($K121:L121)),'Stage (3) Investment:Stage (10) Investment'!$I122)-K122))</f>
        <v>0</v>
      </c>
      <c r="M122" s="150">
        <f>IF($B122="NA","NA",IF($B122&lt;=$D$10,0,MIN(IF($B122=($D$10+1),'Stage (3) Investment'!$I122,SUM($K121:M121)),'Stage (4) Investment:Stage (10) Investment'!$I122)-SUM($K122:L122)))</f>
        <v>0</v>
      </c>
      <c r="N122" s="150">
        <f>IF($B122="NA","NA",IF($B122&lt;=$D$11,0,MIN(IF($B122=($D$11+1),'Stage (4) Investment'!$I122,SUM($K121:N121)),'Stage (5) Investment:Stage (10) Investment'!$I122)-SUM($K122:M122)))</f>
        <v>0</v>
      </c>
      <c r="O122" s="150">
        <f>IF($B122="NA","NA",IF($B122&lt;=$D$12,0,MIN(IF($B122=($D$12+1),'Stage (5) Investment'!$I122,SUM($K121:O121)),'Stage (6) Investment:Stage (10) Investment'!$I122)-SUM($K122:N122)))</f>
        <v>0</v>
      </c>
      <c r="P122" s="150">
        <f>IF($B122="NA","NA",IF($B122&lt;=$D$13,0,MIN(IF($B122=($D$13+1),'Stage (6) Investment'!$I122,SUM($K121:P121)),'Stage (7) Investment:Stage (10) Investment'!$I122)-SUM($K122:O122)))</f>
        <v>0</v>
      </c>
      <c r="Q122" s="150">
        <f>IF($B122="NA","NA",IF($B122&lt;=$D$14,0,MIN(IF($B122=($D$14+1),'Stage (7) Investment'!$I122,SUM($K121:Q121)),'Stage (8) Investment:Stage (10) Investment'!$I122)-SUM($K122:P122)))</f>
        <v>0</v>
      </c>
      <c r="R122" s="150">
        <f>IF($B122="NA","NA",IF($B122&lt;=$D$15,0,MIN(IF($B122=($D$15+1),'Stage (8) Investment'!$I122,SUM($K121:R121)),'Stage (9) Investment:Stage (10) Investment'!$I122)-SUM($K122:Q122)))</f>
        <v>0</v>
      </c>
      <c r="S122" s="150">
        <f>IF($B122="NA","NA",IF($B122&lt;=$D$16,0,MIN(IF($B122=($D$16+1),'Stage (9) Investment'!$I122,SUM($K121:S121)),'Stage (10) Investment'!$I122)-SUM($K122:R122)))</f>
        <v>0</v>
      </c>
      <c r="T122" s="151">
        <f>IF($B122="NA","NA",IF($B122&lt;=$D$17,0,IF($B122=($D$17+1),'Stage (10) Investment'!$I122,SUM($K121:T121))-SUM($K122:S122)))</f>
        <v>0</v>
      </c>
    </row>
    <row r="123" spans="1:20" x14ac:dyDescent="0.2">
      <c r="A123" s="86">
        <f t="shared" si="10"/>
        <v>3044</v>
      </c>
      <c r="B123" s="142">
        <f t="shared" si="11"/>
        <v>101</v>
      </c>
      <c r="C123" s="143">
        <f t="shared" si="13"/>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50">
        <f>IF(B123="NA","NA",IF(ISNUMBER(VLOOKUP($C123,'A4 Investment'!$A$24:$G$33,7,FALSE)),VLOOKUP($C123,'A4 Investment'!$A$24:$G$33,7,FALSE)*'A4 Investment'!G$18/12,0))</f>
        <v>0</v>
      </c>
      <c r="I123" s="151">
        <f t="shared" si="14"/>
        <v>8904.1666666666661</v>
      </c>
      <c r="J123" s="149">
        <f t="shared" si="12"/>
        <v>8904.1666666666661</v>
      </c>
      <c r="K123" s="150">
        <f>IF($B123="NA","NA",IF($B123&lt;=$D$8,0,MIN(IF($B123=($D$8+1),'Stage (1) Investment'!$I123,K122),'Stage (2) Investment:Stage (10) Investment'!$I123)))</f>
        <v>8904.1666666666661</v>
      </c>
      <c r="L123" s="150">
        <f>IF($B123="NA","NA",IF($B123&lt;=$D$9,0,MIN(IF($B123=($D$9+1),'Stage (2) Investment'!$I123,SUM($K122:L122)),'Stage (3) Investment:Stage (10) Investment'!$I123)-K123))</f>
        <v>0</v>
      </c>
      <c r="M123" s="150">
        <f>IF($B123="NA","NA",IF($B123&lt;=$D$10,0,MIN(IF($B123=($D$10+1),'Stage (3) Investment'!$I123,SUM($K122:M122)),'Stage (4) Investment:Stage (10) Investment'!$I123)-SUM($K123:L123)))</f>
        <v>0</v>
      </c>
      <c r="N123" s="150">
        <f>IF($B123="NA","NA",IF($B123&lt;=$D$11,0,MIN(IF($B123=($D$11+1),'Stage (4) Investment'!$I123,SUM($K122:N122)),'Stage (5) Investment:Stage (10) Investment'!$I123)-SUM($K123:M123)))</f>
        <v>0</v>
      </c>
      <c r="O123" s="150">
        <f>IF($B123="NA","NA",IF($B123&lt;=$D$12,0,MIN(IF($B123=($D$12+1),'Stage (5) Investment'!$I123,SUM($K122:O122)),'Stage (6) Investment:Stage (10) Investment'!$I123)-SUM($K123:N123)))</f>
        <v>0</v>
      </c>
      <c r="P123" s="150">
        <f>IF($B123="NA","NA",IF($B123&lt;=$D$13,0,MIN(IF($B123=($D$13+1),'Stage (6) Investment'!$I123,SUM($K122:P122)),'Stage (7) Investment:Stage (10) Investment'!$I123)-SUM($K123:O123)))</f>
        <v>0</v>
      </c>
      <c r="Q123" s="150">
        <f>IF($B123="NA","NA",IF($B123&lt;=$D$14,0,MIN(IF($B123=($D$14+1),'Stage (7) Investment'!$I123,SUM($K122:Q122)),'Stage (8) Investment:Stage (10) Investment'!$I123)-SUM($K123:P123)))</f>
        <v>0</v>
      </c>
      <c r="R123" s="150">
        <f>IF($B123="NA","NA",IF($B123&lt;=$D$15,0,MIN(IF($B123=($D$15+1),'Stage (8) Investment'!$I123,SUM($K122:R122)),'Stage (9) Investment:Stage (10) Investment'!$I123)-SUM($K123:Q123)))</f>
        <v>0</v>
      </c>
      <c r="S123" s="150">
        <f>IF($B123="NA","NA",IF($B123&lt;=$D$16,0,MIN(IF($B123=($D$16+1),'Stage (9) Investment'!$I123,SUM($K122:S122)),'Stage (10) Investment'!$I123)-SUM($K123:R123)))</f>
        <v>0</v>
      </c>
      <c r="T123" s="151">
        <f>IF($B123="NA","NA",IF($B123&lt;=$D$17,0,IF($B123=($D$17+1),'Stage (10) Investment'!$I123,SUM($K122:T122))-SUM($K123:S123)))</f>
        <v>0</v>
      </c>
    </row>
    <row r="124" spans="1:20" x14ac:dyDescent="0.2">
      <c r="A124" s="86">
        <f t="shared" si="10"/>
        <v>3075</v>
      </c>
      <c r="B124" s="142">
        <f t="shared" si="11"/>
        <v>102</v>
      </c>
      <c r="C124" s="143">
        <f t="shared" si="13"/>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50">
        <f>IF(B124="NA","NA",IF(ISNUMBER(VLOOKUP($C124,'A4 Investment'!$A$24:$G$33,7,FALSE)),VLOOKUP($C124,'A4 Investment'!$A$24:$G$33,7,FALSE)*'A4 Investment'!G$18/12,0))</f>
        <v>0</v>
      </c>
      <c r="I124" s="151">
        <f t="shared" si="14"/>
        <v>8904.1666666666661</v>
      </c>
      <c r="J124" s="149">
        <f t="shared" si="12"/>
        <v>8904.1666666666661</v>
      </c>
      <c r="K124" s="150">
        <f>IF($B124="NA","NA",IF($B124&lt;=$D$8,0,MIN(IF($B124=($D$8+1),'Stage (1) Investment'!$I124,K123),'Stage (2) Investment:Stage (10) Investment'!$I124)))</f>
        <v>8904.1666666666661</v>
      </c>
      <c r="L124" s="150">
        <f>IF($B124="NA","NA",IF($B124&lt;=$D$9,0,MIN(IF($B124=($D$9+1),'Stage (2) Investment'!$I124,SUM($K123:L123)),'Stage (3) Investment:Stage (10) Investment'!$I124)-K124))</f>
        <v>0</v>
      </c>
      <c r="M124" s="150">
        <f>IF($B124="NA","NA",IF($B124&lt;=$D$10,0,MIN(IF($B124=($D$10+1),'Stage (3) Investment'!$I124,SUM($K123:M123)),'Stage (4) Investment:Stage (10) Investment'!$I124)-SUM($K124:L124)))</f>
        <v>0</v>
      </c>
      <c r="N124" s="150">
        <f>IF($B124="NA","NA",IF($B124&lt;=$D$11,0,MIN(IF($B124=($D$11+1),'Stage (4) Investment'!$I124,SUM($K123:N123)),'Stage (5) Investment:Stage (10) Investment'!$I124)-SUM($K124:M124)))</f>
        <v>0</v>
      </c>
      <c r="O124" s="150">
        <f>IF($B124="NA","NA",IF($B124&lt;=$D$12,0,MIN(IF($B124=($D$12+1),'Stage (5) Investment'!$I124,SUM($K123:O123)),'Stage (6) Investment:Stage (10) Investment'!$I124)-SUM($K124:N124)))</f>
        <v>0</v>
      </c>
      <c r="P124" s="150">
        <f>IF($B124="NA","NA",IF($B124&lt;=$D$13,0,MIN(IF($B124=($D$13+1),'Stage (6) Investment'!$I124,SUM($K123:P123)),'Stage (7) Investment:Stage (10) Investment'!$I124)-SUM($K124:O124)))</f>
        <v>0</v>
      </c>
      <c r="Q124" s="150">
        <f>IF($B124="NA","NA",IF($B124&lt;=$D$14,0,MIN(IF($B124=($D$14+1),'Stage (7) Investment'!$I124,SUM($K123:Q123)),'Stage (8) Investment:Stage (10) Investment'!$I124)-SUM($K124:P124)))</f>
        <v>0</v>
      </c>
      <c r="R124" s="150">
        <f>IF($B124="NA","NA",IF($B124&lt;=$D$15,0,MIN(IF($B124=($D$15+1),'Stage (8) Investment'!$I124,SUM($K123:R123)),'Stage (9) Investment:Stage (10) Investment'!$I124)-SUM($K124:Q124)))</f>
        <v>0</v>
      </c>
      <c r="S124" s="150">
        <f>IF($B124="NA","NA",IF($B124&lt;=$D$16,0,MIN(IF($B124=($D$16+1),'Stage (9) Investment'!$I124,SUM($K123:S123)),'Stage (10) Investment'!$I124)-SUM($K124:R124)))</f>
        <v>0</v>
      </c>
      <c r="T124" s="151">
        <f>IF($B124="NA","NA",IF($B124&lt;=$D$17,0,IF($B124=($D$17+1),'Stage (10) Investment'!$I124,SUM($K123:T123))-SUM($K124:S124)))</f>
        <v>0</v>
      </c>
    </row>
    <row r="125" spans="1:20" x14ac:dyDescent="0.2">
      <c r="A125" s="86">
        <f t="shared" si="10"/>
        <v>3105</v>
      </c>
      <c r="B125" s="142">
        <f t="shared" si="11"/>
        <v>103</v>
      </c>
      <c r="C125" s="143">
        <f t="shared" si="13"/>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50">
        <f>IF(B125="NA","NA",IF(ISNUMBER(VLOOKUP($C125,'A4 Investment'!$A$24:$G$33,7,FALSE)),VLOOKUP($C125,'A4 Investment'!$A$24:$G$33,7,FALSE)*'A4 Investment'!G$18/12,0))</f>
        <v>0</v>
      </c>
      <c r="I125" s="151">
        <f t="shared" si="14"/>
        <v>8904.1666666666661</v>
      </c>
      <c r="J125" s="149">
        <f t="shared" si="12"/>
        <v>8904.1666666666661</v>
      </c>
      <c r="K125" s="150">
        <f>IF($B125="NA","NA",IF($B125&lt;=$D$8,0,MIN(IF($B125=($D$8+1),'Stage (1) Investment'!$I125,K124),'Stage (2) Investment:Stage (10) Investment'!$I125)))</f>
        <v>8904.1666666666661</v>
      </c>
      <c r="L125" s="150">
        <f>IF($B125="NA","NA",IF($B125&lt;=$D$9,0,MIN(IF($B125=($D$9+1),'Stage (2) Investment'!$I125,SUM($K124:L124)),'Stage (3) Investment:Stage (10) Investment'!$I125)-K125))</f>
        <v>0</v>
      </c>
      <c r="M125" s="150">
        <f>IF($B125="NA","NA",IF($B125&lt;=$D$10,0,MIN(IF($B125=($D$10+1),'Stage (3) Investment'!$I125,SUM($K124:M124)),'Stage (4) Investment:Stage (10) Investment'!$I125)-SUM($K125:L125)))</f>
        <v>0</v>
      </c>
      <c r="N125" s="150">
        <f>IF($B125="NA","NA",IF($B125&lt;=$D$11,0,MIN(IF($B125=($D$11+1),'Stage (4) Investment'!$I125,SUM($K124:N124)),'Stage (5) Investment:Stage (10) Investment'!$I125)-SUM($K125:M125)))</f>
        <v>0</v>
      </c>
      <c r="O125" s="150">
        <f>IF($B125="NA","NA",IF($B125&lt;=$D$12,0,MIN(IF($B125=($D$12+1),'Stage (5) Investment'!$I125,SUM($K124:O124)),'Stage (6) Investment:Stage (10) Investment'!$I125)-SUM($K125:N125)))</f>
        <v>0</v>
      </c>
      <c r="P125" s="150">
        <f>IF($B125="NA","NA",IF($B125&lt;=$D$13,0,MIN(IF($B125=($D$13+1),'Stage (6) Investment'!$I125,SUM($K124:P124)),'Stage (7) Investment:Stage (10) Investment'!$I125)-SUM($K125:O125)))</f>
        <v>0</v>
      </c>
      <c r="Q125" s="150">
        <f>IF($B125="NA","NA",IF($B125&lt;=$D$14,0,MIN(IF($B125=($D$14+1),'Stage (7) Investment'!$I125,SUM($K124:Q124)),'Stage (8) Investment:Stage (10) Investment'!$I125)-SUM($K125:P125)))</f>
        <v>0</v>
      </c>
      <c r="R125" s="150">
        <f>IF($B125="NA","NA",IF($B125&lt;=$D$15,0,MIN(IF($B125=($D$15+1),'Stage (8) Investment'!$I125,SUM($K124:R124)),'Stage (9) Investment:Stage (10) Investment'!$I125)-SUM($K125:Q125)))</f>
        <v>0</v>
      </c>
      <c r="S125" s="150">
        <f>IF($B125="NA","NA",IF($B125&lt;=$D$16,0,MIN(IF($B125=($D$16+1),'Stage (9) Investment'!$I125,SUM($K124:S124)),'Stage (10) Investment'!$I125)-SUM($K125:R125)))</f>
        <v>0</v>
      </c>
      <c r="T125" s="151">
        <f>IF($B125="NA","NA",IF($B125&lt;=$D$17,0,IF($B125=($D$17+1),'Stage (10) Investment'!$I125,SUM($K124:T124))-SUM($K125:S125)))</f>
        <v>0</v>
      </c>
    </row>
    <row r="126" spans="1:20" x14ac:dyDescent="0.2">
      <c r="A126" s="86">
        <f t="shared" si="10"/>
        <v>3136</v>
      </c>
      <c r="B126" s="142">
        <f t="shared" si="11"/>
        <v>104</v>
      </c>
      <c r="C126" s="143">
        <f t="shared" si="13"/>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50">
        <f>IF(B126="NA","NA",IF(ISNUMBER(VLOOKUP($C126,'A4 Investment'!$A$24:$G$33,7,FALSE)),VLOOKUP($C126,'A4 Investment'!$A$24:$G$33,7,FALSE)*'A4 Investment'!G$18/12,0))</f>
        <v>0</v>
      </c>
      <c r="I126" s="151">
        <f t="shared" si="14"/>
        <v>8904.1666666666661</v>
      </c>
      <c r="J126" s="149">
        <f t="shared" si="12"/>
        <v>8904.1666666666661</v>
      </c>
      <c r="K126" s="150">
        <f>IF($B126="NA","NA",IF($B126&lt;=$D$8,0,MIN(IF($B126=($D$8+1),'Stage (1) Investment'!$I126,K125),'Stage (2) Investment:Stage (10) Investment'!$I126)))</f>
        <v>8904.1666666666661</v>
      </c>
      <c r="L126" s="150">
        <f>IF($B126="NA","NA",IF($B126&lt;=$D$9,0,MIN(IF($B126=($D$9+1),'Stage (2) Investment'!$I126,SUM($K125:L125)),'Stage (3) Investment:Stage (10) Investment'!$I126)-K126))</f>
        <v>0</v>
      </c>
      <c r="M126" s="150">
        <f>IF($B126="NA","NA",IF($B126&lt;=$D$10,0,MIN(IF($B126=($D$10+1),'Stage (3) Investment'!$I126,SUM($K125:M125)),'Stage (4) Investment:Stage (10) Investment'!$I126)-SUM($K126:L126)))</f>
        <v>0</v>
      </c>
      <c r="N126" s="150">
        <f>IF($B126="NA","NA",IF($B126&lt;=$D$11,0,MIN(IF($B126=($D$11+1),'Stage (4) Investment'!$I126,SUM($K125:N125)),'Stage (5) Investment:Stage (10) Investment'!$I126)-SUM($K126:M126)))</f>
        <v>0</v>
      </c>
      <c r="O126" s="150">
        <f>IF($B126="NA","NA",IF($B126&lt;=$D$12,0,MIN(IF($B126=($D$12+1),'Stage (5) Investment'!$I126,SUM($K125:O125)),'Stage (6) Investment:Stage (10) Investment'!$I126)-SUM($K126:N126)))</f>
        <v>0</v>
      </c>
      <c r="P126" s="150">
        <f>IF($B126="NA","NA",IF($B126&lt;=$D$13,0,MIN(IF($B126=($D$13+1),'Stage (6) Investment'!$I126,SUM($K125:P125)),'Stage (7) Investment:Stage (10) Investment'!$I126)-SUM($K126:O126)))</f>
        <v>0</v>
      </c>
      <c r="Q126" s="150">
        <f>IF($B126="NA","NA",IF($B126&lt;=$D$14,0,MIN(IF($B126=($D$14+1),'Stage (7) Investment'!$I126,SUM($K125:Q125)),'Stage (8) Investment:Stage (10) Investment'!$I126)-SUM($K126:P126)))</f>
        <v>0</v>
      </c>
      <c r="R126" s="150">
        <f>IF($B126="NA","NA",IF($B126&lt;=$D$15,0,MIN(IF($B126=($D$15+1),'Stage (8) Investment'!$I126,SUM($K125:R125)),'Stage (9) Investment:Stage (10) Investment'!$I126)-SUM($K126:Q126)))</f>
        <v>0</v>
      </c>
      <c r="S126" s="150">
        <f>IF($B126="NA","NA",IF($B126&lt;=$D$16,0,MIN(IF($B126=($D$16+1),'Stage (9) Investment'!$I126,SUM($K125:S125)),'Stage (10) Investment'!$I126)-SUM($K126:R126)))</f>
        <v>0</v>
      </c>
      <c r="T126" s="151">
        <f>IF($B126="NA","NA",IF($B126&lt;=$D$17,0,IF($B126=($D$17+1),'Stage (10) Investment'!$I126,SUM($K125:T125))-SUM($K126:S126)))</f>
        <v>0</v>
      </c>
    </row>
    <row r="127" spans="1:20" x14ac:dyDescent="0.2">
      <c r="A127" s="86">
        <f t="shared" si="10"/>
        <v>3167</v>
      </c>
      <c r="B127" s="142">
        <f t="shared" si="11"/>
        <v>105</v>
      </c>
      <c r="C127" s="143">
        <f t="shared" si="13"/>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50">
        <f>IF(B127="NA","NA",IF(ISNUMBER(VLOOKUP($C127,'A4 Investment'!$A$24:$G$33,7,FALSE)),VLOOKUP($C127,'A4 Investment'!$A$24:$G$33,7,FALSE)*'A4 Investment'!G$18/12,0))</f>
        <v>0</v>
      </c>
      <c r="I127" s="151">
        <f t="shared" si="14"/>
        <v>8904.1666666666661</v>
      </c>
      <c r="J127" s="149">
        <f t="shared" si="12"/>
        <v>8904.1666666666661</v>
      </c>
      <c r="K127" s="150">
        <f>IF($B127="NA","NA",IF($B127&lt;=$D$8,0,MIN(IF($B127=($D$8+1),'Stage (1) Investment'!$I127,K126),'Stage (2) Investment:Stage (10) Investment'!$I127)))</f>
        <v>8904.1666666666661</v>
      </c>
      <c r="L127" s="150">
        <f>IF($B127="NA","NA",IF($B127&lt;=$D$9,0,MIN(IF($B127=($D$9+1),'Stage (2) Investment'!$I127,SUM($K126:L126)),'Stage (3) Investment:Stage (10) Investment'!$I127)-K127))</f>
        <v>0</v>
      </c>
      <c r="M127" s="150">
        <f>IF($B127="NA","NA",IF($B127&lt;=$D$10,0,MIN(IF($B127=($D$10+1),'Stage (3) Investment'!$I127,SUM($K126:M126)),'Stage (4) Investment:Stage (10) Investment'!$I127)-SUM($K127:L127)))</f>
        <v>0</v>
      </c>
      <c r="N127" s="150">
        <f>IF($B127="NA","NA",IF($B127&lt;=$D$11,0,MIN(IF($B127=($D$11+1),'Stage (4) Investment'!$I127,SUM($K126:N126)),'Stage (5) Investment:Stage (10) Investment'!$I127)-SUM($K127:M127)))</f>
        <v>0</v>
      </c>
      <c r="O127" s="150">
        <f>IF($B127="NA","NA",IF($B127&lt;=$D$12,0,MIN(IF($B127=($D$12+1),'Stage (5) Investment'!$I127,SUM($K126:O126)),'Stage (6) Investment:Stage (10) Investment'!$I127)-SUM($K127:N127)))</f>
        <v>0</v>
      </c>
      <c r="P127" s="150">
        <f>IF($B127="NA","NA",IF($B127&lt;=$D$13,0,MIN(IF($B127=($D$13+1),'Stage (6) Investment'!$I127,SUM($K126:P126)),'Stage (7) Investment:Stage (10) Investment'!$I127)-SUM($K127:O127)))</f>
        <v>0</v>
      </c>
      <c r="Q127" s="150">
        <f>IF($B127="NA","NA",IF($B127&lt;=$D$14,0,MIN(IF($B127=($D$14+1),'Stage (7) Investment'!$I127,SUM($K126:Q126)),'Stage (8) Investment:Stage (10) Investment'!$I127)-SUM($K127:P127)))</f>
        <v>0</v>
      </c>
      <c r="R127" s="150">
        <f>IF($B127="NA","NA",IF($B127&lt;=$D$15,0,MIN(IF($B127=($D$15+1),'Stage (8) Investment'!$I127,SUM($K126:R126)),'Stage (9) Investment:Stage (10) Investment'!$I127)-SUM($K127:Q127)))</f>
        <v>0</v>
      </c>
      <c r="S127" s="150">
        <f>IF($B127="NA","NA",IF($B127&lt;=$D$16,0,MIN(IF($B127=($D$16+1),'Stage (9) Investment'!$I127,SUM($K126:S126)),'Stage (10) Investment'!$I127)-SUM($K127:R127)))</f>
        <v>0</v>
      </c>
      <c r="T127" s="151">
        <f>IF($B127="NA","NA",IF($B127&lt;=$D$17,0,IF($B127=($D$17+1),'Stage (10) Investment'!$I127,SUM($K126:T126))-SUM($K127:S127)))</f>
        <v>0</v>
      </c>
    </row>
    <row r="128" spans="1:20" x14ac:dyDescent="0.2">
      <c r="A128" s="86">
        <f t="shared" si="10"/>
        <v>3197</v>
      </c>
      <c r="B128" s="142">
        <f t="shared" si="11"/>
        <v>106</v>
      </c>
      <c r="C128" s="143">
        <f t="shared" si="13"/>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50">
        <f>IF(B128="NA","NA",IF(ISNUMBER(VLOOKUP($C128,'A4 Investment'!$A$24:$G$33,7,FALSE)),VLOOKUP($C128,'A4 Investment'!$A$24:$G$33,7,FALSE)*'A4 Investment'!G$18/12,0))</f>
        <v>0</v>
      </c>
      <c r="I128" s="151">
        <f t="shared" si="14"/>
        <v>8904.1666666666661</v>
      </c>
      <c r="J128" s="149">
        <f t="shared" si="12"/>
        <v>8904.1666666666661</v>
      </c>
      <c r="K128" s="150">
        <f>IF($B128="NA","NA",IF($B128&lt;=$D$8,0,MIN(IF($B128=($D$8+1),'Stage (1) Investment'!$I128,K127),'Stage (2) Investment:Stage (10) Investment'!$I128)))</f>
        <v>8904.1666666666661</v>
      </c>
      <c r="L128" s="150">
        <f>IF($B128="NA","NA",IF($B128&lt;=$D$9,0,MIN(IF($B128=($D$9+1),'Stage (2) Investment'!$I128,SUM($K127:L127)),'Stage (3) Investment:Stage (10) Investment'!$I128)-K128))</f>
        <v>0</v>
      </c>
      <c r="M128" s="150">
        <f>IF($B128="NA","NA",IF($B128&lt;=$D$10,0,MIN(IF($B128=($D$10+1),'Stage (3) Investment'!$I128,SUM($K127:M127)),'Stage (4) Investment:Stage (10) Investment'!$I128)-SUM($K128:L128)))</f>
        <v>0</v>
      </c>
      <c r="N128" s="150">
        <f>IF($B128="NA","NA",IF($B128&lt;=$D$11,0,MIN(IF($B128=($D$11+1),'Stage (4) Investment'!$I128,SUM($K127:N127)),'Stage (5) Investment:Stage (10) Investment'!$I128)-SUM($K128:M128)))</f>
        <v>0</v>
      </c>
      <c r="O128" s="150">
        <f>IF($B128="NA","NA",IF($B128&lt;=$D$12,0,MIN(IF($B128=($D$12+1),'Stage (5) Investment'!$I128,SUM($K127:O127)),'Stage (6) Investment:Stage (10) Investment'!$I128)-SUM($K128:N128)))</f>
        <v>0</v>
      </c>
      <c r="P128" s="150">
        <f>IF($B128="NA","NA",IF($B128&lt;=$D$13,0,MIN(IF($B128=($D$13+1),'Stage (6) Investment'!$I128,SUM($K127:P127)),'Stage (7) Investment:Stage (10) Investment'!$I128)-SUM($K128:O128)))</f>
        <v>0</v>
      </c>
      <c r="Q128" s="150">
        <f>IF($B128="NA","NA",IF($B128&lt;=$D$14,0,MIN(IF($B128=($D$14+1),'Stage (7) Investment'!$I128,SUM($K127:Q127)),'Stage (8) Investment:Stage (10) Investment'!$I128)-SUM($K128:P128)))</f>
        <v>0</v>
      </c>
      <c r="R128" s="150">
        <f>IF($B128="NA","NA",IF($B128&lt;=$D$15,0,MIN(IF($B128=($D$15+1),'Stage (8) Investment'!$I128,SUM($K127:R127)),'Stage (9) Investment:Stage (10) Investment'!$I128)-SUM($K128:Q128)))</f>
        <v>0</v>
      </c>
      <c r="S128" s="150">
        <f>IF($B128="NA","NA",IF($B128&lt;=$D$16,0,MIN(IF($B128=($D$16+1),'Stage (9) Investment'!$I128,SUM($K127:S127)),'Stage (10) Investment'!$I128)-SUM($K128:R128)))</f>
        <v>0</v>
      </c>
      <c r="T128" s="151">
        <f>IF($B128="NA","NA",IF($B128&lt;=$D$17,0,IF($B128=($D$17+1),'Stage (10) Investment'!$I128,SUM($K127:T127))-SUM($K128:S128)))</f>
        <v>0</v>
      </c>
    </row>
    <row r="129" spans="1:20" x14ac:dyDescent="0.2">
      <c r="A129" s="86">
        <f t="shared" si="10"/>
        <v>3228</v>
      </c>
      <c r="B129" s="142">
        <f t="shared" si="11"/>
        <v>107</v>
      </c>
      <c r="C129" s="143">
        <f t="shared" si="13"/>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50">
        <f>IF(B129="NA","NA",IF(ISNUMBER(VLOOKUP($C129,'A4 Investment'!$A$24:$G$33,7,FALSE)),VLOOKUP($C129,'A4 Investment'!$A$24:$G$33,7,FALSE)*'A4 Investment'!G$18/12,0))</f>
        <v>0</v>
      </c>
      <c r="I129" s="151">
        <f t="shared" si="14"/>
        <v>8904.1666666666661</v>
      </c>
      <c r="J129" s="149">
        <f t="shared" si="12"/>
        <v>8904.1666666666661</v>
      </c>
      <c r="K129" s="150">
        <f>IF($B129="NA","NA",IF($B129&lt;=$D$8,0,MIN(IF($B129=($D$8+1),'Stage (1) Investment'!$I129,K128),'Stage (2) Investment:Stage (10) Investment'!$I129)))</f>
        <v>8904.1666666666661</v>
      </c>
      <c r="L129" s="150">
        <f>IF($B129="NA","NA",IF($B129&lt;=$D$9,0,MIN(IF($B129=($D$9+1),'Stage (2) Investment'!$I129,SUM($K128:L128)),'Stage (3) Investment:Stage (10) Investment'!$I129)-K129))</f>
        <v>0</v>
      </c>
      <c r="M129" s="150">
        <f>IF($B129="NA","NA",IF($B129&lt;=$D$10,0,MIN(IF($B129=($D$10+1),'Stage (3) Investment'!$I129,SUM($K128:M128)),'Stage (4) Investment:Stage (10) Investment'!$I129)-SUM($K129:L129)))</f>
        <v>0</v>
      </c>
      <c r="N129" s="150">
        <f>IF($B129="NA","NA",IF($B129&lt;=$D$11,0,MIN(IF($B129=($D$11+1),'Stage (4) Investment'!$I129,SUM($K128:N128)),'Stage (5) Investment:Stage (10) Investment'!$I129)-SUM($K129:M129)))</f>
        <v>0</v>
      </c>
      <c r="O129" s="150">
        <f>IF($B129="NA","NA",IF($B129&lt;=$D$12,0,MIN(IF($B129=($D$12+1),'Stage (5) Investment'!$I129,SUM($K128:O128)),'Stage (6) Investment:Stage (10) Investment'!$I129)-SUM($K129:N129)))</f>
        <v>0</v>
      </c>
      <c r="P129" s="150">
        <f>IF($B129="NA","NA",IF($B129&lt;=$D$13,0,MIN(IF($B129=($D$13+1),'Stage (6) Investment'!$I129,SUM($K128:P128)),'Stage (7) Investment:Stage (10) Investment'!$I129)-SUM($K129:O129)))</f>
        <v>0</v>
      </c>
      <c r="Q129" s="150">
        <f>IF($B129="NA","NA",IF($B129&lt;=$D$14,0,MIN(IF($B129=($D$14+1),'Stage (7) Investment'!$I129,SUM($K128:Q128)),'Stage (8) Investment:Stage (10) Investment'!$I129)-SUM($K129:P129)))</f>
        <v>0</v>
      </c>
      <c r="R129" s="150">
        <f>IF($B129="NA","NA",IF($B129&lt;=$D$15,0,MIN(IF($B129=($D$15+1),'Stage (8) Investment'!$I129,SUM($K128:R128)),'Stage (9) Investment:Stage (10) Investment'!$I129)-SUM($K129:Q129)))</f>
        <v>0</v>
      </c>
      <c r="S129" s="150">
        <f>IF($B129="NA","NA",IF($B129&lt;=$D$16,0,MIN(IF($B129=($D$16+1),'Stage (9) Investment'!$I129,SUM($K128:S128)),'Stage (10) Investment'!$I129)-SUM($K129:R129)))</f>
        <v>0</v>
      </c>
      <c r="T129" s="151">
        <f>IF($B129="NA","NA",IF($B129&lt;=$D$17,0,IF($B129=($D$17+1),'Stage (10) Investment'!$I129,SUM($K128:T128))-SUM($K129:S129)))</f>
        <v>0</v>
      </c>
    </row>
    <row r="130" spans="1:20" x14ac:dyDescent="0.2">
      <c r="A130" s="86">
        <f t="shared" si="10"/>
        <v>3258</v>
      </c>
      <c r="B130" s="142">
        <f t="shared" si="11"/>
        <v>108</v>
      </c>
      <c r="C130" s="143">
        <f t="shared" si="13"/>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50">
        <f>IF(B130="NA","NA",IF(ISNUMBER(VLOOKUP($C130,'A4 Investment'!$A$24:$G$33,7,FALSE)),VLOOKUP($C130,'A4 Investment'!$A$24:$G$33,7,FALSE)*'A4 Investment'!G$18/12,0))</f>
        <v>0</v>
      </c>
      <c r="I130" s="151">
        <f t="shared" si="14"/>
        <v>8904.1666666666661</v>
      </c>
      <c r="J130" s="149">
        <f t="shared" si="12"/>
        <v>8904.1666666666661</v>
      </c>
      <c r="K130" s="150">
        <f>IF($B130="NA","NA",IF($B130&lt;=$D$8,0,MIN(IF($B130=($D$8+1),'Stage (1) Investment'!$I130,K129),'Stage (2) Investment:Stage (10) Investment'!$I130)))</f>
        <v>8904.1666666666661</v>
      </c>
      <c r="L130" s="150">
        <f>IF($B130="NA","NA",IF($B130&lt;=$D$9,0,MIN(IF($B130=($D$9+1),'Stage (2) Investment'!$I130,SUM($K129:L129)),'Stage (3) Investment:Stage (10) Investment'!$I130)-K130))</f>
        <v>0</v>
      </c>
      <c r="M130" s="150">
        <f>IF($B130="NA","NA",IF($B130&lt;=$D$10,0,MIN(IF($B130=($D$10+1),'Stage (3) Investment'!$I130,SUM($K129:M129)),'Stage (4) Investment:Stage (10) Investment'!$I130)-SUM($K130:L130)))</f>
        <v>0</v>
      </c>
      <c r="N130" s="150">
        <f>IF($B130="NA","NA",IF($B130&lt;=$D$11,0,MIN(IF($B130=($D$11+1),'Stage (4) Investment'!$I130,SUM($K129:N129)),'Stage (5) Investment:Stage (10) Investment'!$I130)-SUM($K130:M130)))</f>
        <v>0</v>
      </c>
      <c r="O130" s="150">
        <f>IF($B130="NA","NA",IF($B130&lt;=$D$12,0,MIN(IF($B130=($D$12+1),'Stage (5) Investment'!$I130,SUM($K129:O129)),'Stage (6) Investment:Stage (10) Investment'!$I130)-SUM($K130:N130)))</f>
        <v>0</v>
      </c>
      <c r="P130" s="150">
        <f>IF($B130="NA","NA",IF($B130&lt;=$D$13,0,MIN(IF($B130=($D$13+1),'Stage (6) Investment'!$I130,SUM($K129:P129)),'Stage (7) Investment:Stage (10) Investment'!$I130)-SUM($K130:O130)))</f>
        <v>0</v>
      </c>
      <c r="Q130" s="150">
        <f>IF($B130="NA","NA",IF($B130&lt;=$D$14,0,MIN(IF($B130=($D$14+1),'Stage (7) Investment'!$I130,SUM($K129:Q129)),'Stage (8) Investment:Stage (10) Investment'!$I130)-SUM($K130:P130)))</f>
        <v>0</v>
      </c>
      <c r="R130" s="150">
        <f>IF($B130="NA","NA",IF($B130&lt;=$D$15,0,MIN(IF($B130=($D$15+1),'Stage (8) Investment'!$I130,SUM($K129:R129)),'Stage (9) Investment:Stage (10) Investment'!$I130)-SUM($K130:Q130)))</f>
        <v>0</v>
      </c>
      <c r="S130" s="150">
        <f>IF($B130="NA","NA",IF($B130&lt;=$D$16,0,MIN(IF($B130=($D$16+1),'Stage (9) Investment'!$I130,SUM($K129:S129)),'Stage (10) Investment'!$I130)-SUM($K130:R130)))</f>
        <v>0</v>
      </c>
      <c r="T130" s="151">
        <f>IF($B130="NA","NA",IF($B130&lt;=$D$17,0,IF($B130=($D$17+1),'Stage (10) Investment'!$I130,SUM($K129:T129))-SUM($K130:S130)))</f>
        <v>0</v>
      </c>
    </row>
    <row r="131" spans="1:20" x14ac:dyDescent="0.2">
      <c r="A131" s="86">
        <f t="shared" si="10"/>
        <v>3289</v>
      </c>
      <c r="B131" s="142">
        <f t="shared" si="11"/>
        <v>109</v>
      </c>
      <c r="C131" s="143">
        <f t="shared" si="13"/>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50">
        <f>IF(B131="NA","NA",IF(ISNUMBER(VLOOKUP($C131,'A4 Investment'!$A$24:$G$33,7,FALSE)),VLOOKUP($C131,'A4 Investment'!$A$24:$G$33,7,FALSE)*'A4 Investment'!G$18/12,0))</f>
        <v>0</v>
      </c>
      <c r="I131" s="151">
        <f t="shared" si="14"/>
        <v>8904.1666666666661</v>
      </c>
      <c r="J131" s="149">
        <f t="shared" si="12"/>
        <v>8904.1666666666661</v>
      </c>
      <c r="K131" s="150">
        <f>IF($B131="NA","NA",IF($B131&lt;=$D$8,0,MIN(IF($B131=($D$8+1),'Stage (1) Investment'!$I131,K130),'Stage (2) Investment:Stage (10) Investment'!$I131)))</f>
        <v>8904.1666666666661</v>
      </c>
      <c r="L131" s="150">
        <f>IF($B131="NA","NA",IF($B131&lt;=$D$9,0,MIN(IF($B131=($D$9+1),'Stage (2) Investment'!$I131,SUM($K130:L130)),'Stage (3) Investment:Stage (10) Investment'!$I131)-K131))</f>
        <v>0</v>
      </c>
      <c r="M131" s="150">
        <f>IF($B131="NA","NA",IF($B131&lt;=$D$10,0,MIN(IF($B131=($D$10+1),'Stage (3) Investment'!$I131,SUM($K130:M130)),'Stage (4) Investment:Stage (10) Investment'!$I131)-SUM($K131:L131)))</f>
        <v>0</v>
      </c>
      <c r="N131" s="150">
        <f>IF($B131="NA","NA",IF($B131&lt;=$D$11,0,MIN(IF($B131=($D$11+1),'Stage (4) Investment'!$I131,SUM($K130:N130)),'Stage (5) Investment:Stage (10) Investment'!$I131)-SUM($K131:M131)))</f>
        <v>0</v>
      </c>
      <c r="O131" s="150">
        <f>IF($B131="NA","NA",IF($B131&lt;=$D$12,0,MIN(IF($B131=($D$12+1),'Stage (5) Investment'!$I131,SUM($K130:O130)),'Stage (6) Investment:Stage (10) Investment'!$I131)-SUM($K131:N131)))</f>
        <v>0</v>
      </c>
      <c r="P131" s="150">
        <f>IF($B131="NA","NA",IF($B131&lt;=$D$13,0,MIN(IF($B131=($D$13+1),'Stage (6) Investment'!$I131,SUM($K130:P130)),'Stage (7) Investment:Stage (10) Investment'!$I131)-SUM($K131:O131)))</f>
        <v>0</v>
      </c>
      <c r="Q131" s="150">
        <f>IF($B131="NA","NA",IF($B131&lt;=$D$14,0,MIN(IF($B131=($D$14+1),'Stage (7) Investment'!$I131,SUM($K130:Q130)),'Stage (8) Investment:Stage (10) Investment'!$I131)-SUM($K131:P131)))</f>
        <v>0</v>
      </c>
      <c r="R131" s="150">
        <f>IF($B131="NA","NA",IF($B131&lt;=$D$15,0,MIN(IF($B131=($D$15+1),'Stage (8) Investment'!$I131,SUM($K130:R130)),'Stage (9) Investment:Stage (10) Investment'!$I131)-SUM($K131:Q131)))</f>
        <v>0</v>
      </c>
      <c r="S131" s="150">
        <f>IF($B131="NA","NA",IF($B131&lt;=$D$16,0,MIN(IF($B131=($D$16+1),'Stage (9) Investment'!$I131,SUM($K130:S130)),'Stage (10) Investment'!$I131)-SUM($K131:R131)))</f>
        <v>0</v>
      </c>
      <c r="T131" s="151">
        <f>IF($B131="NA","NA",IF($B131&lt;=$D$17,0,IF($B131=($D$17+1),'Stage (10) Investment'!$I131,SUM($K130:T130))-SUM($K131:S131)))</f>
        <v>0</v>
      </c>
    </row>
    <row r="132" spans="1:20" x14ac:dyDescent="0.2">
      <c r="A132" s="86">
        <f t="shared" si="10"/>
        <v>3320</v>
      </c>
      <c r="B132" s="142">
        <f t="shared" si="11"/>
        <v>110</v>
      </c>
      <c r="C132" s="143">
        <f t="shared" si="13"/>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50">
        <f>IF(B132="NA","NA",IF(ISNUMBER(VLOOKUP($C132,'A4 Investment'!$A$24:$G$33,7,FALSE)),VLOOKUP($C132,'A4 Investment'!$A$24:$G$33,7,FALSE)*'A4 Investment'!G$18/12,0))</f>
        <v>0</v>
      </c>
      <c r="I132" s="151">
        <f t="shared" si="14"/>
        <v>8904.1666666666661</v>
      </c>
      <c r="J132" s="149">
        <f t="shared" si="12"/>
        <v>8904.1666666666661</v>
      </c>
      <c r="K132" s="150">
        <f>IF($B132="NA","NA",IF($B132&lt;=$D$8,0,MIN(IF($B132=($D$8+1),'Stage (1) Investment'!$I132,K131),'Stage (2) Investment:Stage (10) Investment'!$I132)))</f>
        <v>8904.1666666666661</v>
      </c>
      <c r="L132" s="150">
        <f>IF($B132="NA","NA",IF($B132&lt;=$D$9,0,MIN(IF($B132=($D$9+1),'Stage (2) Investment'!$I132,SUM($K131:L131)),'Stage (3) Investment:Stage (10) Investment'!$I132)-K132))</f>
        <v>0</v>
      </c>
      <c r="M132" s="150">
        <f>IF($B132="NA","NA",IF($B132&lt;=$D$10,0,MIN(IF($B132=($D$10+1),'Stage (3) Investment'!$I132,SUM($K131:M131)),'Stage (4) Investment:Stage (10) Investment'!$I132)-SUM($K132:L132)))</f>
        <v>0</v>
      </c>
      <c r="N132" s="150">
        <f>IF($B132="NA","NA",IF($B132&lt;=$D$11,0,MIN(IF($B132=($D$11+1),'Stage (4) Investment'!$I132,SUM($K131:N131)),'Stage (5) Investment:Stage (10) Investment'!$I132)-SUM($K132:M132)))</f>
        <v>0</v>
      </c>
      <c r="O132" s="150">
        <f>IF($B132="NA","NA",IF($B132&lt;=$D$12,0,MIN(IF($B132=($D$12+1),'Stage (5) Investment'!$I132,SUM($K131:O131)),'Stage (6) Investment:Stage (10) Investment'!$I132)-SUM($K132:N132)))</f>
        <v>0</v>
      </c>
      <c r="P132" s="150">
        <f>IF($B132="NA","NA",IF($B132&lt;=$D$13,0,MIN(IF($B132=($D$13+1),'Stage (6) Investment'!$I132,SUM($K131:P131)),'Stage (7) Investment:Stage (10) Investment'!$I132)-SUM($K132:O132)))</f>
        <v>0</v>
      </c>
      <c r="Q132" s="150">
        <f>IF($B132="NA","NA",IF($B132&lt;=$D$14,0,MIN(IF($B132=($D$14+1),'Stage (7) Investment'!$I132,SUM($K131:Q131)),'Stage (8) Investment:Stage (10) Investment'!$I132)-SUM($K132:P132)))</f>
        <v>0</v>
      </c>
      <c r="R132" s="150">
        <f>IF($B132="NA","NA",IF($B132&lt;=$D$15,0,MIN(IF($B132=($D$15+1),'Stage (8) Investment'!$I132,SUM($K131:R131)),'Stage (9) Investment:Stage (10) Investment'!$I132)-SUM($K132:Q132)))</f>
        <v>0</v>
      </c>
      <c r="S132" s="150">
        <f>IF($B132="NA","NA",IF($B132&lt;=$D$16,0,MIN(IF($B132=($D$16+1),'Stage (9) Investment'!$I132,SUM($K131:S131)),'Stage (10) Investment'!$I132)-SUM($K132:R132)))</f>
        <v>0</v>
      </c>
      <c r="T132" s="151">
        <f>IF($B132="NA","NA",IF($B132&lt;=$D$17,0,IF($B132=($D$17+1),'Stage (10) Investment'!$I132,SUM($K131:T131))-SUM($K132:S132)))</f>
        <v>0</v>
      </c>
    </row>
    <row r="133" spans="1:20" x14ac:dyDescent="0.2">
      <c r="A133" s="86">
        <f t="shared" si="10"/>
        <v>3348</v>
      </c>
      <c r="B133" s="142">
        <f t="shared" si="11"/>
        <v>111</v>
      </c>
      <c r="C133" s="143">
        <f t="shared" si="13"/>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50">
        <f>IF(B133="NA","NA",IF(ISNUMBER(VLOOKUP($C133,'A4 Investment'!$A$24:$G$33,7,FALSE)),VLOOKUP($C133,'A4 Investment'!$A$24:$G$33,7,FALSE)*'A4 Investment'!G$18/12,0))</f>
        <v>0</v>
      </c>
      <c r="I133" s="151">
        <f t="shared" si="14"/>
        <v>8904.1666666666661</v>
      </c>
      <c r="J133" s="149">
        <f t="shared" si="12"/>
        <v>8904.1666666666661</v>
      </c>
      <c r="K133" s="150">
        <f>IF($B133="NA","NA",IF($B133&lt;=$D$8,0,MIN(IF($B133=($D$8+1),'Stage (1) Investment'!$I133,K132),'Stage (2) Investment:Stage (10) Investment'!$I133)))</f>
        <v>8904.1666666666661</v>
      </c>
      <c r="L133" s="150">
        <f>IF($B133="NA","NA",IF($B133&lt;=$D$9,0,MIN(IF($B133=($D$9+1),'Stage (2) Investment'!$I133,SUM($K132:L132)),'Stage (3) Investment:Stage (10) Investment'!$I133)-K133))</f>
        <v>0</v>
      </c>
      <c r="M133" s="150">
        <f>IF($B133="NA","NA",IF($B133&lt;=$D$10,0,MIN(IF($B133=($D$10+1),'Stage (3) Investment'!$I133,SUM($K132:M132)),'Stage (4) Investment:Stage (10) Investment'!$I133)-SUM($K133:L133)))</f>
        <v>0</v>
      </c>
      <c r="N133" s="150">
        <f>IF($B133="NA","NA",IF($B133&lt;=$D$11,0,MIN(IF($B133=($D$11+1),'Stage (4) Investment'!$I133,SUM($K132:N132)),'Stage (5) Investment:Stage (10) Investment'!$I133)-SUM($K133:M133)))</f>
        <v>0</v>
      </c>
      <c r="O133" s="150">
        <f>IF($B133="NA","NA",IF($B133&lt;=$D$12,0,MIN(IF($B133=($D$12+1),'Stage (5) Investment'!$I133,SUM($K132:O132)),'Stage (6) Investment:Stage (10) Investment'!$I133)-SUM($K133:N133)))</f>
        <v>0</v>
      </c>
      <c r="P133" s="150">
        <f>IF($B133="NA","NA",IF($B133&lt;=$D$13,0,MIN(IF($B133=($D$13+1),'Stage (6) Investment'!$I133,SUM($K132:P132)),'Stage (7) Investment:Stage (10) Investment'!$I133)-SUM($K133:O133)))</f>
        <v>0</v>
      </c>
      <c r="Q133" s="150">
        <f>IF($B133="NA","NA",IF($B133&lt;=$D$14,0,MIN(IF($B133=($D$14+1),'Stage (7) Investment'!$I133,SUM($K132:Q132)),'Stage (8) Investment:Stage (10) Investment'!$I133)-SUM($K133:P133)))</f>
        <v>0</v>
      </c>
      <c r="R133" s="150">
        <f>IF($B133="NA","NA",IF($B133&lt;=$D$15,0,MIN(IF($B133=($D$15+1),'Stage (8) Investment'!$I133,SUM($K132:R132)),'Stage (9) Investment:Stage (10) Investment'!$I133)-SUM($K133:Q133)))</f>
        <v>0</v>
      </c>
      <c r="S133" s="150">
        <f>IF($B133="NA","NA",IF($B133&lt;=$D$16,0,MIN(IF($B133=($D$16+1),'Stage (9) Investment'!$I133,SUM($K132:S132)),'Stage (10) Investment'!$I133)-SUM($K133:R133)))</f>
        <v>0</v>
      </c>
      <c r="T133" s="151">
        <f>IF($B133="NA","NA",IF($B133&lt;=$D$17,0,IF($B133=($D$17+1),'Stage (10) Investment'!$I133,SUM($K132:T132))-SUM($K133:S133)))</f>
        <v>0</v>
      </c>
    </row>
    <row r="134" spans="1:20" x14ac:dyDescent="0.2">
      <c r="A134" s="86">
        <f t="shared" si="10"/>
        <v>3379</v>
      </c>
      <c r="B134" s="142">
        <f t="shared" si="11"/>
        <v>112</v>
      </c>
      <c r="C134" s="143">
        <f t="shared" si="13"/>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50">
        <f>IF(B134="NA","NA",IF(ISNUMBER(VLOOKUP($C134,'A4 Investment'!$A$24:$G$33,7,FALSE)),VLOOKUP($C134,'A4 Investment'!$A$24:$G$33,7,FALSE)*'A4 Investment'!G$18/12,0))</f>
        <v>0</v>
      </c>
      <c r="I134" s="151">
        <f t="shared" si="14"/>
        <v>8904.1666666666661</v>
      </c>
      <c r="J134" s="149">
        <f t="shared" si="12"/>
        <v>8904.1666666666661</v>
      </c>
      <c r="K134" s="150">
        <f>IF($B134="NA","NA",IF($B134&lt;=$D$8,0,MIN(IF($B134=($D$8+1),'Stage (1) Investment'!$I134,K133),'Stage (2) Investment:Stage (10) Investment'!$I134)))</f>
        <v>8904.1666666666661</v>
      </c>
      <c r="L134" s="150">
        <f>IF($B134="NA","NA",IF($B134&lt;=$D$9,0,MIN(IF($B134=($D$9+1),'Stage (2) Investment'!$I134,SUM($K133:L133)),'Stage (3) Investment:Stage (10) Investment'!$I134)-K134))</f>
        <v>0</v>
      </c>
      <c r="M134" s="150">
        <f>IF($B134="NA","NA",IF($B134&lt;=$D$10,0,MIN(IF($B134=($D$10+1),'Stage (3) Investment'!$I134,SUM($K133:M133)),'Stage (4) Investment:Stage (10) Investment'!$I134)-SUM($K134:L134)))</f>
        <v>0</v>
      </c>
      <c r="N134" s="150">
        <f>IF($B134="NA","NA",IF($B134&lt;=$D$11,0,MIN(IF($B134=($D$11+1),'Stage (4) Investment'!$I134,SUM($K133:N133)),'Stage (5) Investment:Stage (10) Investment'!$I134)-SUM($K134:M134)))</f>
        <v>0</v>
      </c>
      <c r="O134" s="150">
        <f>IF($B134="NA","NA",IF($B134&lt;=$D$12,0,MIN(IF($B134=($D$12+1),'Stage (5) Investment'!$I134,SUM($K133:O133)),'Stage (6) Investment:Stage (10) Investment'!$I134)-SUM($K134:N134)))</f>
        <v>0</v>
      </c>
      <c r="P134" s="150">
        <f>IF($B134="NA","NA",IF($B134&lt;=$D$13,0,MIN(IF($B134=($D$13+1),'Stage (6) Investment'!$I134,SUM($K133:P133)),'Stage (7) Investment:Stage (10) Investment'!$I134)-SUM($K134:O134)))</f>
        <v>0</v>
      </c>
      <c r="Q134" s="150">
        <f>IF($B134="NA","NA",IF($B134&lt;=$D$14,0,MIN(IF($B134=($D$14+1),'Stage (7) Investment'!$I134,SUM($K133:Q133)),'Stage (8) Investment:Stage (10) Investment'!$I134)-SUM($K134:P134)))</f>
        <v>0</v>
      </c>
      <c r="R134" s="150">
        <f>IF($B134="NA","NA",IF($B134&lt;=$D$15,0,MIN(IF($B134=($D$15+1),'Stage (8) Investment'!$I134,SUM($K133:R133)),'Stage (9) Investment:Stage (10) Investment'!$I134)-SUM($K134:Q134)))</f>
        <v>0</v>
      </c>
      <c r="S134" s="150">
        <f>IF($B134="NA","NA",IF($B134&lt;=$D$16,0,MIN(IF($B134=($D$16+1),'Stage (9) Investment'!$I134,SUM($K133:S133)),'Stage (10) Investment'!$I134)-SUM($K134:R134)))</f>
        <v>0</v>
      </c>
      <c r="T134" s="151">
        <f>IF($B134="NA","NA",IF($B134&lt;=$D$17,0,IF($B134=($D$17+1),'Stage (10) Investment'!$I134,SUM($K133:T133))-SUM($K134:S134)))</f>
        <v>0</v>
      </c>
    </row>
    <row r="135" spans="1:20" x14ac:dyDescent="0.2">
      <c r="A135" s="86">
        <f t="shared" si="10"/>
        <v>3409</v>
      </c>
      <c r="B135" s="142">
        <f t="shared" si="11"/>
        <v>113</v>
      </c>
      <c r="C135" s="143">
        <f t="shared" si="13"/>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50">
        <f>IF(B135="NA","NA",IF(ISNUMBER(VLOOKUP($C135,'A4 Investment'!$A$24:$G$33,7,FALSE)),VLOOKUP($C135,'A4 Investment'!$A$24:$G$33,7,FALSE)*'A4 Investment'!G$18/12,0))</f>
        <v>0</v>
      </c>
      <c r="I135" s="151">
        <f t="shared" si="14"/>
        <v>8904.1666666666661</v>
      </c>
      <c r="J135" s="149">
        <f t="shared" si="12"/>
        <v>8904.1666666666661</v>
      </c>
      <c r="K135" s="150">
        <f>IF($B135="NA","NA",IF($B135&lt;=$D$8,0,MIN(IF($B135=($D$8+1),'Stage (1) Investment'!$I135,K134),'Stage (2) Investment:Stage (10) Investment'!$I135)))</f>
        <v>8904.1666666666661</v>
      </c>
      <c r="L135" s="150">
        <f>IF($B135="NA","NA",IF($B135&lt;=$D$9,0,MIN(IF($B135=($D$9+1),'Stage (2) Investment'!$I135,SUM($K134:L134)),'Stage (3) Investment:Stage (10) Investment'!$I135)-K135))</f>
        <v>0</v>
      </c>
      <c r="M135" s="150">
        <f>IF($B135="NA","NA",IF($B135&lt;=$D$10,0,MIN(IF($B135=($D$10+1),'Stage (3) Investment'!$I135,SUM($K134:M134)),'Stage (4) Investment:Stage (10) Investment'!$I135)-SUM($K135:L135)))</f>
        <v>0</v>
      </c>
      <c r="N135" s="150">
        <f>IF($B135="NA","NA",IF($B135&lt;=$D$11,0,MIN(IF($B135=($D$11+1),'Stage (4) Investment'!$I135,SUM($K134:N134)),'Stage (5) Investment:Stage (10) Investment'!$I135)-SUM($K135:M135)))</f>
        <v>0</v>
      </c>
      <c r="O135" s="150">
        <f>IF($B135="NA","NA",IF($B135&lt;=$D$12,0,MIN(IF($B135=($D$12+1),'Stage (5) Investment'!$I135,SUM($K134:O134)),'Stage (6) Investment:Stage (10) Investment'!$I135)-SUM($K135:N135)))</f>
        <v>0</v>
      </c>
      <c r="P135" s="150">
        <f>IF($B135="NA","NA",IF($B135&lt;=$D$13,0,MIN(IF($B135=($D$13+1),'Stage (6) Investment'!$I135,SUM($K134:P134)),'Stage (7) Investment:Stage (10) Investment'!$I135)-SUM($K135:O135)))</f>
        <v>0</v>
      </c>
      <c r="Q135" s="150">
        <f>IF($B135="NA","NA",IF($B135&lt;=$D$14,0,MIN(IF($B135=($D$14+1),'Stage (7) Investment'!$I135,SUM($K134:Q134)),'Stage (8) Investment:Stage (10) Investment'!$I135)-SUM($K135:P135)))</f>
        <v>0</v>
      </c>
      <c r="R135" s="150">
        <f>IF($B135="NA","NA",IF($B135&lt;=$D$15,0,MIN(IF($B135=($D$15+1),'Stage (8) Investment'!$I135,SUM($K134:R134)),'Stage (9) Investment:Stage (10) Investment'!$I135)-SUM($K135:Q135)))</f>
        <v>0</v>
      </c>
      <c r="S135" s="150">
        <f>IF($B135="NA","NA",IF($B135&lt;=$D$16,0,MIN(IF($B135=($D$16+1),'Stage (9) Investment'!$I135,SUM($K134:S134)),'Stage (10) Investment'!$I135)-SUM($K135:R135)))</f>
        <v>0</v>
      </c>
      <c r="T135" s="151">
        <f>IF($B135="NA","NA",IF($B135&lt;=$D$17,0,IF($B135=($D$17+1),'Stage (10) Investment'!$I135,SUM($K134:T134))-SUM($K135:S135)))</f>
        <v>0</v>
      </c>
    </row>
    <row r="136" spans="1:20" x14ac:dyDescent="0.2">
      <c r="A136" s="86">
        <f t="shared" si="10"/>
        <v>3440</v>
      </c>
      <c r="B136" s="142">
        <f t="shared" si="11"/>
        <v>114</v>
      </c>
      <c r="C136" s="143">
        <f t="shared" si="13"/>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50">
        <f>IF(B136="NA","NA",IF(ISNUMBER(VLOOKUP($C136,'A4 Investment'!$A$24:$G$33,7,FALSE)),VLOOKUP($C136,'A4 Investment'!$A$24:$G$33,7,FALSE)*'A4 Investment'!G$18/12,0))</f>
        <v>0</v>
      </c>
      <c r="I136" s="151">
        <f t="shared" si="14"/>
        <v>8904.1666666666661</v>
      </c>
      <c r="J136" s="149">
        <f t="shared" si="12"/>
        <v>8904.1666666666661</v>
      </c>
      <c r="K136" s="150">
        <f>IF($B136="NA","NA",IF($B136&lt;=$D$8,0,MIN(IF($B136=($D$8+1),'Stage (1) Investment'!$I136,K135),'Stage (2) Investment:Stage (10) Investment'!$I136)))</f>
        <v>8904.1666666666661</v>
      </c>
      <c r="L136" s="150">
        <f>IF($B136="NA","NA",IF($B136&lt;=$D$9,0,MIN(IF($B136=($D$9+1),'Stage (2) Investment'!$I136,SUM($K135:L135)),'Stage (3) Investment:Stage (10) Investment'!$I136)-K136))</f>
        <v>0</v>
      </c>
      <c r="M136" s="150">
        <f>IF($B136="NA","NA",IF($B136&lt;=$D$10,0,MIN(IF($B136=($D$10+1),'Stage (3) Investment'!$I136,SUM($K135:M135)),'Stage (4) Investment:Stage (10) Investment'!$I136)-SUM($K136:L136)))</f>
        <v>0</v>
      </c>
      <c r="N136" s="150">
        <f>IF($B136="NA","NA",IF($B136&lt;=$D$11,0,MIN(IF($B136=($D$11+1),'Stage (4) Investment'!$I136,SUM($K135:N135)),'Stage (5) Investment:Stage (10) Investment'!$I136)-SUM($K136:M136)))</f>
        <v>0</v>
      </c>
      <c r="O136" s="150">
        <f>IF($B136="NA","NA",IF($B136&lt;=$D$12,0,MIN(IF($B136=($D$12+1),'Stage (5) Investment'!$I136,SUM($K135:O135)),'Stage (6) Investment:Stage (10) Investment'!$I136)-SUM($K136:N136)))</f>
        <v>0</v>
      </c>
      <c r="P136" s="150">
        <f>IF($B136="NA","NA",IF($B136&lt;=$D$13,0,MIN(IF($B136=($D$13+1),'Stage (6) Investment'!$I136,SUM($K135:P135)),'Stage (7) Investment:Stage (10) Investment'!$I136)-SUM($K136:O136)))</f>
        <v>0</v>
      </c>
      <c r="Q136" s="150">
        <f>IF($B136="NA","NA",IF($B136&lt;=$D$14,0,MIN(IF($B136=($D$14+1),'Stage (7) Investment'!$I136,SUM($K135:Q135)),'Stage (8) Investment:Stage (10) Investment'!$I136)-SUM($K136:P136)))</f>
        <v>0</v>
      </c>
      <c r="R136" s="150">
        <f>IF($B136="NA","NA",IF($B136&lt;=$D$15,0,MIN(IF($B136=($D$15+1),'Stage (8) Investment'!$I136,SUM($K135:R135)),'Stage (9) Investment:Stage (10) Investment'!$I136)-SUM($K136:Q136)))</f>
        <v>0</v>
      </c>
      <c r="S136" s="150">
        <f>IF($B136="NA","NA",IF($B136&lt;=$D$16,0,MIN(IF($B136=($D$16+1),'Stage (9) Investment'!$I136,SUM($K135:S135)),'Stage (10) Investment'!$I136)-SUM($K136:R136)))</f>
        <v>0</v>
      </c>
      <c r="T136" s="151">
        <f>IF($B136="NA","NA",IF($B136&lt;=$D$17,0,IF($B136=($D$17+1),'Stage (10) Investment'!$I136,SUM($K135:T135))-SUM($K136:S136)))</f>
        <v>0</v>
      </c>
    </row>
    <row r="137" spans="1:20" x14ac:dyDescent="0.2">
      <c r="A137" s="86">
        <f t="shared" si="10"/>
        <v>3470</v>
      </c>
      <c r="B137" s="142">
        <f t="shared" si="11"/>
        <v>115</v>
      </c>
      <c r="C137" s="143">
        <f t="shared" si="13"/>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50">
        <f>IF(B137="NA","NA",IF(ISNUMBER(VLOOKUP($C137,'A4 Investment'!$A$24:$G$33,7,FALSE)),VLOOKUP($C137,'A4 Investment'!$A$24:$G$33,7,FALSE)*'A4 Investment'!G$18/12,0))</f>
        <v>0</v>
      </c>
      <c r="I137" s="151">
        <f t="shared" si="14"/>
        <v>8904.1666666666661</v>
      </c>
      <c r="J137" s="149">
        <f t="shared" si="12"/>
        <v>8904.1666666666661</v>
      </c>
      <c r="K137" s="150">
        <f>IF($B137="NA","NA",IF($B137&lt;=$D$8,0,MIN(IF($B137=($D$8+1),'Stage (1) Investment'!$I137,K136),'Stage (2) Investment:Stage (10) Investment'!$I137)))</f>
        <v>8904.1666666666661</v>
      </c>
      <c r="L137" s="150">
        <f>IF($B137="NA","NA",IF($B137&lt;=$D$9,0,MIN(IF($B137=($D$9+1),'Stage (2) Investment'!$I137,SUM($K136:L136)),'Stage (3) Investment:Stage (10) Investment'!$I137)-K137))</f>
        <v>0</v>
      </c>
      <c r="M137" s="150">
        <f>IF($B137="NA","NA",IF($B137&lt;=$D$10,0,MIN(IF($B137=($D$10+1),'Stage (3) Investment'!$I137,SUM($K136:M136)),'Stage (4) Investment:Stage (10) Investment'!$I137)-SUM($K137:L137)))</f>
        <v>0</v>
      </c>
      <c r="N137" s="150">
        <f>IF($B137="NA","NA",IF($B137&lt;=$D$11,0,MIN(IF($B137=($D$11+1),'Stage (4) Investment'!$I137,SUM($K136:N136)),'Stage (5) Investment:Stage (10) Investment'!$I137)-SUM($K137:M137)))</f>
        <v>0</v>
      </c>
      <c r="O137" s="150">
        <f>IF($B137="NA","NA",IF($B137&lt;=$D$12,0,MIN(IF($B137=($D$12+1),'Stage (5) Investment'!$I137,SUM($K136:O136)),'Stage (6) Investment:Stage (10) Investment'!$I137)-SUM($K137:N137)))</f>
        <v>0</v>
      </c>
      <c r="P137" s="150">
        <f>IF($B137="NA","NA",IF($B137&lt;=$D$13,0,MIN(IF($B137=($D$13+1),'Stage (6) Investment'!$I137,SUM($K136:P136)),'Stage (7) Investment:Stage (10) Investment'!$I137)-SUM($K137:O137)))</f>
        <v>0</v>
      </c>
      <c r="Q137" s="150">
        <f>IF($B137="NA","NA",IF($B137&lt;=$D$14,0,MIN(IF($B137=($D$14+1),'Stage (7) Investment'!$I137,SUM($K136:Q136)),'Stage (8) Investment:Stage (10) Investment'!$I137)-SUM($K137:P137)))</f>
        <v>0</v>
      </c>
      <c r="R137" s="150">
        <f>IF($B137="NA","NA",IF($B137&lt;=$D$15,0,MIN(IF($B137=($D$15+1),'Stage (8) Investment'!$I137,SUM($K136:R136)),'Stage (9) Investment:Stage (10) Investment'!$I137)-SUM($K137:Q137)))</f>
        <v>0</v>
      </c>
      <c r="S137" s="150">
        <f>IF($B137="NA","NA",IF($B137&lt;=$D$16,0,MIN(IF($B137=($D$16+1),'Stage (9) Investment'!$I137,SUM($K136:S136)),'Stage (10) Investment'!$I137)-SUM($K137:R137)))</f>
        <v>0</v>
      </c>
      <c r="T137" s="151">
        <f>IF($B137="NA","NA",IF($B137&lt;=$D$17,0,IF($B137=($D$17+1),'Stage (10) Investment'!$I137,SUM($K136:T136))-SUM($K137:S137)))</f>
        <v>0</v>
      </c>
    </row>
    <row r="138" spans="1:20" x14ac:dyDescent="0.2">
      <c r="A138" s="86">
        <f t="shared" si="10"/>
        <v>3501</v>
      </c>
      <c r="B138" s="142">
        <f t="shared" si="11"/>
        <v>116</v>
      </c>
      <c r="C138" s="143">
        <f t="shared" si="13"/>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50">
        <f>IF(B138="NA","NA",IF(ISNUMBER(VLOOKUP($C138,'A4 Investment'!$A$24:$G$33,7,FALSE)),VLOOKUP($C138,'A4 Investment'!$A$24:$G$33,7,FALSE)*'A4 Investment'!G$18/12,0))</f>
        <v>0</v>
      </c>
      <c r="I138" s="151">
        <f t="shared" si="14"/>
        <v>8904.1666666666661</v>
      </c>
      <c r="J138" s="149">
        <f t="shared" si="12"/>
        <v>8904.1666666666661</v>
      </c>
      <c r="K138" s="150">
        <f>IF($B138="NA","NA",IF($B138&lt;=$D$8,0,MIN(IF($B138=($D$8+1),'Stage (1) Investment'!$I138,K137),'Stage (2) Investment:Stage (10) Investment'!$I138)))</f>
        <v>8904.1666666666661</v>
      </c>
      <c r="L138" s="150">
        <f>IF($B138="NA","NA",IF($B138&lt;=$D$9,0,MIN(IF($B138=($D$9+1),'Stage (2) Investment'!$I138,SUM($K137:L137)),'Stage (3) Investment:Stage (10) Investment'!$I138)-K138))</f>
        <v>0</v>
      </c>
      <c r="M138" s="150">
        <f>IF($B138="NA","NA",IF($B138&lt;=$D$10,0,MIN(IF($B138=($D$10+1),'Stage (3) Investment'!$I138,SUM($K137:M137)),'Stage (4) Investment:Stage (10) Investment'!$I138)-SUM($K138:L138)))</f>
        <v>0</v>
      </c>
      <c r="N138" s="150">
        <f>IF($B138="NA","NA",IF($B138&lt;=$D$11,0,MIN(IF($B138=($D$11+1),'Stage (4) Investment'!$I138,SUM($K137:N137)),'Stage (5) Investment:Stage (10) Investment'!$I138)-SUM($K138:M138)))</f>
        <v>0</v>
      </c>
      <c r="O138" s="150">
        <f>IF($B138="NA","NA",IF($B138&lt;=$D$12,0,MIN(IF($B138=($D$12+1),'Stage (5) Investment'!$I138,SUM($K137:O137)),'Stage (6) Investment:Stage (10) Investment'!$I138)-SUM($K138:N138)))</f>
        <v>0</v>
      </c>
      <c r="P138" s="150">
        <f>IF($B138="NA","NA",IF($B138&lt;=$D$13,0,MIN(IF($B138=($D$13+1),'Stage (6) Investment'!$I138,SUM($K137:P137)),'Stage (7) Investment:Stage (10) Investment'!$I138)-SUM($K138:O138)))</f>
        <v>0</v>
      </c>
      <c r="Q138" s="150">
        <f>IF($B138="NA","NA",IF($B138&lt;=$D$14,0,MIN(IF($B138=($D$14+1),'Stage (7) Investment'!$I138,SUM($K137:Q137)),'Stage (8) Investment:Stage (10) Investment'!$I138)-SUM($K138:P138)))</f>
        <v>0</v>
      </c>
      <c r="R138" s="150">
        <f>IF($B138="NA","NA",IF($B138&lt;=$D$15,0,MIN(IF($B138=($D$15+1),'Stage (8) Investment'!$I138,SUM($K137:R137)),'Stage (9) Investment:Stage (10) Investment'!$I138)-SUM($K138:Q138)))</f>
        <v>0</v>
      </c>
      <c r="S138" s="150">
        <f>IF($B138="NA","NA",IF($B138&lt;=$D$16,0,MIN(IF($B138=($D$16+1),'Stage (9) Investment'!$I138,SUM($K137:S137)),'Stage (10) Investment'!$I138)-SUM($K138:R138)))</f>
        <v>0</v>
      </c>
      <c r="T138" s="151">
        <f>IF($B138="NA","NA",IF($B138&lt;=$D$17,0,IF($B138=($D$17+1),'Stage (10) Investment'!$I138,SUM($K137:T137))-SUM($K138:S138)))</f>
        <v>0</v>
      </c>
    </row>
    <row r="139" spans="1:20" x14ac:dyDescent="0.2">
      <c r="A139" s="86">
        <f t="shared" si="10"/>
        <v>3532</v>
      </c>
      <c r="B139" s="142">
        <f t="shared" si="11"/>
        <v>117</v>
      </c>
      <c r="C139" s="143">
        <f t="shared" si="13"/>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50">
        <f>IF(B139="NA","NA",IF(ISNUMBER(VLOOKUP($C139,'A4 Investment'!$A$24:$G$33,7,FALSE)),VLOOKUP($C139,'A4 Investment'!$A$24:$G$33,7,FALSE)*'A4 Investment'!G$18/12,0))</f>
        <v>0</v>
      </c>
      <c r="I139" s="151">
        <f t="shared" si="14"/>
        <v>8904.1666666666661</v>
      </c>
      <c r="J139" s="149">
        <f t="shared" si="12"/>
        <v>8904.1666666666661</v>
      </c>
      <c r="K139" s="150">
        <f>IF($B139="NA","NA",IF($B139&lt;=$D$8,0,MIN(IF($B139=($D$8+1),'Stage (1) Investment'!$I139,K138),'Stage (2) Investment:Stage (10) Investment'!$I139)))</f>
        <v>8904.1666666666661</v>
      </c>
      <c r="L139" s="150">
        <f>IF($B139="NA","NA",IF($B139&lt;=$D$9,0,MIN(IF($B139=($D$9+1),'Stage (2) Investment'!$I139,SUM($K138:L138)),'Stage (3) Investment:Stage (10) Investment'!$I139)-K139))</f>
        <v>0</v>
      </c>
      <c r="M139" s="150">
        <f>IF($B139="NA","NA",IF($B139&lt;=$D$10,0,MIN(IF($B139=($D$10+1),'Stage (3) Investment'!$I139,SUM($K138:M138)),'Stage (4) Investment:Stage (10) Investment'!$I139)-SUM($K139:L139)))</f>
        <v>0</v>
      </c>
      <c r="N139" s="150">
        <f>IF($B139="NA","NA",IF($B139&lt;=$D$11,0,MIN(IF($B139=($D$11+1),'Stage (4) Investment'!$I139,SUM($K138:N138)),'Stage (5) Investment:Stage (10) Investment'!$I139)-SUM($K139:M139)))</f>
        <v>0</v>
      </c>
      <c r="O139" s="150">
        <f>IF($B139="NA","NA",IF($B139&lt;=$D$12,0,MIN(IF($B139=($D$12+1),'Stage (5) Investment'!$I139,SUM($K138:O138)),'Stage (6) Investment:Stage (10) Investment'!$I139)-SUM($K139:N139)))</f>
        <v>0</v>
      </c>
      <c r="P139" s="150">
        <f>IF($B139="NA","NA",IF($B139&lt;=$D$13,0,MIN(IF($B139=($D$13+1),'Stage (6) Investment'!$I139,SUM($K138:P138)),'Stage (7) Investment:Stage (10) Investment'!$I139)-SUM($K139:O139)))</f>
        <v>0</v>
      </c>
      <c r="Q139" s="150">
        <f>IF($B139="NA","NA",IF($B139&lt;=$D$14,0,MIN(IF($B139=($D$14+1),'Stage (7) Investment'!$I139,SUM($K138:Q138)),'Stage (8) Investment:Stage (10) Investment'!$I139)-SUM($K139:P139)))</f>
        <v>0</v>
      </c>
      <c r="R139" s="150">
        <f>IF($B139="NA","NA",IF($B139&lt;=$D$15,0,MIN(IF($B139=($D$15+1),'Stage (8) Investment'!$I139,SUM($K138:R138)),'Stage (9) Investment:Stage (10) Investment'!$I139)-SUM($K139:Q139)))</f>
        <v>0</v>
      </c>
      <c r="S139" s="150">
        <f>IF($B139="NA","NA",IF($B139&lt;=$D$16,0,MIN(IF($B139=($D$16+1),'Stage (9) Investment'!$I139,SUM($K138:S138)),'Stage (10) Investment'!$I139)-SUM($K139:R139)))</f>
        <v>0</v>
      </c>
      <c r="T139" s="151">
        <f>IF($B139="NA","NA",IF($B139&lt;=$D$17,0,IF($B139=($D$17+1),'Stage (10) Investment'!$I139,SUM($K138:T138))-SUM($K139:S139)))</f>
        <v>0</v>
      </c>
    </row>
    <row r="140" spans="1:20" x14ac:dyDescent="0.2">
      <c r="A140" s="86">
        <f t="shared" si="10"/>
        <v>3562</v>
      </c>
      <c r="B140" s="142">
        <f t="shared" si="11"/>
        <v>118</v>
      </c>
      <c r="C140" s="143">
        <f t="shared" si="13"/>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50">
        <f>IF(B140="NA","NA",IF(ISNUMBER(VLOOKUP($C140,'A4 Investment'!$A$24:$G$33,7,FALSE)),VLOOKUP($C140,'A4 Investment'!$A$24:$G$33,7,FALSE)*'A4 Investment'!G$18/12,0))</f>
        <v>0</v>
      </c>
      <c r="I140" s="151">
        <f t="shared" si="14"/>
        <v>8904.1666666666661</v>
      </c>
      <c r="J140" s="149">
        <f t="shared" si="12"/>
        <v>8904.1666666666661</v>
      </c>
      <c r="K140" s="150">
        <f>IF($B140="NA","NA",IF($B140&lt;=$D$8,0,MIN(IF($B140=($D$8+1),'Stage (1) Investment'!$I140,K139),'Stage (2) Investment:Stage (10) Investment'!$I140)))</f>
        <v>8904.1666666666661</v>
      </c>
      <c r="L140" s="150">
        <f>IF($B140="NA","NA",IF($B140&lt;=$D$9,0,MIN(IF($B140=($D$9+1),'Stage (2) Investment'!$I140,SUM($K139:L139)),'Stage (3) Investment:Stage (10) Investment'!$I140)-K140))</f>
        <v>0</v>
      </c>
      <c r="M140" s="150">
        <f>IF($B140="NA","NA",IF($B140&lt;=$D$10,0,MIN(IF($B140=($D$10+1),'Stage (3) Investment'!$I140,SUM($K139:M139)),'Stage (4) Investment:Stage (10) Investment'!$I140)-SUM($K140:L140)))</f>
        <v>0</v>
      </c>
      <c r="N140" s="150">
        <f>IF($B140="NA","NA",IF($B140&lt;=$D$11,0,MIN(IF($B140=($D$11+1),'Stage (4) Investment'!$I140,SUM($K139:N139)),'Stage (5) Investment:Stage (10) Investment'!$I140)-SUM($K140:M140)))</f>
        <v>0</v>
      </c>
      <c r="O140" s="150">
        <f>IF($B140="NA","NA",IF($B140&lt;=$D$12,0,MIN(IF($B140=($D$12+1),'Stage (5) Investment'!$I140,SUM($K139:O139)),'Stage (6) Investment:Stage (10) Investment'!$I140)-SUM($K140:N140)))</f>
        <v>0</v>
      </c>
      <c r="P140" s="150">
        <f>IF($B140="NA","NA",IF($B140&lt;=$D$13,0,MIN(IF($B140=($D$13+1),'Stage (6) Investment'!$I140,SUM($K139:P139)),'Stage (7) Investment:Stage (10) Investment'!$I140)-SUM($K140:O140)))</f>
        <v>0</v>
      </c>
      <c r="Q140" s="150">
        <f>IF($B140="NA","NA",IF($B140&lt;=$D$14,0,MIN(IF($B140=($D$14+1),'Stage (7) Investment'!$I140,SUM($K139:Q139)),'Stage (8) Investment:Stage (10) Investment'!$I140)-SUM($K140:P140)))</f>
        <v>0</v>
      </c>
      <c r="R140" s="150">
        <f>IF($B140="NA","NA",IF($B140&lt;=$D$15,0,MIN(IF($B140=($D$15+1),'Stage (8) Investment'!$I140,SUM($K139:R139)),'Stage (9) Investment:Stage (10) Investment'!$I140)-SUM($K140:Q140)))</f>
        <v>0</v>
      </c>
      <c r="S140" s="150">
        <f>IF($B140="NA","NA",IF($B140&lt;=$D$16,0,MIN(IF($B140=($D$16+1),'Stage (9) Investment'!$I140,SUM($K139:S139)),'Stage (10) Investment'!$I140)-SUM($K140:R140)))</f>
        <v>0</v>
      </c>
      <c r="T140" s="151">
        <f>IF($B140="NA","NA",IF($B140&lt;=$D$17,0,IF($B140=($D$17+1),'Stage (10) Investment'!$I140,SUM($K139:T139))-SUM($K140:S140)))</f>
        <v>0</v>
      </c>
    </row>
    <row r="141" spans="1:20" x14ac:dyDescent="0.2">
      <c r="A141" s="86">
        <f t="shared" si="10"/>
        <v>3593</v>
      </c>
      <c r="B141" s="142">
        <f t="shared" si="11"/>
        <v>119</v>
      </c>
      <c r="C141" s="143">
        <f t="shared" si="13"/>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50">
        <f>IF(B141="NA","NA",IF(ISNUMBER(VLOOKUP($C141,'A4 Investment'!$A$24:$G$33,7,FALSE)),VLOOKUP($C141,'A4 Investment'!$A$24:$G$33,7,FALSE)*'A4 Investment'!G$18/12,0))</f>
        <v>0</v>
      </c>
      <c r="I141" s="151">
        <f t="shared" si="14"/>
        <v>8904.1666666666661</v>
      </c>
      <c r="J141" s="149">
        <f t="shared" si="12"/>
        <v>8904.1666666666661</v>
      </c>
      <c r="K141" s="150">
        <f>IF($B141="NA","NA",IF($B141&lt;=$D$8,0,MIN(IF($B141=($D$8+1),'Stage (1) Investment'!$I141,K140),'Stage (2) Investment:Stage (10) Investment'!$I141)))</f>
        <v>8904.1666666666661</v>
      </c>
      <c r="L141" s="150">
        <f>IF($B141="NA","NA",IF($B141&lt;=$D$9,0,MIN(IF($B141=($D$9+1),'Stage (2) Investment'!$I141,SUM($K140:L140)),'Stage (3) Investment:Stage (10) Investment'!$I141)-K141))</f>
        <v>0</v>
      </c>
      <c r="M141" s="150">
        <f>IF($B141="NA","NA",IF($B141&lt;=$D$10,0,MIN(IF($B141=($D$10+1),'Stage (3) Investment'!$I141,SUM($K140:M140)),'Stage (4) Investment:Stage (10) Investment'!$I141)-SUM($K141:L141)))</f>
        <v>0</v>
      </c>
      <c r="N141" s="150">
        <f>IF($B141="NA","NA",IF($B141&lt;=$D$11,0,MIN(IF($B141=($D$11+1),'Stage (4) Investment'!$I141,SUM($K140:N140)),'Stage (5) Investment:Stage (10) Investment'!$I141)-SUM($K141:M141)))</f>
        <v>0</v>
      </c>
      <c r="O141" s="150">
        <f>IF($B141="NA","NA",IF($B141&lt;=$D$12,0,MIN(IF($B141=($D$12+1),'Stage (5) Investment'!$I141,SUM($K140:O140)),'Stage (6) Investment:Stage (10) Investment'!$I141)-SUM($K141:N141)))</f>
        <v>0</v>
      </c>
      <c r="P141" s="150">
        <f>IF($B141="NA","NA",IF($B141&lt;=$D$13,0,MIN(IF($B141=($D$13+1),'Stage (6) Investment'!$I141,SUM($K140:P140)),'Stage (7) Investment:Stage (10) Investment'!$I141)-SUM($K141:O141)))</f>
        <v>0</v>
      </c>
      <c r="Q141" s="150">
        <f>IF($B141="NA","NA",IF($B141&lt;=$D$14,0,MIN(IF($B141=($D$14+1),'Stage (7) Investment'!$I141,SUM($K140:Q140)),'Stage (8) Investment:Stage (10) Investment'!$I141)-SUM($K141:P141)))</f>
        <v>0</v>
      </c>
      <c r="R141" s="150">
        <f>IF($B141="NA","NA",IF($B141&lt;=$D$15,0,MIN(IF($B141=($D$15+1),'Stage (8) Investment'!$I141,SUM($K140:R140)),'Stage (9) Investment:Stage (10) Investment'!$I141)-SUM($K141:Q141)))</f>
        <v>0</v>
      </c>
      <c r="S141" s="150">
        <f>IF($B141="NA","NA",IF($B141&lt;=$D$16,0,MIN(IF($B141=($D$16+1),'Stage (9) Investment'!$I141,SUM($K140:S140)),'Stage (10) Investment'!$I141)-SUM($K141:R141)))</f>
        <v>0</v>
      </c>
      <c r="T141" s="151">
        <f>IF($B141="NA","NA",IF($B141&lt;=$D$17,0,IF($B141=($D$17+1),'Stage (10) Investment'!$I141,SUM($K140:T140))-SUM($K141:S141)))</f>
        <v>0</v>
      </c>
    </row>
    <row r="142" spans="1:20" x14ac:dyDescent="0.2">
      <c r="A142" s="86">
        <f t="shared" si="10"/>
        <v>3623</v>
      </c>
      <c r="B142" s="142">
        <f t="shared" si="11"/>
        <v>120</v>
      </c>
      <c r="C142" s="143">
        <f t="shared" si="13"/>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50">
        <f>IF(B142="NA","NA",IF(ISNUMBER(VLOOKUP($C142,'A4 Investment'!$A$24:$G$33,7,FALSE)),VLOOKUP($C142,'A4 Investment'!$A$24:$G$33,7,FALSE)*'A4 Investment'!G$18/12,0))</f>
        <v>0</v>
      </c>
      <c r="I142" s="151">
        <f t="shared" si="14"/>
        <v>8904.1666666666661</v>
      </c>
      <c r="J142" s="149">
        <f t="shared" si="12"/>
        <v>8904.1666666666661</v>
      </c>
      <c r="K142" s="150">
        <f>IF($B142="NA","NA",IF($B142&lt;=$D$8,0,MIN(IF($B142=($D$8+1),'Stage (1) Investment'!$I142,K141),'Stage (2) Investment:Stage (10) Investment'!$I142)))</f>
        <v>8904.1666666666661</v>
      </c>
      <c r="L142" s="150">
        <f>IF($B142="NA","NA",IF($B142&lt;=$D$9,0,MIN(IF($B142=($D$9+1),'Stage (2) Investment'!$I142,SUM($K141:L141)),'Stage (3) Investment:Stage (10) Investment'!$I142)-K142))</f>
        <v>0</v>
      </c>
      <c r="M142" s="150">
        <f>IF($B142="NA","NA",IF($B142&lt;=$D$10,0,MIN(IF($B142=($D$10+1),'Stage (3) Investment'!$I142,SUM($K141:M141)),'Stage (4) Investment:Stage (10) Investment'!$I142)-SUM($K142:L142)))</f>
        <v>0</v>
      </c>
      <c r="N142" s="150">
        <f>IF($B142="NA","NA",IF($B142&lt;=$D$11,0,MIN(IF($B142=($D$11+1),'Stage (4) Investment'!$I142,SUM($K141:N141)),'Stage (5) Investment:Stage (10) Investment'!$I142)-SUM($K142:M142)))</f>
        <v>0</v>
      </c>
      <c r="O142" s="150">
        <f>IF($B142="NA","NA",IF($B142&lt;=$D$12,0,MIN(IF($B142=($D$12+1),'Stage (5) Investment'!$I142,SUM($K141:O141)),'Stage (6) Investment:Stage (10) Investment'!$I142)-SUM($K142:N142)))</f>
        <v>0</v>
      </c>
      <c r="P142" s="150">
        <f>IF($B142="NA","NA",IF($B142&lt;=$D$13,0,MIN(IF($B142=($D$13+1),'Stage (6) Investment'!$I142,SUM($K141:P141)),'Stage (7) Investment:Stage (10) Investment'!$I142)-SUM($K142:O142)))</f>
        <v>0</v>
      </c>
      <c r="Q142" s="150">
        <f>IF($B142="NA","NA",IF($B142&lt;=$D$14,0,MIN(IF($B142=($D$14+1),'Stage (7) Investment'!$I142,SUM($K141:Q141)),'Stage (8) Investment:Stage (10) Investment'!$I142)-SUM($K142:P142)))</f>
        <v>0</v>
      </c>
      <c r="R142" s="150">
        <f>IF($B142="NA","NA",IF($B142&lt;=$D$15,0,MIN(IF($B142=($D$15+1),'Stage (8) Investment'!$I142,SUM($K141:R141)),'Stage (9) Investment:Stage (10) Investment'!$I142)-SUM($K142:Q142)))</f>
        <v>0</v>
      </c>
      <c r="S142" s="150">
        <f>IF($B142="NA","NA",IF($B142&lt;=$D$16,0,MIN(IF($B142=($D$16+1),'Stage (9) Investment'!$I142,SUM($K141:S141)),'Stage (10) Investment'!$I142)-SUM($K142:R142)))</f>
        <v>0</v>
      </c>
      <c r="T142" s="151">
        <f>IF($B142="NA","NA",IF($B142&lt;=$D$17,0,IF($B142=($D$17+1),'Stage (10) Investment'!$I142,SUM($K141:T141))-SUM($K142:S142)))</f>
        <v>0</v>
      </c>
    </row>
    <row r="143" spans="1:20" x14ac:dyDescent="0.2">
      <c r="A143" s="86">
        <f t="shared" si="10"/>
        <v>3654</v>
      </c>
      <c r="B143" s="142">
        <f t="shared" si="11"/>
        <v>121</v>
      </c>
      <c r="C143" s="143">
        <f t="shared" si="13"/>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50">
        <f>IF(B143="NA","NA",IF(ISNUMBER(VLOOKUP($C143,'A4 Investment'!$A$24:$G$33,7,FALSE)),VLOOKUP($C143,'A4 Investment'!$A$24:$G$33,7,FALSE)*'A4 Investment'!G$18/12,0))</f>
        <v>0</v>
      </c>
      <c r="I143" s="151">
        <f t="shared" si="14"/>
        <v>8904.1666666666661</v>
      </c>
      <c r="J143" s="149">
        <f t="shared" si="12"/>
        <v>8904.1666666666661</v>
      </c>
      <c r="K143" s="150">
        <f>IF($B143="NA","NA",IF($B143&lt;=$D$8,0,MIN(IF($B143=($D$8+1),'Stage (1) Investment'!$I143,K142),'Stage (2) Investment:Stage (10) Investment'!$I143)))</f>
        <v>8904.1666666666661</v>
      </c>
      <c r="L143" s="150">
        <f>IF($B143="NA","NA",IF($B143&lt;=$D$9,0,MIN(IF($B143=($D$9+1),'Stage (2) Investment'!$I143,SUM($K142:L142)),'Stage (3) Investment:Stage (10) Investment'!$I143)-K143))</f>
        <v>0</v>
      </c>
      <c r="M143" s="150">
        <f>IF($B143="NA","NA",IF($B143&lt;=$D$10,0,MIN(IF($B143=($D$10+1),'Stage (3) Investment'!$I143,SUM($K142:M142)),'Stage (4) Investment:Stage (10) Investment'!$I143)-SUM($K143:L143)))</f>
        <v>0</v>
      </c>
      <c r="N143" s="150">
        <f>IF($B143="NA","NA",IF($B143&lt;=$D$11,0,MIN(IF($B143=($D$11+1),'Stage (4) Investment'!$I143,SUM($K142:N142)),'Stage (5) Investment:Stage (10) Investment'!$I143)-SUM($K143:M143)))</f>
        <v>0</v>
      </c>
      <c r="O143" s="150">
        <f>IF($B143="NA","NA",IF($B143&lt;=$D$12,0,MIN(IF($B143=($D$12+1),'Stage (5) Investment'!$I143,SUM($K142:O142)),'Stage (6) Investment:Stage (10) Investment'!$I143)-SUM($K143:N143)))</f>
        <v>0</v>
      </c>
      <c r="P143" s="150">
        <f>IF($B143="NA","NA",IF($B143&lt;=$D$13,0,MIN(IF($B143=($D$13+1),'Stage (6) Investment'!$I143,SUM($K142:P142)),'Stage (7) Investment:Stage (10) Investment'!$I143)-SUM($K143:O143)))</f>
        <v>0</v>
      </c>
      <c r="Q143" s="150">
        <f>IF($B143="NA","NA",IF($B143&lt;=$D$14,0,MIN(IF($B143=($D$14+1),'Stage (7) Investment'!$I143,SUM($K142:Q142)),'Stage (8) Investment:Stage (10) Investment'!$I143)-SUM($K143:P143)))</f>
        <v>0</v>
      </c>
      <c r="R143" s="150">
        <f>IF($B143="NA","NA",IF($B143&lt;=$D$15,0,MIN(IF($B143=($D$15+1),'Stage (8) Investment'!$I143,SUM($K142:R142)),'Stage (9) Investment:Stage (10) Investment'!$I143)-SUM($K143:Q143)))</f>
        <v>0</v>
      </c>
      <c r="S143" s="150">
        <f>IF($B143="NA","NA",IF($B143&lt;=$D$16,0,MIN(IF($B143=($D$16+1),'Stage (9) Investment'!$I143,SUM($K142:S142)),'Stage (10) Investment'!$I143)-SUM($K143:R143)))</f>
        <v>0</v>
      </c>
      <c r="T143" s="151">
        <f>IF($B143="NA","NA",IF($B143&lt;=$D$17,0,IF($B143=($D$17+1),'Stage (10) Investment'!$I143,SUM($K142:T142))-SUM($K143:S143)))</f>
        <v>0</v>
      </c>
    </row>
    <row r="144" spans="1:20" x14ac:dyDescent="0.2">
      <c r="A144" s="86">
        <f t="shared" si="10"/>
        <v>3685</v>
      </c>
      <c r="B144" s="142">
        <f t="shared" si="11"/>
        <v>122</v>
      </c>
      <c r="C144" s="143">
        <f t="shared" si="13"/>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50">
        <f>IF(B144="NA","NA",IF(ISNUMBER(VLOOKUP($C144,'A4 Investment'!$A$24:$G$33,7,FALSE)),VLOOKUP($C144,'A4 Investment'!$A$24:$G$33,7,FALSE)*'A4 Investment'!G$18/12,0))</f>
        <v>0</v>
      </c>
      <c r="I144" s="151">
        <f t="shared" si="14"/>
        <v>8904.1666666666661</v>
      </c>
      <c r="J144" s="149">
        <f t="shared" si="12"/>
        <v>8904.1666666666661</v>
      </c>
      <c r="K144" s="150">
        <f>IF($B144="NA","NA",IF($B144&lt;=$D$8,0,MIN(IF($B144=($D$8+1),'Stage (1) Investment'!$I144,K143),'Stage (2) Investment:Stage (10) Investment'!$I144)))</f>
        <v>8904.1666666666661</v>
      </c>
      <c r="L144" s="150">
        <f>IF($B144="NA","NA",IF($B144&lt;=$D$9,0,MIN(IF($B144=($D$9+1),'Stage (2) Investment'!$I144,SUM($K143:L143)),'Stage (3) Investment:Stage (10) Investment'!$I144)-K144))</f>
        <v>0</v>
      </c>
      <c r="M144" s="150">
        <f>IF($B144="NA","NA",IF($B144&lt;=$D$10,0,MIN(IF($B144=($D$10+1),'Stage (3) Investment'!$I144,SUM($K143:M143)),'Stage (4) Investment:Stage (10) Investment'!$I144)-SUM($K144:L144)))</f>
        <v>0</v>
      </c>
      <c r="N144" s="150">
        <f>IF($B144="NA","NA",IF($B144&lt;=$D$11,0,MIN(IF($B144=($D$11+1),'Stage (4) Investment'!$I144,SUM($K143:N143)),'Stage (5) Investment:Stage (10) Investment'!$I144)-SUM($K144:M144)))</f>
        <v>0</v>
      </c>
      <c r="O144" s="150">
        <f>IF($B144="NA","NA",IF($B144&lt;=$D$12,0,MIN(IF($B144=($D$12+1),'Stage (5) Investment'!$I144,SUM($K143:O143)),'Stage (6) Investment:Stage (10) Investment'!$I144)-SUM($K144:N144)))</f>
        <v>0</v>
      </c>
      <c r="P144" s="150">
        <f>IF($B144="NA","NA",IF($B144&lt;=$D$13,0,MIN(IF($B144=($D$13+1),'Stage (6) Investment'!$I144,SUM($K143:P143)),'Stage (7) Investment:Stage (10) Investment'!$I144)-SUM($K144:O144)))</f>
        <v>0</v>
      </c>
      <c r="Q144" s="150">
        <f>IF($B144="NA","NA",IF($B144&lt;=$D$14,0,MIN(IF($B144=($D$14+1),'Stage (7) Investment'!$I144,SUM($K143:Q143)),'Stage (8) Investment:Stage (10) Investment'!$I144)-SUM($K144:P144)))</f>
        <v>0</v>
      </c>
      <c r="R144" s="150">
        <f>IF($B144="NA","NA",IF($B144&lt;=$D$15,0,MIN(IF($B144=($D$15+1),'Stage (8) Investment'!$I144,SUM($K143:R143)),'Stage (9) Investment:Stage (10) Investment'!$I144)-SUM($K144:Q144)))</f>
        <v>0</v>
      </c>
      <c r="S144" s="150">
        <f>IF($B144="NA","NA",IF($B144&lt;=$D$16,0,MIN(IF($B144=($D$16+1),'Stage (9) Investment'!$I144,SUM($K143:S143)),'Stage (10) Investment'!$I144)-SUM($K144:R144)))</f>
        <v>0</v>
      </c>
      <c r="T144" s="151">
        <f>IF($B144="NA","NA",IF($B144&lt;=$D$17,0,IF($B144=($D$17+1),'Stage (10) Investment'!$I144,SUM($K143:T143))-SUM($K144:S144)))</f>
        <v>0</v>
      </c>
    </row>
    <row r="145" spans="1:20" x14ac:dyDescent="0.2">
      <c r="A145" s="86">
        <f t="shared" si="10"/>
        <v>3713</v>
      </c>
      <c r="B145" s="142">
        <f t="shared" si="11"/>
        <v>123</v>
      </c>
      <c r="C145" s="143">
        <f t="shared" si="13"/>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50">
        <f>IF(B145="NA","NA",IF(ISNUMBER(VLOOKUP($C145,'A4 Investment'!$A$24:$G$33,7,FALSE)),VLOOKUP($C145,'A4 Investment'!$A$24:$G$33,7,FALSE)*'A4 Investment'!G$18/12,0))</f>
        <v>0</v>
      </c>
      <c r="I145" s="151">
        <f t="shared" si="14"/>
        <v>8904.1666666666661</v>
      </c>
      <c r="J145" s="149">
        <f t="shared" si="12"/>
        <v>8904.1666666666661</v>
      </c>
      <c r="K145" s="150">
        <f>IF($B145="NA","NA",IF($B145&lt;=$D$8,0,MIN(IF($B145=($D$8+1),'Stage (1) Investment'!$I145,K144),'Stage (2) Investment:Stage (10) Investment'!$I145)))</f>
        <v>8904.1666666666661</v>
      </c>
      <c r="L145" s="150">
        <f>IF($B145="NA","NA",IF($B145&lt;=$D$9,0,MIN(IF($B145=($D$9+1),'Stage (2) Investment'!$I145,SUM($K144:L144)),'Stage (3) Investment:Stage (10) Investment'!$I145)-K145))</f>
        <v>0</v>
      </c>
      <c r="M145" s="150">
        <f>IF($B145="NA","NA",IF($B145&lt;=$D$10,0,MIN(IF($B145=($D$10+1),'Stage (3) Investment'!$I145,SUM($K144:M144)),'Stage (4) Investment:Stage (10) Investment'!$I145)-SUM($K145:L145)))</f>
        <v>0</v>
      </c>
      <c r="N145" s="150">
        <f>IF($B145="NA","NA",IF($B145&lt;=$D$11,0,MIN(IF($B145=($D$11+1),'Stage (4) Investment'!$I145,SUM($K144:N144)),'Stage (5) Investment:Stage (10) Investment'!$I145)-SUM($K145:M145)))</f>
        <v>0</v>
      </c>
      <c r="O145" s="150">
        <f>IF($B145="NA","NA",IF($B145&lt;=$D$12,0,MIN(IF($B145=($D$12+1),'Stage (5) Investment'!$I145,SUM($K144:O144)),'Stage (6) Investment:Stage (10) Investment'!$I145)-SUM($K145:N145)))</f>
        <v>0</v>
      </c>
      <c r="P145" s="150">
        <f>IF($B145="NA","NA",IF($B145&lt;=$D$13,0,MIN(IF($B145=($D$13+1),'Stage (6) Investment'!$I145,SUM($K144:P144)),'Stage (7) Investment:Stage (10) Investment'!$I145)-SUM($K145:O145)))</f>
        <v>0</v>
      </c>
      <c r="Q145" s="150">
        <f>IF($B145="NA","NA",IF($B145&lt;=$D$14,0,MIN(IF($B145=($D$14+1),'Stage (7) Investment'!$I145,SUM($K144:Q144)),'Stage (8) Investment:Stage (10) Investment'!$I145)-SUM($K145:P145)))</f>
        <v>0</v>
      </c>
      <c r="R145" s="150">
        <f>IF($B145="NA","NA",IF($B145&lt;=$D$15,0,MIN(IF($B145=($D$15+1),'Stage (8) Investment'!$I145,SUM($K144:R144)),'Stage (9) Investment:Stage (10) Investment'!$I145)-SUM($K145:Q145)))</f>
        <v>0</v>
      </c>
      <c r="S145" s="150">
        <f>IF($B145="NA","NA",IF($B145&lt;=$D$16,0,MIN(IF($B145=($D$16+1),'Stage (9) Investment'!$I145,SUM($K144:S144)),'Stage (10) Investment'!$I145)-SUM($K145:R145)))</f>
        <v>0</v>
      </c>
      <c r="T145" s="151">
        <f>IF($B145="NA","NA",IF($B145&lt;=$D$17,0,IF($B145=($D$17+1),'Stage (10) Investment'!$I145,SUM($K144:T144))-SUM($K145:S145)))</f>
        <v>0</v>
      </c>
    </row>
    <row r="146" spans="1:20" x14ac:dyDescent="0.2">
      <c r="A146" s="86">
        <f t="shared" si="10"/>
        <v>3744</v>
      </c>
      <c r="B146" s="142">
        <f t="shared" si="11"/>
        <v>124</v>
      </c>
      <c r="C146" s="143">
        <f t="shared" si="13"/>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50">
        <f>IF(B146="NA","NA",IF(ISNUMBER(VLOOKUP($C146,'A4 Investment'!$A$24:$G$33,7,FALSE)),VLOOKUP($C146,'A4 Investment'!$A$24:$G$33,7,FALSE)*'A4 Investment'!G$18/12,0))</f>
        <v>0</v>
      </c>
      <c r="I146" s="151">
        <f t="shared" si="14"/>
        <v>8904.1666666666661</v>
      </c>
      <c r="J146" s="149">
        <f t="shared" si="12"/>
        <v>8904.1666666666661</v>
      </c>
      <c r="K146" s="150">
        <f>IF($B146="NA","NA",IF($B146&lt;=$D$8,0,MIN(IF($B146=($D$8+1),'Stage (1) Investment'!$I146,K145),'Stage (2) Investment:Stage (10) Investment'!$I146)))</f>
        <v>8904.1666666666661</v>
      </c>
      <c r="L146" s="150">
        <f>IF($B146="NA","NA",IF($B146&lt;=$D$9,0,MIN(IF($B146=($D$9+1),'Stage (2) Investment'!$I146,SUM($K145:L145)),'Stage (3) Investment:Stage (10) Investment'!$I146)-K146))</f>
        <v>0</v>
      </c>
      <c r="M146" s="150">
        <f>IF($B146="NA","NA",IF($B146&lt;=$D$10,0,MIN(IF($B146=($D$10+1),'Stage (3) Investment'!$I146,SUM($K145:M145)),'Stage (4) Investment:Stage (10) Investment'!$I146)-SUM($K146:L146)))</f>
        <v>0</v>
      </c>
      <c r="N146" s="150">
        <f>IF($B146="NA","NA",IF($B146&lt;=$D$11,0,MIN(IF($B146=($D$11+1),'Stage (4) Investment'!$I146,SUM($K145:N145)),'Stage (5) Investment:Stage (10) Investment'!$I146)-SUM($K146:M146)))</f>
        <v>0</v>
      </c>
      <c r="O146" s="150">
        <f>IF($B146="NA","NA",IF($B146&lt;=$D$12,0,MIN(IF($B146=($D$12+1),'Stage (5) Investment'!$I146,SUM($K145:O145)),'Stage (6) Investment:Stage (10) Investment'!$I146)-SUM($K146:N146)))</f>
        <v>0</v>
      </c>
      <c r="P146" s="150">
        <f>IF($B146="NA","NA",IF($B146&lt;=$D$13,0,MIN(IF($B146=($D$13+1),'Stage (6) Investment'!$I146,SUM($K145:P145)),'Stage (7) Investment:Stage (10) Investment'!$I146)-SUM($K146:O146)))</f>
        <v>0</v>
      </c>
      <c r="Q146" s="150">
        <f>IF($B146="NA","NA",IF($B146&lt;=$D$14,0,MIN(IF($B146=($D$14+1),'Stage (7) Investment'!$I146,SUM($K145:Q145)),'Stage (8) Investment:Stage (10) Investment'!$I146)-SUM($K146:P146)))</f>
        <v>0</v>
      </c>
      <c r="R146" s="150">
        <f>IF($B146="NA","NA",IF($B146&lt;=$D$15,0,MIN(IF($B146=($D$15+1),'Stage (8) Investment'!$I146,SUM($K145:R145)),'Stage (9) Investment:Stage (10) Investment'!$I146)-SUM($K146:Q146)))</f>
        <v>0</v>
      </c>
      <c r="S146" s="150">
        <f>IF($B146="NA","NA",IF($B146&lt;=$D$16,0,MIN(IF($B146=($D$16+1),'Stage (9) Investment'!$I146,SUM($K145:S145)),'Stage (10) Investment'!$I146)-SUM($K146:R146)))</f>
        <v>0</v>
      </c>
      <c r="T146" s="151">
        <f>IF($B146="NA","NA",IF($B146&lt;=$D$17,0,IF($B146=($D$17+1),'Stage (10) Investment'!$I146,SUM($K145:T145))-SUM($K146:S146)))</f>
        <v>0</v>
      </c>
    </row>
    <row r="147" spans="1:20" x14ac:dyDescent="0.2">
      <c r="A147" s="86">
        <f t="shared" si="10"/>
        <v>3774</v>
      </c>
      <c r="B147" s="142">
        <f t="shared" si="11"/>
        <v>125</v>
      </c>
      <c r="C147" s="143">
        <f t="shared" ref="C147:C178" si="15">IF(B147="NA","NA",MATCH(B147-1,$D$8:$D$18,1))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50">
        <f>IF(B147="NA","NA",IF(ISNUMBER(VLOOKUP($C147,'A4 Investment'!$A$24:$G$33,7,FALSE)),VLOOKUP($C147,'A4 Investment'!$A$24:$G$33,7,FALSE)*'A4 Investment'!G$18/12,0))</f>
        <v>0</v>
      </c>
      <c r="I147" s="151">
        <f t="shared" ref="I147:I178" si="16">IF(B147="NA","NA",SUM(D147:H147))</f>
        <v>8904.1666666666661</v>
      </c>
      <c r="J147" s="149">
        <f t="shared" si="12"/>
        <v>8904.1666666666661</v>
      </c>
      <c r="K147" s="150">
        <f>IF($B147="NA","NA",IF($B147&lt;=$D$8,0,MIN(IF($B147=($D$8+1),'Stage (1) Investment'!$I147,K146),'Stage (2) Investment:Stage (10) Investment'!$I147)))</f>
        <v>8904.1666666666661</v>
      </c>
      <c r="L147" s="150">
        <f>IF($B147="NA","NA",IF($B147&lt;=$D$9,0,MIN(IF($B147=($D$9+1),'Stage (2) Investment'!$I147,SUM($K146:L146)),'Stage (3) Investment:Stage (10) Investment'!$I147)-K147))</f>
        <v>0</v>
      </c>
      <c r="M147" s="150">
        <f>IF($B147="NA","NA",IF($B147&lt;=$D$10,0,MIN(IF($B147=($D$10+1),'Stage (3) Investment'!$I147,SUM($K146:M146)),'Stage (4) Investment:Stage (10) Investment'!$I147)-SUM($K147:L147)))</f>
        <v>0</v>
      </c>
      <c r="N147" s="150">
        <f>IF($B147="NA","NA",IF($B147&lt;=$D$11,0,MIN(IF($B147=($D$11+1),'Stage (4) Investment'!$I147,SUM($K146:N146)),'Stage (5) Investment:Stage (10) Investment'!$I147)-SUM($K147:M147)))</f>
        <v>0</v>
      </c>
      <c r="O147" s="150">
        <f>IF($B147="NA","NA",IF($B147&lt;=$D$12,0,MIN(IF($B147=($D$12+1),'Stage (5) Investment'!$I147,SUM($K146:O146)),'Stage (6) Investment:Stage (10) Investment'!$I147)-SUM($K147:N147)))</f>
        <v>0</v>
      </c>
      <c r="P147" s="150">
        <f>IF($B147="NA","NA",IF($B147&lt;=$D$13,0,MIN(IF($B147=($D$13+1),'Stage (6) Investment'!$I147,SUM($K146:P146)),'Stage (7) Investment:Stage (10) Investment'!$I147)-SUM($K147:O147)))</f>
        <v>0</v>
      </c>
      <c r="Q147" s="150">
        <f>IF($B147="NA","NA",IF($B147&lt;=$D$14,0,MIN(IF($B147=($D$14+1),'Stage (7) Investment'!$I147,SUM($K146:Q146)),'Stage (8) Investment:Stage (10) Investment'!$I147)-SUM($K147:P147)))</f>
        <v>0</v>
      </c>
      <c r="R147" s="150">
        <f>IF($B147="NA","NA",IF($B147&lt;=$D$15,0,MIN(IF($B147=($D$15+1),'Stage (8) Investment'!$I147,SUM($K146:R146)),'Stage (9) Investment:Stage (10) Investment'!$I147)-SUM($K147:Q147)))</f>
        <v>0</v>
      </c>
      <c r="S147" s="150">
        <f>IF($B147="NA","NA",IF($B147&lt;=$D$16,0,MIN(IF($B147=($D$16+1),'Stage (9) Investment'!$I147,SUM($K146:S146)),'Stage (10) Investment'!$I147)-SUM($K147:R147)))</f>
        <v>0</v>
      </c>
      <c r="T147" s="151">
        <f>IF($B147="NA","NA",IF($B147&lt;=$D$17,0,IF($B147=($D$17+1),'Stage (10) Investment'!$I147,SUM($K146:T146))-SUM($K147:S147)))</f>
        <v>0</v>
      </c>
    </row>
    <row r="148" spans="1:20" x14ac:dyDescent="0.2">
      <c r="A148" s="86">
        <f t="shared" ref="A148:A211" si="17">IF(B148="NA","NA",DATE(YEAR(A147),MONTH(A147)+1,1))</f>
        <v>3805</v>
      </c>
      <c r="B148" s="142">
        <f t="shared" ref="B148:B211" si="18">IF(B147="NA","NA",IF((B147+1)&gt;MAX($D$9:$D$18),"NA",B147+1))</f>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50">
        <f>IF(B148="NA","NA",IF(ISNUMBER(VLOOKUP($C148,'A4 Investment'!$A$24:$G$33,7,FALSE)),VLOOKUP($C148,'A4 Investment'!$A$24:$G$33,7,FALSE)*'A4 Investment'!G$18/12,0))</f>
        <v>0</v>
      </c>
      <c r="I148" s="151">
        <f t="shared" si="16"/>
        <v>8904.1666666666661</v>
      </c>
      <c r="J148" s="149">
        <f t="shared" si="12"/>
        <v>8904.1666666666661</v>
      </c>
      <c r="K148" s="150">
        <f>IF($B148="NA","NA",IF($B148&lt;=$D$8,0,MIN(IF($B148=($D$8+1),'Stage (1) Investment'!$I148,K147),'Stage (2) Investment:Stage (10) Investment'!$I148)))</f>
        <v>8904.1666666666661</v>
      </c>
      <c r="L148" s="150">
        <f>IF($B148="NA","NA",IF($B148&lt;=$D$9,0,MIN(IF($B148=($D$9+1),'Stage (2) Investment'!$I148,SUM($K147:L147)),'Stage (3) Investment:Stage (10) Investment'!$I148)-K148))</f>
        <v>0</v>
      </c>
      <c r="M148" s="150">
        <f>IF($B148="NA","NA",IF($B148&lt;=$D$10,0,MIN(IF($B148=($D$10+1),'Stage (3) Investment'!$I148,SUM($K147:M147)),'Stage (4) Investment:Stage (10) Investment'!$I148)-SUM($K148:L148)))</f>
        <v>0</v>
      </c>
      <c r="N148" s="150">
        <f>IF($B148="NA","NA",IF($B148&lt;=$D$11,0,MIN(IF($B148=($D$11+1),'Stage (4) Investment'!$I148,SUM($K147:N147)),'Stage (5) Investment:Stage (10) Investment'!$I148)-SUM($K148:M148)))</f>
        <v>0</v>
      </c>
      <c r="O148" s="150">
        <f>IF($B148="NA","NA",IF($B148&lt;=$D$12,0,MIN(IF($B148=($D$12+1),'Stage (5) Investment'!$I148,SUM($K147:O147)),'Stage (6) Investment:Stage (10) Investment'!$I148)-SUM($K148:N148)))</f>
        <v>0</v>
      </c>
      <c r="P148" s="150">
        <f>IF($B148="NA","NA",IF($B148&lt;=$D$13,0,MIN(IF($B148=($D$13+1),'Stage (6) Investment'!$I148,SUM($K147:P147)),'Stage (7) Investment:Stage (10) Investment'!$I148)-SUM($K148:O148)))</f>
        <v>0</v>
      </c>
      <c r="Q148" s="150">
        <f>IF($B148="NA","NA",IF($B148&lt;=$D$14,0,MIN(IF($B148=($D$14+1),'Stage (7) Investment'!$I148,SUM($K147:Q147)),'Stage (8) Investment:Stage (10) Investment'!$I148)-SUM($K148:P148)))</f>
        <v>0</v>
      </c>
      <c r="R148" s="150">
        <f>IF($B148="NA","NA",IF($B148&lt;=$D$15,0,MIN(IF($B148=($D$15+1),'Stage (8) Investment'!$I148,SUM($K147:R147)),'Stage (9) Investment:Stage (10) Investment'!$I148)-SUM($K148:Q148)))</f>
        <v>0</v>
      </c>
      <c r="S148" s="150">
        <f>IF($B148="NA","NA",IF($B148&lt;=$D$16,0,MIN(IF($B148=($D$16+1),'Stage (9) Investment'!$I148,SUM($K147:S147)),'Stage (10) Investment'!$I148)-SUM($K148:R148)))</f>
        <v>0</v>
      </c>
      <c r="T148" s="151">
        <f>IF($B148="NA","NA",IF($B148&lt;=$D$17,0,IF($B148=($D$17+1),'Stage (10) Investment'!$I148,SUM($K147:T147))-SUM($K148:S148)))</f>
        <v>0</v>
      </c>
    </row>
    <row r="149" spans="1:20" x14ac:dyDescent="0.2">
      <c r="A149" s="86">
        <f t="shared" si="17"/>
        <v>3835</v>
      </c>
      <c r="B149" s="142">
        <f t="shared" si="18"/>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50">
        <f>IF(B149="NA","NA",IF(ISNUMBER(VLOOKUP($C149,'A4 Investment'!$A$24:$G$33,7,FALSE)),VLOOKUP($C149,'A4 Investment'!$A$24:$G$33,7,FALSE)*'A4 Investment'!G$18/12,0))</f>
        <v>0</v>
      </c>
      <c r="I149" s="151">
        <f t="shared" si="16"/>
        <v>8904.1666666666661</v>
      </c>
      <c r="J149" s="149">
        <f t="shared" si="12"/>
        <v>8904.1666666666661</v>
      </c>
      <c r="K149" s="150">
        <f>IF($B149="NA","NA",IF($B149&lt;=$D$8,0,MIN(IF($B149=($D$8+1),'Stage (1) Investment'!$I149,K148),'Stage (2) Investment:Stage (10) Investment'!$I149)))</f>
        <v>8904.1666666666661</v>
      </c>
      <c r="L149" s="150">
        <f>IF($B149="NA","NA",IF($B149&lt;=$D$9,0,MIN(IF($B149=($D$9+1),'Stage (2) Investment'!$I149,SUM($K148:L148)),'Stage (3) Investment:Stage (10) Investment'!$I149)-K149))</f>
        <v>0</v>
      </c>
      <c r="M149" s="150">
        <f>IF($B149="NA","NA",IF($B149&lt;=$D$10,0,MIN(IF($B149=($D$10+1),'Stage (3) Investment'!$I149,SUM($K148:M148)),'Stage (4) Investment:Stage (10) Investment'!$I149)-SUM($K149:L149)))</f>
        <v>0</v>
      </c>
      <c r="N149" s="150">
        <f>IF($B149="NA","NA",IF($B149&lt;=$D$11,0,MIN(IF($B149=($D$11+1),'Stage (4) Investment'!$I149,SUM($K148:N148)),'Stage (5) Investment:Stage (10) Investment'!$I149)-SUM($K149:M149)))</f>
        <v>0</v>
      </c>
      <c r="O149" s="150">
        <f>IF($B149="NA","NA",IF($B149&lt;=$D$12,0,MIN(IF($B149=($D$12+1),'Stage (5) Investment'!$I149,SUM($K148:O148)),'Stage (6) Investment:Stage (10) Investment'!$I149)-SUM($K149:N149)))</f>
        <v>0</v>
      </c>
      <c r="P149" s="150">
        <f>IF($B149="NA","NA",IF($B149&lt;=$D$13,0,MIN(IF($B149=($D$13+1),'Stage (6) Investment'!$I149,SUM($K148:P148)),'Stage (7) Investment:Stage (10) Investment'!$I149)-SUM($K149:O149)))</f>
        <v>0</v>
      </c>
      <c r="Q149" s="150">
        <f>IF($B149="NA","NA",IF($B149&lt;=$D$14,0,MIN(IF($B149=($D$14+1),'Stage (7) Investment'!$I149,SUM($K148:Q148)),'Stage (8) Investment:Stage (10) Investment'!$I149)-SUM($K149:P149)))</f>
        <v>0</v>
      </c>
      <c r="R149" s="150">
        <f>IF($B149="NA","NA",IF($B149&lt;=$D$15,0,MIN(IF($B149=($D$15+1),'Stage (8) Investment'!$I149,SUM($K148:R148)),'Stage (9) Investment:Stage (10) Investment'!$I149)-SUM($K149:Q149)))</f>
        <v>0</v>
      </c>
      <c r="S149" s="150">
        <f>IF($B149="NA","NA",IF($B149&lt;=$D$16,0,MIN(IF($B149=($D$16+1),'Stage (9) Investment'!$I149,SUM($K148:S148)),'Stage (10) Investment'!$I149)-SUM($K149:R149)))</f>
        <v>0</v>
      </c>
      <c r="T149" s="151">
        <f>IF($B149="NA","NA",IF($B149&lt;=$D$17,0,IF($B149=($D$17+1),'Stage (10) Investment'!$I149,SUM($K148:T148))-SUM($K149:S149)))</f>
        <v>0</v>
      </c>
    </row>
    <row r="150" spans="1:20" x14ac:dyDescent="0.2">
      <c r="A150" s="86">
        <f t="shared" si="17"/>
        <v>3866</v>
      </c>
      <c r="B150" s="142">
        <f t="shared" si="18"/>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50">
        <f>IF(B150="NA","NA",IF(ISNUMBER(VLOOKUP($C150,'A4 Investment'!$A$24:$G$33,7,FALSE)),VLOOKUP($C150,'A4 Investment'!$A$24:$G$33,7,FALSE)*'A4 Investment'!G$18/12,0))</f>
        <v>0</v>
      </c>
      <c r="I150" s="151">
        <f t="shared" si="16"/>
        <v>8904.1666666666661</v>
      </c>
      <c r="J150" s="149">
        <f t="shared" si="12"/>
        <v>8904.1666666666661</v>
      </c>
      <c r="K150" s="150">
        <f>IF($B150="NA","NA",IF($B150&lt;=$D$8,0,MIN(IF($B150=($D$8+1),'Stage (1) Investment'!$I150,K149),'Stage (2) Investment:Stage (10) Investment'!$I150)))</f>
        <v>8904.1666666666661</v>
      </c>
      <c r="L150" s="150">
        <f>IF($B150="NA","NA",IF($B150&lt;=$D$9,0,MIN(IF($B150=($D$9+1),'Stage (2) Investment'!$I150,SUM($K149:L149)),'Stage (3) Investment:Stage (10) Investment'!$I150)-K150))</f>
        <v>0</v>
      </c>
      <c r="M150" s="150">
        <f>IF($B150="NA","NA",IF($B150&lt;=$D$10,0,MIN(IF($B150=($D$10+1),'Stage (3) Investment'!$I150,SUM($K149:M149)),'Stage (4) Investment:Stage (10) Investment'!$I150)-SUM($K150:L150)))</f>
        <v>0</v>
      </c>
      <c r="N150" s="150">
        <f>IF($B150="NA","NA",IF($B150&lt;=$D$11,0,MIN(IF($B150=($D$11+1),'Stage (4) Investment'!$I150,SUM($K149:N149)),'Stage (5) Investment:Stage (10) Investment'!$I150)-SUM($K150:M150)))</f>
        <v>0</v>
      </c>
      <c r="O150" s="150">
        <f>IF($B150="NA","NA",IF($B150&lt;=$D$12,0,MIN(IF($B150=($D$12+1),'Stage (5) Investment'!$I150,SUM($K149:O149)),'Stage (6) Investment:Stage (10) Investment'!$I150)-SUM($K150:N150)))</f>
        <v>0</v>
      </c>
      <c r="P150" s="150">
        <f>IF($B150="NA","NA",IF($B150&lt;=$D$13,0,MIN(IF($B150=($D$13+1),'Stage (6) Investment'!$I150,SUM($K149:P149)),'Stage (7) Investment:Stage (10) Investment'!$I150)-SUM($K150:O150)))</f>
        <v>0</v>
      </c>
      <c r="Q150" s="150">
        <f>IF($B150="NA","NA",IF($B150&lt;=$D$14,0,MIN(IF($B150=($D$14+1),'Stage (7) Investment'!$I150,SUM($K149:Q149)),'Stage (8) Investment:Stage (10) Investment'!$I150)-SUM($K150:P150)))</f>
        <v>0</v>
      </c>
      <c r="R150" s="150">
        <f>IF($B150="NA","NA",IF($B150&lt;=$D$15,0,MIN(IF($B150=($D$15+1),'Stage (8) Investment'!$I150,SUM($K149:R149)),'Stage (9) Investment:Stage (10) Investment'!$I150)-SUM($K150:Q150)))</f>
        <v>0</v>
      </c>
      <c r="S150" s="150">
        <f>IF($B150="NA","NA",IF($B150&lt;=$D$16,0,MIN(IF($B150=($D$16+1),'Stage (9) Investment'!$I150,SUM($K149:S149)),'Stage (10) Investment'!$I150)-SUM($K150:R150)))</f>
        <v>0</v>
      </c>
      <c r="T150" s="151">
        <f>IF($B150="NA","NA",IF($B150&lt;=$D$17,0,IF($B150=($D$17+1),'Stage (10) Investment'!$I150,SUM($K149:T149))-SUM($K150:S150)))</f>
        <v>0</v>
      </c>
    </row>
    <row r="151" spans="1:20" x14ac:dyDescent="0.2">
      <c r="A151" s="86">
        <f t="shared" si="17"/>
        <v>3897</v>
      </c>
      <c r="B151" s="142">
        <f t="shared" si="18"/>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50">
        <f>IF(B151="NA","NA",IF(ISNUMBER(VLOOKUP($C151,'A4 Investment'!$A$24:$G$33,7,FALSE)),VLOOKUP($C151,'A4 Investment'!$A$24:$G$33,7,FALSE)*'A4 Investment'!G$18/12,0))</f>
        <v>0</v>
      </c>
      <c r="I151" s="151">
        <f t="shared" si="16"/>
        <v>8904.1666666666661</v>
      </c>
      <c r="J151" s="149">
        <f t="shared" ref="J151:J214" si="19">IF($B151="NA","NA",SUM(K151:T151))</f>
        <v>8904.1666666666661</v>
      </c>
      <c r="K151" s="150">
        <f>IF($B151="NA","NA",IF($B151&lt;=$D$8,0,MIN(IF($B151=($D$8+1),'Stage (1) Investment'!$I151,K150),'Stage (2) Investment:Stage (10) Investment'!$I151)))</f>
        <v>8904.1666666666661</v>
      </c>
      <c r="L151" s="150">
        <f>IF($B151="NA","NA",IF($B151&lt;=$D$9,0,MIN(IF($B151=($D$9+1),'Stage (2) Investment'!$I151,SUM($K150:L150)),'Stage (3) Investment:Stage (10) Investment'!$I151)-K151))</f>
        <v>0</v>
      </c>
      <c r="M151" s="150">
        <f>IF($B151="NA","NA",IF($B151&lt;=$D$10,0,MIN(IF($B151=($D$10+1),'Stage (3) Investment'!$I151,SUM($K150:M150)),'Stage (4) Investment:Stage (10) Investment'!$I151)-SUM($K151:L151)))</f>
        <v>0</v>
      </c>
      <c r="N151" s="150">
        <f>IF($B151="NA","NA",IF($B151&lt;=$D$11,0,MIN(IF($B151=($D$11+1),'Stage (4) Investment'!$I151,SUM($K150:N150)),'Stage (5) Investment:Stage (10) Investment'!$I151)-SUM($K151:M151)))</f>
        <v>0</v>
      </c>
      <c r="O151" s="150">
        <f>IF($B151="NA","NA",IF($B151&lt;=$D$12,0,MIN(IF($B151=($D$12+1),'Stage (5) Investment'!$I151,SUM($K150:O150)),'Stage (6) Investment:Stage (10) Investment'!$I151)-SUM($K151:N151)))</f>
        <v>0</v>
      </c>
      <c r="P151" s="150">
        <f>IF($B151="NA","NA",IF($B151&lt;=$D$13,0,MIN(IF($B151=($D$13+1),'Stage (6) Investment'!$I151,SUM($K150:P150)),'Stage (7) Investment:Stage (10) Investment'!$I151)-SUM($K151:O151)))</f>
        <v>0</v>
      </c>
      <c r="Q151" s="150">
        <f>IF($B151="NA","NA",IF($B151&lt;=$D$14,0,MIN(IF($B151=($D$14+1),'Stage (7) Investment'!$I151,SUM($K150:Q150)),'Stage (8) Investment:Stage (10) Investment'!$I151)-SUM($K151:P151)))</f>
        <v>0</v>
      </c>
      <c r="R151" s="150">
        <f>IF($B151="NA","NA",IF($B151&lt;=$D$15,0,MIN(IF($B151=($D$15+1),'Stage (8) Investment'!$I151,SUM($K150:R150)),'Stage (9) Investment:Stage (10) Investment'!$I151)-SUM($K151:Q151)))</f>
        <v>0</v>
      </c>
      <c r="S151" s="150">
        <f>IF($B151="NA","NA",IF($B151&lt;=$D$16,0,MIN(IF($B151=($D$16+1),'Stage (9) Investment'!$I151,SUM($K150:S150)),'Stage (10) Investment'!$I151)-SUM($K151:R151)))</f>
        <v>0</v>
      </c>
      <c r="T151" s="151">
        <f>IF($B151="NA","NA",IF($B151&lt;=$D$17,0,IF($B151=($D$17+1),'Stage (10) Investment'!$I151,SUM($K150:T150))-SUM($K151:S151)))</f>
        <v>0</v>
      </c>
    </row>
    <row r="152" spans="1:20" x14ac:dyDescent="0.2">
      <c r="A152" s="86">
        <f t="shared" si="17"/>
        <v>3927</v>
      </c>
      <c r="B152" s="142">
        <f t="shared" si="18"/>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50">
        <f>IF(B152="NA","NA",IF(ISNUMBER(VLOOKUP($C152,'A4 Investment'!$A$24:$G$33,7,FALSE)),VLOOKUP($C152,'A4 Investment'!$A$24:$G$33,7,FALSE)*'A4 Investment'!G$18/12,0))</f>
        <v>0</v>
      </c>
      <c r="I152" s="151">
        <f t="shared" si="16"/>
        <v>8904.1666666666661</v>
      </c>
      <c r="J152" s="149">
        <f t="shared" si="19"/>
        <v>8904.1666666666661</v>
      </c>
      <c r="K152" s="150">
        <f>IF($B152="NA","NA",IF($B152&lt;=$D$8,0,MIN(IF($B152=($D$8+1),'Stage (1) Investment'!$I152,K151),'Stage (2) Investment:Stage (10) Investment'!$I152)))</f>
        <v>8904.1666666666661</v>
      </c>
      <c r="L152" s="150">
        <f>IF($B152="NA","NA",IF($B152&lt;=$D$9,0,MIN(IF($B152=($D$9+1),'Stage (2) Investment'!$I152,SUM($K151:L151)),'Stage (3) Investment:Stage (10) Investment'!$I152)-K152))</f>
        <v>0</v>
      </c>
      <c r="M152" s="150">
        <f>IF($B152="NA","NA",IF($B152&lt;=$D$10,0,MIN(IF($B152=($D$10+1),'Stage (3) Investment'!$I152,SUM($K151:M151)),'Stage (4) Investment:Stage (10) Investment'!$I152)-SUM($K152:L152)))</f>
        <v>0</v>
      </c>
      <c r="N152" s="150">
        <f>IF($B152="NA","NA",IF($B152&lt;=$D$11,0,MIN(IF($B152=($D$11+1),'Stage (4) Investment'!$I152,SUM($K151:N151)),'Stage (5) Investment:Stage (10) Investment'!$I152)-SUM($K152:M152)))</f>
        <v>0</v>
      </c>
      <c r="O152" s="150">
        <f>IF($B152="NA","NA",IF($B152&lt;=$D$12,0,MIN(IF($B152=($D$12+1),'Stage (5) Investment'!$I152,SUM($K151:O151)),'Stage (6) Investment:Stage (10) Investment'!$I152)-SUM($K152:N152)))</f>
        <v>0</v>
      </c>
      <c r="P152" s="150">
        <f>IF($B152="NA","NA",IF($B152&lt;=$D$13,0,MIN(IF($B152=($D$13+1),'Stage (6) Investment'!$I152,SUM($K151:P151)),'Stage (7) Investment:Stage (10) Investment'!$I152)-SUM($K152:O152)))</f>
        <v>0</v>
      </c>
      <c r="Q152" s="150">
        <f>IF($B152="NA","NA",IF($B152&lt;=$D$14,0,MIN(IF($B152=($D$14+1),'Stage (7) Investment'!$I152,SUM($K151:Q151)),'Stage (8) Investment:Stage (10) Investment'!$I152)-SUM($K152:P152)))</f>
        <v>0</v>
      </c>
      <c r="R152" s="150">
        <f>IF($B152="NA","NA",IF($B152&lt;=$D$15,0,MIN(IF($B152=($D$15+1),'Stage (8) Investment'!$I152,SUM($K151:R151)),'Stage (9) Investment:Stage (10) Investment'!$I152)-SUM($K152:Q152)))</f>
        <v>0</v>
      </c>
      <c r="S152" s="150">
        <f>IF($B152="NA","NA",IF($B152&lt;=$D$16,0,MIN(IF($B152=($D$16+1),'Stage (9) Investment'!$I152,SUM($K151:S151)),'Stage (10) Investment'!$I152)-SUM($K152:R152)))</f>
        <v>0</v>
      </c>
      <c r="T152" s="151">
        <f>IF($B152="NA","NA",IF($B152&lt;=$D$17,0,IF($B152=($D$17+1),'Stage (10) Investment'!$I152,SUM($K151:T151))-SUM($K152:S152)))</f>
        <v>0</v>
      </c>
    </row>
    <row r="153" spans="1:20" x14ac:dyDescent="0.2">
      <c r="A153" s="86">
        <f t="shared" si="17"/>
        <v>3958</v>
      </c>
      <c r="B153" s="142">
        <f t="shared" si="18"/>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50">
        <f>IF(B153="NA","NA",IF(ISNUMBER(VLOOKUP($C153,'A4 Investment'!$A$24:$G$33,7,FALSE)),VLOOKUP($C153,'A4 Investment'!$A$24:$G$33,7,FALSE)*'A4 Investment'!G$18/12,0))</f>
        <v>0</v>
      </c>
      <c r="I153" s="151">
        <f t="shared" si="16"/>
        <v>8904.1666666666661</v>
      </c>
      <c r="J153" s="149">
        <f t="shared" si="19"/>
        <v>8904.1666666666661</v>
      </c>
      <c r="K153" s="150">
        <f>IF($B153="NA","NA",IF($B153&lt;=$D$8,0,MIN(IF($B153=($D$8+1),'Stage (1) Investment'!$I153,K152),'Stage (2) Investment:Stage (10) Investment'!$I153)))</f>
        <v>8904.1666666666661</v>
      </c>
      <c r="L153" s="150">
        <f>IF($B153="NA","NA",IF($B153&lt;=$D$9,0,MIN(IF($B153=($D$9+1),'Stage (2) Investment'!$I153,SUM($K152:L152)),'Stage (3) Investment:Stage (10) Investment'!$I153)-K153))</f>
        <v>0</v>
      </c>
      <c r="M153" s="150">
        <f>IF($B153="NA","NA",IF($B153&lt;=$D$10,0,MIN(IF($B153=($D$10+1),'Stage (3) Investment'!$I153,SUM($K152:M152)),'Stage (4) Investment:Stage (10) Investment'!$I153)-SUM($K153:L153)))</f>
        <v>0</v>
      </c>
      <c r="N153" s="150">
        <f>IF($B153="NA","NA",IF($B153&lt;=$D$11,0,MIN(IF($B153=($D$11+1),'Stage (4) Investment'!$I153,SUM($K152:N152)),'Stage (5) Investment:Stage (10) Investment'!$I153)-SUM($K153:M153)))</f>
        <v>0</v>
      </c>
      <c r="O153" s="150">
        <f>IF($B153="NA","NA",IF($B153&lt;=$D$12,0,MIN(IF($B153=($D$12+1),'Stage (5) Investment'!$I153,SUM($K152:O152)),'Stage (6) Investment:Stage (10) Investment'!$I153)-SUM($K153:N153)))</f>
        <v>0</v>
      </c>
      <c r="P153" s="150">
        <f>IF($B153="NA","NA",IF($B153&lt;=$D$13,0,MIN(IF($B153=($D$13+1),'Stage (6) Investment'!$I153,SUM($K152:P152)),'Stage (7) Investment:Stage (10) Investment'!$I153)-SUM($K153:O153)))</f>
        <v>0</v>
      </c>
      <c r="Q153" s="150">
        <f>IF($B153="NA","NA",IF($B153&lt;=$D$14,0,MIN(IF($B153=($D$14+1),'Stage (7) Investment'!$I153,SUM($K152:Q152)),'Stage (8) Investment:Stage (10) Investment'!$I153)-SUM($K153:P153)))</f>
        <v>0</v>
      </c>
      <c r="R153" s="150">
        <f>IF($B153="NA","NA",IF($B153&lt;=$D$15,0,MIN(IF($B153=($D$15+1),'Stage (8) Investment'!$I153,SUM($K152:R152)),'Stage (9) Investment:Stage (10) Investment'!$I153)-SUM($K153:Q153)))</f>
        <v>0</v>
      </c>
      <c r="S153" s="150">
        <f>IF($B153="NA","NA",IF($B153&lt;=$D$16,0,MIN(IF($B153=($D$16+1),'Stage (9) Investment'!$I153,SUM($K152:S152)),'Stage (10) Investment'!$I153)-SUM($K153:R153)))</f>
        <v>0</v>
      </c>
      <c r="T153" s="151">
        <f>IF($B153="NA","NA",IF($B153&lt;=$D$17,0,IF($B153=($D$17+1),'Stage (10) Investment'!$I153,SUM($K152:T152))-SUM($K153:S153)))</f>
        <v>0</v>
      </c>
    </row>
    <row r="154" spans="1:20" x14ac:dyDescent="0.2">
      <c r="A154" s="86">
        <f t="shared" si="17"/>
        <v>3988</v>
      </c>
      <c r="B154" s="142">
        <f t="shared" si="18"/>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50">
        <f>IF(B154="NA","NA",IF(ISNUMBER(VLOOKUP($C154,'A4 Investment'!$A$24:$G$33,7,FALSE)),VLOOKUP($C154,'A4 Investment'!$A$24:$G$33,7,FALSE)*'A4 Investment'!G$18/12,0))</f>
        <v>0</v>
      </c>
      <c r="I154" s="151">
        <f t="shared" si="16"/>
        <v>8904.1666666666661</v>
      </c>
      <c r="J154" s="149">
        <f t="shared" si="19"/>
        <v>8904.1666666666661</v>
      </c>
      <c r="K154" s="150">
        <f>IF($B154="NA","NA",IF($B154&lt;=$D$8,0,MIN(IF($B154=($D$8+1),'Stage (1) Investment'!$I154,K153),'Stage (2) Investment:Stage (10) Investment'!$I154)))</f>
        <v>8904.1666666666661</v>
      </c>
      <c r="L154" s="150">
        <f>IF($B154="NA","NA",IF($B154&lt;=$D$9,0,MIN(IF($B154=($D$9+1),'Stage (2) Investment'!$I154,SUM($K153:L153)),'Stage (3) Investment:Stage (10) Investment'!$I154)-K154))</f>
        <v>0</v>
      </c>
      <c r="M154" s="150">
        <f>IF($B154="NA","NA",IF($B154&lt;=$D$10,0,MIN(IF($B154=($D$10+1),'Stage (3) Investment'!$I154,SUM($K153:M153)),'Stage (4) Investment:Stage (10) Investment'!$I154)-SUM($K154:L154)))</f>
        <v>0</v>
      </c>
      <c r="N154" s="150">
        <f>IF($B154="NA","NA",IF($B154&lt;=$D$11,0,MIN(IF($B154=($D$11+1),'Stage (4) Investment'!$I154,SUM($K153:N153)),'Stage (5) Investment:Stage (10) Investment'!$I154)-SUM($K154:M154)))</f>
        <v>0</v>
      </c>
      <c r="O154" s="150">
        <f>IF($B154="NA","NA",IF($B154&lt;=$D$12,0,MIN(IF($B154=($D$12+1),'Stage (5) Investment'!$I154,SUM($K153:O153)),'Stage (6) Investment:Stage (10) Investment'!$I154)-SUM($K154:N154)))</f>
        <v>0</v>
      </c>
      <c r="P154" s="150">
        <f>IF($B154="NA","NA",IF($B154&lt;=$D$13,0,MIN(IF($B154=($D$13+1),'Stage (6) Investment'!$I154,SUM($K153:P153)),'Stage (7) Investment:Stage (10) Investment'!$I154)-SUM($K154:O154)))</f>
        <v>0</v>
      </c>
      <c r="Q154" s="150">
        <f>IF($B154="NA","NA",IF($B154&lt;=$D$14,0,MIN(IF($B154=($D$14+1),'Stage (7) Investment'!$I154,SUM($K153:Q153)),'Stage (8) Investment:Stage (10) Investment'!$I154)-SUM($K154:P154)))</f>
        <v>0</v>
      </c>
      <c r="R154" s="150">
        <f>IF($B154="NA","NA",IF($B154&lt;=$D$15,0,MIN(IF($B154=($D$15+1),'Stage (8) Investment'!$I154,SUM($K153:R153)),'Stage (9) Investment:Stage (10) Investment'!$I154)-SUM($K154:Q154)))</f>
        <v>0</v>
      </c>
      <c r="S154" s="150">
        <f>IF($B154="NA","NA",IF($B154&lt;=$D$16,0,MIN(IF($B154=($D$16+1),'Stage (9) Investment'!$I154,SUM($K153:S153)),'Stage (10) Investment'!$I154)-SUM($K154:R154)))</f>
        <v>0</v>
      </c>
      <c r="T154" s="151">
        <f>IF($B154="NA","NA",IF($B154&lt;=$D$17,0,IF($B154=($D$17+1),'Stage (10) Investment'!$I154,SUM($K153:T153))-SUM($K154:S154)))</f>
        <v>0</v>
      </c>
    </row>
    <row r="155" spans="1:20" x14ac:dyDescent="0.2">
      <c r="A155" s="86">
        <f t="shared" si="17"/>
        <v>4019</v>
      </c>
      <c r="B155" s="142">
        <f t="shared" si="18"/>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50">
        <f>IF(B155="NA","NA",IF(ISNUMBER(VLOOKUP($C155,'A4 Investment'!$A$24:$G$33,7,FALSE)),VLOOKUP($C155,'A4 Investment'!$A$24:$G$33,7,FALSE)*'A4 Investment'!G$18/12,0))</f>
        <v>0</v>
      </c>
      <c r="I155" s="151">
        <f t="shared" si="16"/>
        <v>8904.1666666666661</v>
      </c>
      <c r="J155" s="149">
        <f t="shared" si="19"/>
        <v>8904.1666666666661</v>
      </c>
      <c r="K155" s="150">
        <f>IF($B155="NA","NA",IF($B155&lt;=$D$8,0,MIN(IF($B155=($D$8+1),'Stage (1) Investment'!$I155,K154),'Stage (2) Investment:Stage (10) Investment'!$I155)))</f>
        <v>8904.1666666666661</v>
      </c>
      <c r="L155" s="150">
        <f>IF($B155="NA","NA",IF($B155&lt;=$D$9,0,MIN(IF($B155=($D$9+1),'Stage (2) Investment'!$I155,SUM($K154:L154)),'Stage (3) Investment:Stage (10) Investment'!$I155)-K155))</f>
        <v>0</v>
      </c>
      <c r="M155" s="150">
        <f>IF($B155="NA","NA",IF($B155&lt;=$D$10,0,MIN(IF($B155=($D$10+1),'Stage (3) Investment'!$I155,SUM($K154:M154)),'Stage (4) Investment:Stage (10) Investment'!$I155)-SUM($K155:L155)))</f>
        <v>0</v>
      </c>
      <c r="N155" s="150">
        <f>IF($B155="NA","NA",IF($B155&lt;=$D$11,0,MIN(IF($B155=($D$11+1),'Stage (4) Investment'!$I155,SUM($K154:N154)),'Stage (5) Investment:Stage (10) Investment'!$I155)-SUM($K155:M155)))</f>
        <v>0</v>
      </c>
      <c r="O155" s="150">
        <f>IF($B155="NA","NA",IF($B155&lt;=$D$12,0,MIN(IF($B155=($D$12+1),'Stage (5) Investment'!$I155,SUM($K154:O154)),'Stage (6) Investment:Stage (10) Investment'!$I155)-SUM($K155:N155)))</f>
        <v>0</v>
      </c>
      <c r="P155" s="150">
        <f>IF($B155="NA","NA",IF($B155&lt;=$D$13,0,MIN(IF($B155=($D$13+1),'Stage (6) Investment'!$I155,SUM($K154:P154)),'Stage (7) Investment:Stage (10) Investment'!$I155)-SUM($K155:O155)))</f>
        <v>0</v>
      </c>
      <c r="Q155" s="150">
        <f>IF($B155="NA","NA",IF($B155&lt;=$D$14,0,MIN(IF($B155=($D$14+1),'Stage (7) Investment'!$I155,SUM($K154:Q154)),'Stage (8) Investment:Stage (10) Investment'!$I155)-SUM($K155:P155)))</f>
        <v>0</v>
      </c>
      <c r="R155" s="150">
        <f>IF($B155="NA","NA",IF($B155&lt;=$D$15,0,MIN(IF($B155=($D$15+1),'Stage (8) Investment'!$I155,SUM($K154:R154)),'Stage (9) Investment:Stage (10) Investment'!$I155)-SUM($K155:Q155)))</f>
        <v>0</v>
      </c>
      <c r="S155" s="150">
        <f>IF($B155="NA","NA",IF($B155&lt;=$D$16,0,MIN(IF($B155=($D$16+1),'Stage (9) Investment'!$I155,SUM($K154:S154)),'Stage (10) Investment'!$I155)-SUM($K155:R155)))</f>
        <v>0</v>
      </c>
      <c r="T155" s="151">
        <f>IF($B155="NA","NA",IF($B155&lt;=$D$17,0,IF($B155=($D$17+1),'Stage (10) Investment'!$I155,SUM($K154:T154))-SUM($K155:S155)))</f>
        <v>0</v>
      </c>
    </row>
    <row r="156" spans="1:20" x14ac:dyDescent="0.2">
      <c r="A156" s="86">
        <f t="shared" si="17"/>
        <v>4050</v>
      </c>
      <c r="B156" s="142">
        <f t="shared" si="18"/>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50">
        <f>IF(B156="NA","NA",IF(ISNUMBER(VLOOKUP($C156,'A4 Investment'!$A$24:$G$33,7,FALSE)),VLOOKUP($C156,'A4 Investment'!$A$24:$G$33,7,FALSE)*'A4 Investment'!G$18/12,0))</f>
        <v>0</v>
      </c>
      <c r="I156" s="151">
        <f t="shared" si="16"/>
        <v>8904.1666666666661</v>
      </c>
      <c r="J156" s="149">
        <f t="shared" si="19"/>
        <v>8904.1666666666661</v>
      </c>
      <c r="K156" s="150">
        <f>IF($B156="NA","NA",IF($B156&lt;=$D$8,0,MIN(IF($B156=($D$8+1),'Stage (1) Investment'!$I156,K155),'Stage (2) Investment:Stage (10) Investment'!$I156)))</f>
        <v>8904.1666666666661</v>
      </c>
      <c r="L156" s="150">
        <f>IF($B156="NA","NA",IF($B156&lt;=$D$9,0,MIN(IF($B156=($D$9+1),'Stage (2) Investment'!$I156,SUM($K155:L155)),'Stage (3) Investment:Stage (10) Investment'!$I156)-K156))</f>
        <v>0</v>
      </c>
      <c r="M156" s="150">
        <f>IF($B156="NA","NA",IF($B156&lt;=$D$10,0,MIN(IF($B156=($D$10+1),'Stage (3) Investment'!$I156,SUM($K155:M155)),'Stage (4) Investment:Stage (10) Investment'!$I156)-SUM($K156:L156)))</f>
        <v>0</v>
      </c>
      <c r="N156" s="150">
        <f>IF($B156="NA","NA",IF($B156&lt;=$D$11,0,MIN(IF($B156=($D$11+1),'Stage (4) Investment'!$I156,SUM($K155:N155)),'Stage (5) Investment:Stage (10) Investment'!$I156)-SUM($K156:M156)))</f>
        <v>0</v>
      </c>
      <c r="O156" s="150">
        <f>IF($B156="NA","NA",IF($B156&lt;=$D$12,0,MIN(IF($B156=($D$12+1),'Stage (5) Investment'!$I156,SUM($K155:O155)),'Stage (6) Investment:Stage (10) Investment'!$I156)-SUM($K156:N156)))</f>
        <v>0</v>
      </c>
      <c r="P156" s="150">
        <f>IF($B156="NA","NA",IF($B156&lt;=$D$13,0,MIN(IF($B156=($D$13+1),'Stage (6) Investment'!$I156,SUM($K155:P155)),'Stage (7) Investment:Stage (10) Investment'!$I156)-SUM($K156:O156)))</f>
        <v>0</v>
      </c>
      <c r="Q156" s="150">
        <f>IF($B156="NA","NA",IF($B156&lt;=$D$14,0,MIN(IF($B156=($D$14+1),'Stage (7) Investment'!$I156,SUM($K155:Q155)),'Stage (8) Investment:Stage (10) Investment'!$I156)-SUM($K156:P156)))</f>
        <v>0</v>
      </c>
      <c r="R156" s="150">
        <f>IF($B156="NA","NA",IF($B156&lt;=$D$15,0,MIN(IF($B156=($D$15+1),'Stage (8) Investment'!$I156,SUM($K155:R155)),'Stage (9) Investment:Stage (10) Investment'!$I156)-SUM($K156:Q156)))</f>
        <v>0</v>
      </c>
      <c r="S156" s="150">
        <f>IF($B156="NA","NA",IF($B156&lt;=$D$16,0,MIN(IF($B156=($D$16+1),'Stage (9) Investment'!$I156,SUM($K155:S155)),'Stage (10) Investment'!$I156)-SUM($K156:R156)))</f>
        <v>0</v>
      </c>
      <c r="T156" s="151">
        <f>IF($B156="NA","NA",IF($B156&lt;=$D$17,0,IF($B156=($D$17+1),'Stage (10) Investment'!$I156,SUM($K155:T155))-SUM($K156:S156)))</f>
        <v>0</v>
      </c>
    </row>
    <row r="157" spans="1:20" x14ac:dyDescent="0.2">
      <c r="A157" s="86">
        <f t="shared" si="17"/>
        <v>4078</v>
      </c>
      <c r="B157" s="142">
        <f t="shared" si="18"/>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50">
        <f>IF(B157="NA","NA",IF(ISNUMBER(VLOOKUP($C157,'A4 Investment'!$A$24:$G$33,7,FALSE)),VLOOKUP($C157,'A4 Investment'!$A$24:$G$33,7,FALSE)*'A4 Investment'!G$18/12,0))</f>
        <v>0</v>
      </c>
      <c r="I157" s="151">
        <f t="shared" si="16"/>
        <v>8904.1666666666661</v>
      </c>
      <c r="J157" s="149">
        <f t="shared" si="19"/>
        <v>8904.1666666666661</v>
      </c>
      <c r="K157" s="150">
        <f>IF($B157="NA","NA",IF($B157&lt;=$D$8,0,MIN(IF($B157=($D$8+1),'Stage (1) Investment'!$I157,K156),'Stage (2) Investment:Stage (10) Investment'!$I157)))</f>
        <v>8904.1666666666661</v>
      </c>
      <c r="L157" s="150">
        <f>IF($B157="NA","NA",IF($B157&lt;=$D$9,0,MIN(IF($B157=($D$9+1),'Stage (2) Investment'!$I157,SUM($K156:L156)),'Stage (3) Investment:Stage (10) Investment'!$I157)-K157))</f>
        <v>0</v>
      </c>
      <c r="M157" s="150">
        <f>IF($B157="NA","NA",IF($B157&lt;=$D$10,0,MIN(IF($B157=($D$10+1),'Stage (3) Investment'!$I157,SUM($K156:M156)),'Stage (4) Investment:Stage (10) Investment'!$I157)-SUM($K157:L157)))</f>
        <v>0</v>
      </c>
      <c r="N157" s="150">
        <f>IF($B157="NA","NA",IF($B157&lt;=$D$11,0,MIN(IF($B157=($D$11+1),'Stage (4) Investment'!$I157,SUM($K156:N156)),'Stage (5) Investment:Stage (10) Investment'!$I157)-SUM($K157:M157)))</f>
        <v>0</v>
      </c>
      <c r="O157" s="150">
        <f>IF($B157="NA","NA",IF($B157&lt;=$D$12,0,MIN(IF($B157=($D$12+1),'Stage (5) Investment'!$I157,SUM($K156:O156)),'Stage (6) Investment:Stage (10) Investment'!$I157)-SUM($K157:N157)))</f>
        <v>0</v>
      </c>
      <c r="P157" s="150">
        <f>IF($B157="NA","NA",IF($B157&lt;=$D$13,0,MIN(IF($B157=($D$13+1),'Stage (6) Investment'!$I157,SUM($K156:P156)),'Stage (7) Investment:Stage (10) Investment'!$I157)-SUM($K157:O157)))</f>
        <v>0</v>
      </c>
      <c r="Q157" s="150">
        <f>IF($B157="NA","NA",IF($B157&lt;=$D$14,0,MIN(IF($B157=($D$14+1),'Stage (7) Investment'!$I157,SUM($K156:Q156)),'Stage (8) Investment:Stage (10) Investment'!$I157)-SUM($K157:P157)))</f>
        <v>0</v>
      </c>
      <c r="R157" s="150">
        <f>IF($B157="NA","NA",IF($B157&lt;=$D$15,0,MIN(IF($B157=($D$15+1),'Stage (8) Investment'!$I157,SUM($K156:R156)),'Stage (9) Investment:Stage (10) Investment'!$I157)-SUM($K157:Q157)))</f>
        <v>0</v>
      </c>
      <c r="S157" s="150">
        <f>IF($B157="NA","NA",IF($B157&lt;=$D$16,0,MIN(IF($B157=($D$16+1),'Stage (9) Investment'!$I157,SUM($K156:S156)),'Stage (10) Investment'!$I157)-SUM($K157:R157)))</f>
        <v>0</v>
      </c>
      <c r="T157" s="151">
        <f>IF($B157="NA","NA",IF($B157&lt;=$D$17,0,IF($B157=($D$17+1),'Stage (10) Investment'!$I157,SUM($K156:T156))-SUM($K157:S157)))</f>
        <v>0</v>
      </c>
    </row>
    <row r="158" spans="1:20" x14ac:dyDescent="0.2">
      <c r="A158" s="86">
        <f t="shared" si="17"/>
        <v>4109</v>
      </c>
      <c r="B158" s="142">
        <f t="shared" si="18"/>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50">
        <f>IF(B158="NA","NA",IF(ISNUMBER(VLOOKUP($C158,'A4 Investment'!$A$24:$G$33,7,FALSE)),VLOOKUP($C158,'A4 Investment'!$A$24:$G$33,7,FALSE)*'A4 Investment'!G$18/12,0))</f>
        <v>0</v>
      </c>
      <c r="I158" s="151">
        <f t="shared" si="16"/>
        <v>8904.1666666666661</v>
      </c>
      <c r="J158" s="149">
        <f t="shared" si="19"/>
        <v>8904.1666666666661</v>
      </c>
      <c r="K158" s="150">
        <f>IF($B158="NA","NA",IF($B158&lt;=$D$8,0,MIN(IF($B158=($D$8+1),'Stage (1) Investment'!$I158,K157),'Stage (2) Investment:Stage (10) Investment'!$I158)))</f>
        <v>8904.1666666666661</v>
      </c>
      <c r="L158" s="150">
        <f>IF($B158="NA","NA",IF($B158&lt;=$D$9,0,MIN(IF($B158=($D$9+1),'Stage (2) Investment'!$I158,SUM($K157:L157)),'Stage (3) Investment:Stage (10) Investment'!$I158)-K158))</f>
        <v>0</v>
      </c>
      <c r="M158" s="150">
        <f>IF($B158="NA","NA",IF($B158&lt;=$D$10,0,MIN(IF($B158=($D$10+1),'Stage (3) Investment'!$I158,SUM($K157:M157)),'Stage (4) Investment:Stage (10) Investment'!$I158)-SUM($K158:L158)))</f>
        <v>0</v>
      </c>
      <c r="N158" s="150">
        <f>IF($B158="NA","NA",IF($B158&lt;=$D$11,0,MIN(IF($B158=($D$11+1),'Stage (4) Investment'!$I158,SUM($K157:N157)),'Stage (5) Investment:Stage (10) Investment'!$I158)-SUM($K158:M158)))</f>
        <v>0</v>
      </c>
      <c r="O158" s="150">
        <f>IF($B158="NA","NA",IF($B158&lt;=$D$12,0,MIN(IF($B158=($D$12+1),'Stage (5) Investment'!$I158,SUM($K157:O157)),'Stage (6) Investment:Stage (10) Investment'!$I158)-SUM($K158:N158)))</f>
        <v>0</v>
      </c>
      <c r="P158" s="150">
        <f>IF($B158="NA","NA",IF($B158&lt;=$D$13,0,MIN(IF($B158=($D$13+1),'Stage (6) Investment'!$I158,SUM($K157:P157)),'Stage (7) Investment:Stage (10) Investment'!$I158)-SUM($K158:O158)))</f>
        <v>0</v>
      </c>
      <c r="Q158" s="150">
        <f>IF($B158="NA","NA",IF($B158&lt;=$D$14,0,MIN(IF($B158=($D$14+1),'Stage (7) Investment'!$I158,SUM($K157:Q157)),'Stage (8) Investment:Stage (10) Investment'!$I158)-SUM($K158:P158)))</f>
        <v>0</v>
      </c>
      <c r="R158" s="150">
        <f>IF($B158="NA","NA",IF($B158&lt;=$D$15,0,MIN(IF($B158=($D$15+1),'Stage (8) Investment'!$I158,SUM($K157:R157)),'Stage (9) Investment:Stage (10) Investment'!$I158)-SUM($K158:Q158)))</f>
        <v>0</v>
      </c>
      <c r="S158" s="150">
        <f>IF($B158="NA","NA",IF($B158&lt;=$D$16,0,MIN(IF($B158=($D$16+1),'Stage (9) Investment'!$I158,SUM($K157:S157)),'Stage (10) Investment'!$I158)-SUM($K158:R158)))</f>
        <v>0</v>
      </c>
      <c r="T158" s="151">
        <f>IF($B158="NA","NA",IF($B158&lt;=$D$17,0,IF($B158=($D$17+1),'Stage (10) Investment'!$I158,SUM($K157:T157))-SUM($K158:S158)))</f>
        <v>0</v>
      </c>
    </row>
    <row r="159" spans="1:20" x14ac:dyDescent="0.2">
      <c r="A159" s="86">
        <f t="shared" si="17"/>
        <v>4139</v>
      </c>
      <c r="B159" s="142">
        <f t="shared" si="18"/>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50">
        <f>IF(B159="NA","NA",IF(ISNUMBER(VLOOKUP($C159,'A4 Investment'!$A$24:$G$33,7,FALSE)),VLOOKUP($C159,'A4 Investment'!$A$24:$G$33,7,FALSE)*'A4 Investment'!G$18/12,0))</f>
        <v>0</v>
      </c>
      <c r="I159" s="151">
        <f t="shared" si="16"/>
        <v>8904.1666666666661</v>
      </c>
      <c r="J159" s="149">
        <f t="shared" si="19"/>
        <v>8904.1666666666661</v>
      </c>
      <c r="K159" s="150">
        <f>IF($B159="NA","NA",IF($B159&lt;=$D$8,0,MIN(IF($B159=($D$8+1),'Stage (1) Investment'!$I159,K158),'Stage (2) Investment:Stage (10) Investment'!$I159)))</f>
        <v>8904.1666666666661</v>
      </c>
      <c r="L159" s="150">
        <f>IF($B159="NA","NA",IF($B159&lt;=$D$9,0,MIN(IF($B159=($D$9+1),'Stage (2) Investment'!$I159,SUM($K158:L158)),'Stage (3) Investment:Stage (10) Investment'!$I159)-K159))</f>
        <v>0</v>
      </c>
      <c r="M159" s="150">
        <f>IF($B159="NA","NA",IF($B159&lt;=$D$10,0,MIN(IF($B159=($D$10+1),'Stage (3) Investment'!$I159,SUM($K158:M158)),'Stage (4) Investment:Stage (10) Investment'!$I159)-SUM($K159:L159)))</f>
        <v>0</v>
      </c>
      <c r="N159" s="150">
        <f>IF($B159="NA","NA",IF($B159&lt;=$D$11,0,MIN(IF($B159=($D$11+1),'Stage (4) Investment'!$I159,SUM($K158:N158)),'Stage (5) Investment:Stage (10) Investment'!$I159)-SUM($K159:M159)))</f>
        <v>0</v>
      </c>
      <c r="O159" s="150">
        <f>IF($B159="NA","NA",IF($B159&lt;=$D$12,0,MIN(IF($B159=($D$12+1),'Stage (5) Investment'!$I159,SUM($K158:O158)),'Stage (6) Investment:Stage (10) Investment'!$I159)-SUM($K159:N159)))</f>
        <v>0</v>
      </c>
      <c r="P159" s="150">
        <f>IF($B159="NA","NA",IF($B159&lt;=$D$13,0,MIN(IF($B159=($D$13+1),'Stage (6) Investment'!$I159,SUM($K158:P158)),'Stage (7) Investment:Stage (10) Investment'!$I159)-SUM($K159:O159)))</f>
        <v>0</v>
      </c>
      <c r="Q159" s="150">
        <f>IF($B159="NA","NA",IF($B159&lt;=$D$14,0,MIN(IF($B159=($D$14+1),'Stage (7) Investment'!$I159,SUM($K158:Q158)),'Stage (8) Investment:Stage (10) Investment'!$I159)-SUM($K159:P159)))</f>
        <v>0</v>
      </c>
      <c r="R159" s="150">
        <f>IF($B159="NA","NA",IF($B159&lt;=$D$15,0,MIN(IF($B159=($D$15+1),'Stage (8) Investment'!$I159,SUM($K158:R158)),'Stage (9) Investment:Stage (10) Investment'!$I159)-SUM($K159:Q159)))</f>
        <v>0</v>
      </c>
      <c r="S159" s="150">
        <f>IF($B159="NA","NA",IF($B159&lt;=$D$16,0,MIN(IF($B159=($D$16+1),'Stage (9) Investment'!$I159,SUM($K158:S158)),'Stage (10) Investment'!$I159)-SUM($K159:R159)))</f>
        <v>0</v>
      </c>
      <c r="T159" s="151">
        <f>IF($B159="NA","NA",IF($B159&lt;=$D$17,0,IF($B159=($D$17+1),'Stage (10) Investment'!$I159,SUM($K158:T158))-SUM($K159:S159)))</f>
        <v>0</v>
      </c>
    </row>
    <row r="160" spans="1:20" x14ac:dyDescent="0.2">
      <c r="A160" s="86">
        <f t="shared" si="17"/>
        <v>4170</v>
      </c>
      <c r="B160" s="142">
        <f t="shared" si="18"/>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50">
        <f>IF(B160="NA","NA",IF(ISNUMBER(VLOOKUP($C160,'A4 Investment'!$A$24:$G$33,7,FALSE)),VLOOKUP($C160,'A4 Investment'!$A$24:$G$33,7,FALSE)*'A4 Investment'!G$18/12,0))</f>
        <v>0</v>
      </c>
      <c r="I160" s="151">
        <f t="shared" si="16"/>
        <v>8904.1666666666661</v>
      </c>
      <c r="J160" s="149">
        <f t="shared" si="19"/>
        <v>8904.1666666666661</v>
      </c>
      <c r="K160" s="150">
        <f>IF($B160="NA","NA",IF($B160&lt;=$D$8,0,MIN(IF($B160=($D$8+1),'Stage (1) Investment'!$I160,K159),'Stage (2) Investment:Stage (10) Investment'!$I160)))</f>
        <v>8904.1666666666661</v>
      </c>
      <c r="L160" s="150">
        <f>IF($B160="NA","NA",IF($B160&lt;=$D$9,0,MIN(IF($B160=($D$9+1),'Stage (2) Investment'!$I160,SUM($K159:L159)),'Stage (3) Investment:Stage (10) Investment'!$I160)-K160))</f>
        <v>0</v>
      </c>
      <c r="M160" s="150">
        <f>IF($B160="NA","NA",IF($B160&lt;=$D$10,0,MIN(IF($B160=($D$10+1),'Stage (3) Investment'!$I160,SUM($K159:M159)),'Stage (4) Investment:Stage (10) Investment'!$I160)-SUM($K160:L160)))</f>
        <v>0</v>
      </c>
      <c r="N160" s="150">
        <f>IF($B160="NA","NA",IF($B160&lt;=$D$11,0,MIN(IF($B160=($D$11+1),'Stage (4) Investment'!$I160,SUM($K159:N159)),'Stage (5) Investment:Stage (10) Investment'!$I160)-SUM($K160:M160)))</f>
        <v>0</v>
      </c>
      <c r="O160" s="150">
        <f>IF($B160="NA","NA",IF($B160&lt;=$D$12,0,MIN(IF($B160=($D$12+1),'Stage (5) Investment'!$I160,SUM($K159:O159)),'Stage (6) Investment:Stage (10) Investment'!$I160)-SUM($K160:N160)))</f>
        <v>0</v>
      </c>
      <c r="P160" s="150">
        <f>IF($B160="NA","NA",IF($B160&lt;=$D$13,0,MIN(IF($B160=($D$13+1),'Stage (6) Investment'!$I160,SUM($K159:P159)),'Stage (7) Investment:Stage (10) Investment'!$I160)-SUM($K160:O160)))</f>
        <v>0</v>
      </c>
      <c r="Q160" s="150">
        <f>IF($B160="NA","NA",IF($B160&lt;=$D$14,0,MIN(IF($B160=($D$14+1),'Stage (7) Investment'!$I160,SUM($K159:Q159)),'Stage (8) Investment:Stage (10) Investment'!$I160)-SUM($K160:P160)))</f>
        <v>0</v>
      </c>
      <c r="R160" s="150">
        <f>IF($B160="NA","NA",IF($B160&lt;=$D$15,0,MIN(IF($B160=($D$15+1),'Stage (8) Investment'!$I160,SUM($K159:R159)),'Stage (9) Investment:Stage (10) Investment'!$I160)-SUM($K160:Q160)))</f>
        <v>0</v>
      </c>
      <c r="S160" s="150">
        <f>IF($B160="NA","NA",IF($B160&lt;=$D$16,0,MIN(IF($B160=($D$16+1),'Stage (9) Investment'!$I160,SUM($K159:S159)),'Stage (10) Investment'!$I160)-SUM($K160:R160)))</f>
        <v>0</v>
      </c>
      <c r="T160" s="151">
        <f>IF($B160="NA","NA",IF($B160&lt;=$D$17,0,IF($B160=($D$17+1),'Stage (10) Investment'!$I160,SUM($K159:T159))-SUM($K160:S160)))</f>
        <v>0</v>
      </c>
    </row>
    <row r="161" spans="1:20" x14ac:dyDescent="0.2">
      <c r="A161" s="86">
        <f t="shared" si="17"/>
        <v>4200</v>
      </c>
      <c r="B161" s="142">
        <f t="shared" si="18"/>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50">
        <f>IF(B161="NA","NA",IF(ISNUMBER(VLOOKUP($C161,'A4 Investment'!$A$24:$G$33,7,FALSE)),VLOOKUP($C161,'A4 Investment'!$A$24:$G$33,7,FALSE)*'A4 Investment'!G$18/12,0))</f>
        <v>0</v>
      </c>
      <c r="I161" s="151">
        <f t="shared" si="16"/>
        <v>8904.1666666666661</v>
      </c>
      <c r="J161" s="149">
        <f t="shared" si="19"/>
        <v>8904.1666666666661</v>
      </c>
      <c r="K161" s="150">
        <f>IF($B161="NA","NA",IF($B161&lt;=$D$8,0,MIN(IF($B161=($D$8+1),'Stage (1) Investment'!$I161,K160),'Stage (2) Investment:Stage (10) Investment'!$I161)))</f>
        <v>8904.1666666666661</v>
      </c>
      <c r="L161" s="150">
        <f>IF($B161="NA","NA",IF($B161&lt;=$D$9,0,MIN(IF($B161=($D$9+1),'Stage (2) Investment'!$I161,SUM($K160:L160)),'Stage (3) Investment:Stage (10) Investment'!$I161)-K161))</f>
        <v>0</v>
      </c>
      <c r="M161" s="150">
        <f>IF($B161="NA","NA",IF($B161&lt;=$D$10,0,MIN(IF($B161=($D$10+1),'Stage (3) Investment'!$I161,SUM($K160:M160)),'Stage (4) Investment:Stage (10) Investment'!$I161)-SUM($K161:L161)))</f>
        <v>0</v>
      </c>
      <c r="N161" s="150">
        <f>IF($B161="NA","NA",IF($B161&lt;=$D$11,0,MIN(IF($B161=($D$11+1),'Stage (4) Investment'!$I161,SUM($K160:N160)),'Stage (5) Investment:Stage (10) Investment'!$I161)-SUM($K161:M161)))</f>
        <v>0</v>
      </c>
      <c r="O161" s="150">
        <f>IF($B161="NA","NA",IF($B161&lt;=$D$12,0,MIN(IF($B161=($D$12+1),'Stage (5) Investment'!$I161,SUM($K160:O160)),'Stage (6) Investment:Stage (10) Investment'!$I161)-SUM($K161:N161)))</f>
        <v>0</v>
      </c>
      <c r="P161" s="150">
        <f>IF($B161="NA","NA",IF($B161&lt;=$D$13,0,MIN(IF($B161=($D$13+1),'Stage (6) Investment'!$I161,SUM($K160:P160)),'Stage (7) Investment:Stage (10) Investment'!$I161)-SUM($K161:O161)))</f>
        <v>0</v>
      </c>
      <c r="Q161" s="150">
        <f>IF($B161="NA","NA",IF($B161&lt;=$D$14,0,MIN(IF($B161=($D$14+1),'Stage (7) Investment'!$I161,SUM($K160:Q160)),'Stage (8) Investment:Stage (10) Investment'!$I161)-SUM($K161:P161)))</f>
        <v>0</v>
      </c>
      <c r="R161" s="150">
        <f>IF($B161="NA","NA",IF($B161&lt;=$D$15,0,MIN(IF($B161=($D$15+1),'Stage (8) Investment'!$I161,SUM($K160:R160)),'Stage (9) Investment:Stage (10) Investment'!$I161)-SUM($K161:Q161)))</f>
        <v>0</v>
      </c>
      <c r="S161" s="150">
        <f>IF($B161="NA","NA",IF($B161&lt;=$D$16,0,MIN(IF($B161=($D$16+1),'Stage (9) Investment'!$I161,SUM($K160:S160)),'Stage (10) Investment'!$I161)-SUM($K161:R161)))</f>
        <v>0</v>
      </c>
      <c r="T161" s="151">
        <f>IF($B161="NA","NA",IF($B161&lt;=$D$17,0,IF($B161=($D$17+1),'Stage (10) Investment'!$I161,SUM($K160:T160))-SUM($K161:S161)))</f>
        <v>0</v>
      </c>
    </row>
    <row r="162" spans="1:20" x14ac:dyDescent="0.2">
      <c r="A162" s="86">
        <f t="shared" si="17"/>
        <v>4231</v>
      </c>
      <c r="B162" s="142">
        <f t="shared" si="18"/>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50">
        <f>IF(B162="NA","NA",IF(ISNUMBER(VLOOKUP($C162,'A4 Investment'!$A$24:$G$33,7,FALSE)),VLOOKUP($C162,'A4 Investment'!$A$24:$G$33,7,FALSE)*'A4 Investment'!G$18/12,0))</f>
        <v>0</v>
      </c>
      <c r="I162" s="151">
        <f t="shared" si="16"/>
        <v>8904.1666666666661</v>
      </c>
      <c r="J162" s="149">
        <f t="shared" si="19"/>
        <v>8904.1666666666661</v>
      </c>
      <c r="K162" s="150">
        <f>IF($B162="NA","NA",IF($B162&lt;=$D$8,0,MIN(IF($B162=($D$8+1),'Stage (1) Investment'!$I162,K161),'Stage (2) Investment:Stage (10) Investment'!$I162)))</f>
        <v>8904.1666666666661</v>
      </c>
      <c r="L162" s="150">
        <f>IF($B162="NA","NA",IF($B162&lt;=$D$9,0,MIN(IF($B162=($D$9+1),'Stage (2) Investment'!$I162,SUM($K161:L161)),'Stage (3) Investment:Stage (10) Investment'!$I162)-K162))</f>
        <v>0</v>
      </c>
      <c r="M162" s="150">
        <f>IF($B162="NA","NA",IF($B162&lt;=$D$10,0,MIN(IF($B162=($D$10+1),'Stage (3) Investment'!$I162,SUM($K161:M161)),'Stage (4) Investment:Stage (10) Investment'!$I162)-SUM($K162:L162)))</f>
        <v>0</v>
      </c>
      <c r="N162" s="150">
        <f>IF($B162="NA","NA",IF($B162&lt;=$D$11,0,MIN(IF($B162=($D$11+1),'Stage (4) Investment'!$I162,SUM($K161:N161)),'Stage (5) Investment:Stage (10) Investment'!$I162)-SUM($K162:M162)))</f>
        <v>0</v>
      </c>
      <c r="O162" s="150">
        <f>IF($B162="NA","NA",IF($B162&lt;=$D$12,0,MIN(IF($B162=($D$12+1),'Stage (5) Investment'!$I162,SUM($K161:O161)),'Stage (6) Investment:Stage (10) Investment'!$I162)-SUM($K162:N162)))</f>
        <v>0</v>
      </c>
      <c r="P162" s="150">
        <f>IF($B162="NA","NA",IF($B162&lt;=$D$13,0,MIN(IF($B162=($D$13+1),'Stage (6) Investment'!$I162,SUM($K161:P161)),'Stage (7) Investment:Stage (10) Investment'!$I162)-SUM($K162:O162)))</f>
        <v>0</v>
      </c>
      <c r="Q162" s="150">
        <f>IF($B162="NA","NA",IF($B162&lt;=$D$14,0,MIN(IF($B162=($D$14+1),'Stage (7) Investment'!$I162,SUM($K161:Q161)),'Stage (8) Investment:Stage (10) Investment'!$I162)-SUM($K162:P162)))</f>
        <v>0</v>
      </c>
      <c r="R162" s="150">
        <f>IF($B162="NA","NA",IF($B162&lt;=$D$15,0,MIN(IF($B162=($D$15+1),'Stage (8) Investment'!$I162,SUM($K161:R161)),'Stage (9) Investment:Stage (10) Investment'!$I162)-SUM($K162:Q162)))</f>
        <v>0</v>
      </c>
      <c r="S162" s="150">
        <f>IF($B162="NA","NA",IF($B162&lt;=$D$16,0,MIN(IF($B162=($D$16+1),'Stage (9) Investment'!$I162,SUM($K161:S161)),'Stage (10) Investment'!$I162)-SUM($K162:R162)))</f>
        <v>0</v>
      </c>
      <c r="T162" s="151">
        <f>IF($B162="NA","NA",IF($B162&lt;=$D$17,0,IF($B162=($D$17+1),'Stage (10) Investment'!$I162,SUM($K161:T161))-SUM($K162:S162)))</f>
        <v>0</v>
      </c>
    </row>
    <row r="163" spans="1:20" x14ac:dyDescent="0.2">
      <c r="A163" s="86">
        <f t="shared" si="17"/>
        <v>4262</v>
      </c>
      <c r="B163" s="142">
        <f t="shared" si="18"/>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50">
        <f>IF(B163="NA","NA",IF(ISNUMBER(VLOOKUP($C163,'A4 Investment'!$A$24:$G$33,7,FALSE)),VLOOKUP($C163,'A4 Investment'!$A$24:$G$33,7,FALSE)*'A4 Investment'!G$18/12,0))</f>
        <v>0</v>
      </c>
      <c r="I163" s="151">
        <f t="shared" si="16"/>
        <v>8904.1666666666661</v>
      </c>
      <c r="J163" s="149">
        <f t="shared" si="19"/>
        <v>8904.1666666666661</v>
      </c>
      <c r="K163" s="150">
        <f>IF($B163="NA","NA",IF($B163&lt;=$D$8,0,MIN(IF($B163=($D$8+1),'Stage (1) Investment'!$I163,K162),'Stage (2) Investment:Stage (10) Investment'!$I163)))</f>
        <v>8904.1666666666661</v>
      </c>
      <c r="L163" s="150">
        <f>IF($B163="NA","NA",IF($B163&lt;=$D$9,0,MIN(IF($B163=($D$9+1),'Stage (2) Investment'!$I163,SUM($K162:L162)),'Stage (3) Investment:Stage (10) Investment'!$I163)-K163))</f>
        <v>0</v>
      </c>
      <c r="M163" s="150">
        <f>IF($B163="NA","NA",IF($B163&lt;=$D$10,0,MIN(IF($B163=($D$10+1),'Stage (3) Investment'!$I163,SUM($K162:M162)),'Stage (4) Investment:Stage (10) Investment'!$I163)-SUM($K163:L163)))</f>
        <v>0</v>
      </c>
      <c r="N163" s="150">
        <f>IF($B163="NA","NA",IF($B163&lt;=$D$11,0,MIN(IF($B163=($D$11+1),'Stage (4) Investment'!$I163,SUM($K162:N162)),'Stage (5) Investment:Stage (10) Investment'!$I163)-SUM($K163:M163)))</f>
        <v>0</v>
      </c>
      <c r="O163" s="150">
        <f>IF($B163="NA","NA",IF($B163&lt;=$D$12,0,MIN(IF($B163=($D$12+1),'Stage (5) Investment'!$I163,SUM($K162:O162)),'Stage (6) Investment:Stage (10) Investment'!$I163)-SUM($K163:N163)))</f>
        <v>0</v>
      </c>
      <c r="P163" s="150">
        <f>IF($B163="NA","NA",IF($B163&lt;=$D$13,0,MIN(IF($B163=($D$13+1),'Stage (6) Investment'!$I163,SUM($K162:P162)),'Stage (7) Investment:Stage (10) Investment'!$I163)-SUM($K163:O163)))</f>
        <v>0</v>
      </c>
      <c r="Q163" s="150">
        <f>IF($B163="NA","NA",IF($B163&lt;=$D$14,0,MIN(IF($B163=($D$14+1),'Stage (7) Investment'!$I163,SUM($K162:Q162)),'Stage (8) Investment:Stage (10) Investment'!$I163)-SUM($K163:P163)))</f>
        <v>0</v>
      </c>
      <c r="R163" s="150">
        <f>IF($B163="NA","NA",IF($B163&lt;=$D$15,0,MIN(IF($B163=($D$15+1),'Stage (8) Investment'!$I163,SUM($K162:R162)),'Stage (9) Investment:Stage (10) Investment'!$I163)-SUM($K163:Q163)))</f>
        <v>0</v>
      </c>
      <c r="S163" s="150">
        <f>IF($B163="NA","NA",IF($B163&lt;=$D$16,0,MIN(IF($B163=($D$16+1),'Stage (9) Investment'!$I163,SUM($K162:S162)),'Stage (10) Investment'!$I163)-SUM($K163:R163)))</f>
        <v>0</v>
      </c>
      <c r="T163" s="151">
        <f>IF($B163="NA","NA",IF($B163&lt;=$D$17,0,IF($B163=($D$17+1),'Stage (10) Investment'!$I163,SUM($K162:T162))-SUM($K163:S163)))</f>
        <v>0</v>
      </c>
    </row>
    <row r="164" spans="1:20" x14ac:dyDescent="0.2">
      <c r="A164" s="86">
        <f t="shared" si="17"/>
        <v>4292</v>
      </c>
      <c r="B164" s="142">
        <f t="shared" si="18"/>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50">
        <f>IF(B164="NA","NA",IF(ISNUMBER(VLOOKUP($C164,'A4 Investment'!$A$24:$G$33,7,FALSE)),VLOOKUP($C164,'A4 Investment'!$A$24:$G$33,7,FALSE)*'A4 Investment'!G$18/12,0))</f>
        <v>0</v>
      </c>
      <c r="I164" s="151">
        <f t="shared" si="16"/>
        <v>8904.1666666666661</v>
      </c>
      <c r="J164" s="149">
        <f t="shared" si="19"/>
        <v>8904.1666666666661</v>
      </c>
      <c r="K164" s="150">
        <f>IF($B164="NA","NA",IF($B164&lt;=$D$8,0,MIN(IF($B164=($D$8+1),'Stage (1) Investment'!$I164,K163),'Stage (2) Investment:Stage (10) Investment'!$I164)))</f>
        <v>8904.1666666666661</v>
      </c>
      <c r="L164" s="150">
        <f>IF($B164="NA","NA",IF($B164&lt;=$D$9,0,MIN(IF($B164=($D$9+1),'Stage (2) Investment'!$I164,SUM($K163:L163)),'Stage (3) Investment:Stage (10) Investment'!$I164)-K164))</f>
        <v>0</v>
      </c>
      <c r="M164" s="150">
        <f>IF($B164="NA","NA",IF($B164&lt;=$D$10,0,MIN(IF($B164=($D$10+1),'Stage (3) Investment'!$I164,SUM($K163:M163)),'Stage (4) Investment:Stage (10) Investment'!$I164)-SUM($K164:L164)))</f>
        <v>0</v>
      </c>
      <c r="N164" s="150">
        <f>IF($B164="NA","NA",IF($B164&lt;=$D$11,0,MIN(IF($B164=($D$11+1),'Stage (4) Investment'!$I164,SUM($K163:N163)),'Stage (5) Investment:Stage (10) Investment'!$I164)-SUM($K164:M164)))</f>
        <v>0</v>
      </c>
      <c r="O164" s="150">
        <f>IF($B164="NA","NA",IF($B164&lt;=$D$12,0,MIN(IF($B164=($D$12+1),'Stage (5) Investment'!$I164,SUM($K163:O163)),'Stage (6) Investment:Stage (10) Investment'!$I164)-SUM($K164:N164)))</f>
        <v>0</v>
      </c>
      <c r="P164" s="150">
        <f>IF($B164="NA","NA",IF($B164&lt;=$D$13,0,MIN(IF($B164=($D$13+1),'Stage (6) Investment'!$I164,SUM($K163:P163)),'Stage (7) Investment:Stage (10) Investment'!$I164)-SUM($K164:O164)))</f>
        <v>0</v>
      </c>
      <c r="Q164" s="150">
        <f>IF($B164="NA","NA",IF($B164&lt;=$D$14,0,MIN(IF($B164=($D$14+1),'Stage (7) Investment'!$I164,SUM($K163:Q163)),'Stage (8) Investment:Stage (10) Investment'!$I164)-SUM($K164:P164)))</f>
        <v>0</v>
      </c>
      <c r="R164" s="150">
        <f>IF($B164="NA","NA",IF($B164&lt;=$D$15,0,MIN(IF($B164=($D$15+1),'Stage (8) Investment'!$I164,SUM($K163:R163)),'Stage (9) Investment:Stage (10) Investment'!$I164)-SUM($K164:Q164)))</f>
        <v>0</v>
      </c>
      <c r="S164" s="150">
        <f>IF($B164="NA","NA",IF($B164&lt;=$D$16,0,MIN(IF($B164=($D$16+1),'Stage (9) Investment'!$I164,SUM($K163:S163)),'Stage (10) Investment'!$I164)-SUM($K164:R164)))</f>
        <v>0</v>
      </c>
      <c r="T164" s="151">
        <f>IF($B164="NA","NA",IF($B164&lt;=$D$17,0,IF($B164=($D$17+1),'Stage (10) Investment'!$I164,SUM($K163:T163))-SUM($K164:S164)))</f>
        <v>0</v>
      </c>
    </row>
    <row r="165" spans="1:20" x14ac:dyDescent="0.2">
      <c r="A165" s="86">
        <f t="shared" si="17"/>
        <v>4323</v>
      </c>
      <c r="B165" s="142">
        <f t="shared" si="18"/>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50">
        <f>IF(B165="NA","NA",IF(ISNUMBER(VLOOKUP($C165,'A4 Investment'!$A$24:$G$33,7,FALSE)),VLOOKUP($C165,'A4 Investment'!$A$24:$G$33,7,FALSE)*'A4 Investment'!G$18/12,0))</f>
        <v>0</v>
      </c>
      <c r="I165" s="151">
        <f t="shared" si="16"/>
        <v>8904.1666666666661</v>
      </c>
      <c r="J165" s="149">
        <f t="shared" si="19"/>
        <v>8904.1666666666661</v>
      </c>
      <c r="K165" s="150">
        <f>IF($B165="NA","NA",IF($B165&lt;=$D$8,0,MIN(IF($B165=($D$8+1),'Stage (1) Investment'!$I165,K164),'Stage (2) Investment:Stage (10) Investment'!$I165)))</f>
        <v>8904.1666666666661</v>
      </c>
      <c r="L165" s="150">
        <f>IF($B165="NA","NA",IF($B165&lt;=$D$9,0,MIN(IF($B165=($D$9+1),'Stage (2) Investment'!$I165,SUM($K164:L164)),'Stage (3) Investment:Stage (10) Investment'!$I165)-K165))</f>
        <v>0</v>
      </c>
      <c r="M165" s="150">
        <f>IF($B165="NA","NA",IF($B165&lt;=$D$10,0,MIN(IF($B165=($D$10+1),'Stage (3) Investment'!$I165,SUM($K164:M164)),'Stage (4) Investment:Stage (10) Investment'!$I165)-SUM($K165:L165)))</f>
        <v>0</v>
      </c>
      <c r="N165" s="150">
        <f>IF($B165="NA","NA",IF($B165&lt;=$D$11,0,MIN(IF($B165=($D$11+1),'Stage (4) Investment'!$I165,SUM($K164:N164)),'Stage (5) Investment:Stage (10) Investment'!$I165)-SUM($K165:M165)))</f>
        <v>0</v>
      </c>
      <c r="O165" s="150">
        <f>IF($B165="NA","NA",IF($B165&lt;=$D$12,0,MIN(IF($B165=($D$12+1),'Stage (5) Investment'!$I165,SUM($K164:O164)),'Stage (6) Investment:Stage (10) Investment'!$I165)-SUM($K165:N165)))</f>
        <v>0</v>
      </c>
      <c r="P165" s="150">
        <f>IF($B165="NA","NA",IF($B165&lt;=$D$13,0,MIN(IF($B165=($D$13+1),'Stage (6) Investment'!$I165,SUM($K164:P164)),'Stage (7) Investment:Stage (10) Investment'!$I165)-SUM($K165:O165)))</f>
        <v>0</v>
      </c>
      <c r="Q165" s="150">
        <f>IF($B165="NA","NA",IF($B165&lt;=$D$14,0,MIN(IF($B165=($D$14+1),'Stage (7) Investment'!$I165,SUM($K164:Q164)),'Stage (8) Investment:Stage (10) Investment'!$I165)-SUM($K165:P165)))</f>
        <v>0</v>
      </c>
      <c r="R165" s="150">
        <f>IF($B165="NA","NA",IF($B165&lt;=$D$15,0,MIN(IF($B165=($D$15+1),'Stage (8) Investment'!$I165,SUM($K164:R164)),'Stage (9) Investment:Stage (10) Investment'!$I165)-SUM($K165:Q165)))</f>
        <v>0</v>
      </c>
      <c r="S165" s="150">
        <f>IF($B165="NA","NA",IF($B165&lt;=$D$16,0,MIN(IF($B165=($D$16+1),'Stage (9) Investment'!$I165,SUM($K164:S164)),'Stage (10) Investment'!$I165)-SUM($K165:R165)))</f>
        <v>0</v>
      </c>
      <c r="T165" s="151">
        <f>IF($B165="NA","NA",IF($B165&lt;=$D$17,0,IF($B165=($D$17+1),'Stage (10) Investment'!$I165,SUM($K164:T164))-SUM($K165:S165)))</f>
        <v>0</v>
      </c>
    </row>
    <row r="166" spans="1:20" x14ac:dyDescent="0.2">
      <c r="A166" s="86">
        <f t="shared" si="17"/>
        <v>4353</v>
      </c>
      <c r="B166" s="142">
        <f t="shared" si="18"/>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50">
        <f>IF(B166="NA","NA",IF(ISNUMBER(VLOOKUP($C166,'A4 Investment'!$A$24:$G$33,7,FALSE)),VLOOKUP($C166,'A4 Investment'!$A$24:$G$33,7,FALSE)*'A4 Investment'!G$18/12,0))</f>
        <v>0</v>
      </c>
      <c r="I166" s="151">
        <f t="shared" si="16"/>
        <v>8904.1666666666661</v>
      </c>
      <c r="J166" s="149">
        <f t="shared" si="19"/>
        <v>8904.1666666666661</v>
      </c>
      <c r="K166" s="150">
        <f>IF($B166="NA","NA",IF($B166&lt;=$D$8,0,MIN(IF($B166=($D$8+1),'Stage (1) Investment'!$I166,K165),'Stage (2) Investment:Stage (10) Investment'!$I166)))</f>
        <v>8904.1666666666661</v>
      </c>
      <c r="L166" s="150">
        <f>IF($B166="NA","NA",IF($B166&lt;=$D$9,0,MIN(IF($B166=($D$9+1),'Stage (2) Investment'!$I166,SUM($K165:L165)),'Stage (3) Investment:Stage (10) Investment'!$I166)-K166))</f>
        <v>0</v>
      </c>
      <c r="M166" s="150">
        <f>IF($B166="NA","NA",IF($B166&lt;=$D$10,0,MIN(IF($B166=($D$10+1),'Stage (3) Investment'!$I166,SUM($K165:M165)),'Stage (4) Investment:Stage (10) Investment'!$I166)-SUM($K166:L166)))</f>
        <v>0</v>
      </c>
      <c r="N166" s="150">
        <f>IF($B166="NA","NA",IF($B166&lt;=$D$11,0,MIN(IF($B166=($D$11+1),'Stage (4) Investment'!$I166,SUM($K165:N165)),'Stage (5) Investment:Stage (10) Investment'!$I166)-SUM($K166:M166)))</f>
        <v>0</v>
      </c>
      <c r="O166" s="150">
        <f>IF($B166="NA","NA",IF($B166&lt;=$D$12,0,MIN(IF($B166=($D$12+1),'Stage (5) Investment'!$I166,SUM($K165:O165)),'Stage (6) Investment:Stage (10) Investment'!$I166)-SUM($K166:N166)))</f>
        <v>0</v>
      </c>
      <c r="P166" s="150">
        <f>IF($B166="NA","NA",IF($B166&lt;=$D$13,0,MIN(IF($B166=($D$13+1),'Stage (6) Investment'!$I166,SUM($K165:P165)),'Stage (7) Investment:Stage (10) Investment'!$I166)-SUM($K166:O166)))</f>
        <v>0</v>
      </c>
      <c r="Q166" s="150">
        <f>IF($B166="NA","NA",IF($B166&lt;=$D$14,0,MIN(IF($B166=($D$14+1),'Stage (7) Investment'!$I166,SUM($K165:Q165)),'Stage (8) Investment:Stage (10) Investment'!$I166)-SUM($K166:P166)))</f>
        <v>0</v>
      </c>
      <c r="R166" s="150">
        <f>IF($B166="NA","NA",IF($B166&lt;=$D$15,0,MIN(IF($B166=($D$15+1),'Stage (8) Investment'!$I166,SUM($K165:R165)),'Stage (9) Investment:Stage (10) Investment'!$I166)-SUM($K166:Q166)))</f>
        <v>0</v>
      </c>
      <c r="S166" s="150">
        <f>IF($B166="NA","NA",IF($B166&lt;=$D$16,0,MIN(IF($B166=($D$16+1),'Stage (9) Investment'!$I166,SUM($K165:S165)),'Stage (10) Investment'!$I166)-SUM($K166:R166)))</f>
        <v>0</v>
      </c>
      <c r="T166" s="151">
        <f>IF($B166="NA","NA",IF($B166&lt;=$D$17,0,IF($B166=($D$17+1),'Stage (10) Investment'!$I166,SUM($K165:T165))-SUM($K166:S166)))</f>
        <v>0</v>
      </c>
    </row>
    <row r="167" spans="1:20" x14ac:dyDescent="0.2">
      <c r="A167" s="86">
        <f t="shared" si="17"/>
        <v>4384</v>
      </c>
      <c r="B167" s="142">
        <f t="shared" si="18"/>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50">
        <f>IF(B167="NA","NA",IF(ISNUMBER(VLOOKUP($C167,'A4 Investment'!$A$24:$G$33,7,FALSE)),VLOOKUP($C167,'A4 Investment'!$A$24:$G$33,7,FALSE)*'A4 Investment'!G$18/12,0))</f>
        <v>0</v>
      </c>
      <c r="I167" s="151">
        <f t="shared" si="16"/>
        <v>8904.1666666666661</v>
      </c>
      <c r="J167" s="149">
        <f t="shared" si="19"/>
        <v>8904.1666666666661</v>
      </c>
      <c r="K167" s="150">
        <f>IF($B167="NA","NA",IF($B167&lt;=$D$8,0,MIN(IF($B167=($D$8+1),'Stage (1) Investment'!$I167,K166),'Stage (2) Investment:Stage (10) Investment'!$I167)))</f>
        <v>8904.1666666666661</v>
      </c>
      <c r="L167" s="150">
        <f>IF($B167="NA","NA",IF($B167&lt;=$D$9,0,MIN(IF($B167=($D$9+1),'Stage (2) Investment'!$I167,SUM($K166:L166)),'Stage (3) Investment:Stage (10) Investment'!$I167)-K167))</f>
        <v>0</v>
      </c>
      <c r="M167" s="150">
        <f>IF($B167="NA","NA",IF($B167&lt;=$D$10,0,MIN(IF($B167=($D$10+1),'Stage (3) Investment'!$I167,SUM($K166:M166)),'Stage (4) Investment:Stage (10) Investment'!$I167)-SUM($K167:L167)))</f>
        <v>0</v>
      </c>
      <c r="N167" s="150">
        <f>IF($B167="NA","NA",IF($B167&lt;=$D$11,0,MIN(IF($B167=($D$11+1),'Stage (4) Investment'!$I167,SUM($K166:N166)),'Stage (5) Investment:Stage (10) Investment'!$I167)-SUM($K167:M167)))</f>
        <v>0</v>
      </c>
      <c r="O167" s="150">
        <f>IF($B167="NA","NA",IF($B167&lt;=$D$12,0,MIN(IF($B167=($D$12+1),'Stage (5) Investment'!$I167,SUM($K166:O166)),'Stage (6) Investment:Stage (10) Investment'!$I167)-SUM($K167:N167)))</f>
        <v>0</v>
      </c>
      <c r="P167" s="150">
        <f>IF($B167="NA","NA",IF($B167&lt;=$D$13,0,MIN(IF($B167=($D$13+1),'Stage (6) Investment'!$I167,SUM($K166:P166)),'Stage (7) Investment:Stage (10) Investment'!$I167)-SUM($K167:O167)))</f>
        <v>0</v>
      </c>
      <c r="Q167" s="150">
        <f>IF($B167="NA","NA",IF($B167&lt;=$D$14,0,MIN(IF($B167=($D$14+1),'Stage (7) Investment'!$I167,SUM($K166:Q166)),'Stage (8) Investment:Stage (10) Investment'!$I167)-SUM($K167:P167)))</f>
        <v>0</v>
      </c>
      <c r="R167" s="150">
        <f>IF($B167="NA","NA",IF($B167&lt;=$D$15,0,MIN(IF($B167=($D$15+1),'Stage (8) Investment'!$I167,SUM($K166:R166)),'Stage (9) Investment:Stage (10) Investment'!$I167)-SUM($K167:Q167)))</f>
        <v>0</v>
      </c>
      <c r="S167" s="150">
        <f>IF($B167="NA","NA",IF($B167&lt;=$D$16,0,MIN(IF($B167=($D$16+1),'Stage (9) Investment'!$I167,SUM($K166:S166)),'Stage (10) Investment'!$I167)-SUM($K167:R167)))</f>
        <v>0</v>
      </c>
      <c r="T167" s="151">
        <f>IF($B167="NA","NA",IF($B167&lt;=$D$17,0,IF($B167=($D$17+1),'Stage (10) Investment'!$I167,SUM($K166:T166))-SUM($K167:S167)))</f>
        <v>0</v>
      </c>
    </row>
    <row r="168" spans="1:20" x14ac:dyDescent="0.2">
      <c r="A168" s="86">
        <f t="shared" si="17"/>
        <v>4415</v>
      </c>
      <c r="B168" s="142">
        <f t="shared" si="18"/>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50">
        <f>IF(B168="NA","NA",IF(ISNUMBER(VLOOKUP($C168,'A4 Investment'!$A$24:$G$33,7,FALSE)),VLOOKUP($C168,'A4 Investment'!$A$24:$G$33,7,FALSE)*'A4 Investment'!G$18/12,0))</f>
        <v>0</v>
      </c>
      <c r="I168" s="151">
        <f t="shared" si="16"/>
        <v>8904.1666666666661</v>
      </c>
      <c r="J168" s="149">
        <f t="shared" si="19"/>
        <v>8904.1666666666661</v>
      </c>
      <c r="K168" s="150">
        <f>IF($B168="NA","NA",IF($B168&lt;=$D$8,0,MIN(IF($B168=($D$8+1),'Stage (1) Investment'!$I168,K167),'Stage (2) Investment:Stage (10) Investment'!$I168)))</f>
        <v>8904.1666666666661</v>
      </c>
      <c r="L168" s="150">
        <f>IF($B168="NA","NA",IF($B168&lt;=$D$9,0,MIN(IF($B168=($D$9+1),'Stage (2) Investment'!$I168,SUM($K167:L167)),'Stage (3) Investment:Stage (10) Investment'!$I168)-K168))</f>
        <v>0</v>
      </c>
      <c r="M168" s="150">
        <f>IF($B168="NA","NA",IF($B168&lt;=$D$10,0,MIN(IF($B168=($D$10+1),'Stage (3) Investment'!$I168,SUM($K167:M167)),'Stage (4) Investment:Stage (10) Investment'!$I168)-SUM($K168:L168)))</f>
        <v>0</v>
      </c>
      <c r="N168" s="150">
        <f>IF($B168="NA","NA",IF($B168&lt;=$D$11,0,MIN(IF($B168=($D$11+1),'Stage (4) Investment'!$I168,SUM($K167:N167)),'Stage (5) Investment:Stage (10) Investment'!$I168)-SUM($K168:M168)))</f>
        <v>0</v>
      </c>
      <c r="O168" s="150">
        <f>IF($B168="NA","NA",IF($B168&lt;=$D$12,0,MIN(IF($B168=($D$12+1),'Stage (5) Investment'!$I168,SUM($K167:O167)),'Stage (6) Investment:Stage (10) Investment'!$I168)-SUM($K168:N168)))</f>
        <v>0</v>
      </c>
      <c r="P168" s="150">
        <f>IF($B168="NA","NA",IF($B168&lt;=$D$13,0,MIN(IF($B168=($D$13+1),'Stage (6) Investment'!$I168,SUM($K167:P167)),'Stage (7) Investment:Stage (10) Investment'!$I168)-SUM($K168:O168)))</f>
        <v>0</v>
      </c>
      <c r="Q168" s="150">
        <f>IF($B168="NA","NA",IF($B168&lt;=$D$14,0,MIN(IF($B168=($D$14+1),'Stage (7) Investment'!$I168,SUM($K167:Q167)),'Stage (8) Investment:Stage (10) Investment'!$I168)-SUM($K168:P168)))</f>
        <v>0</v>
      </c>
      <c r="R168" s="150">
        <f>IF($B168="NA","NA",IF($B168&lt;=$D$15,0,MIN(IF($B168=($D$15+1),'Stage (8) Investment'!$I168,SUM($K167:R167)),'Stage (9) Investment:Stage (10) Investment'!$I168)-SUM($K168:Q168)))</f>
        <v>0</v>
      </c>
      <c r="S168" s="150">
        <f>IF($B168="NA","NA",IF($B168&lt;=$D$16,0,MIN(IF($B168=($D$16+1),'Stage (9) Investment'!$I168,SUM($K167:S167)),'Stage (10) Investment'!$I168)-SUM($K168:R168)))</f>
        <v>0</v>
      </c>
      <c r="T168" s="151">
        <f>IF($B168="NA","NA",IF($B168&lt;=$D$17,0,IF($B168=($D$17+1),'Stage (10) Investment'!$I168,SUM($K167:T167))-SUM($K168:S168)))</f>
        <v>0</v>
      </c>
    </row>
    <row r="169" spans="1:20" x14ac:dyDescent="0.2">
      <c r="A169" s="86">
        <f t="shared" si="17"/>
        <v>4444</v>
      </c>
      <c r="B169" s="142">
        <f t="shared" si="18"/>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50">
        <f>IF(B169="NA","NA",IF(ISNUMBER(VLOOKUP($C169,'A4 Investment'!$A$24:$G$33,7,FALSE)),VLOOKUP($C169,'A4 Investment'!$A$24:$G$33,7,FALSE)*'A4 Investment'!G$18/12,0))</f>
        <v>0</v>
      </c>
      <c r="I169" s="151">
        <f t="shared" si="16"/>
        <v>8904.1666666666661</v>
      </c>
      <c r="J169" s="149">
        <f t="shared" si="19"/>
        <v>8904.1666666666661</v>
      </c>
      <c r="K169" s="150">
        <f>IF($B169="NA","NA",IF($B169&lt;=$D$8,0,MIN(IF($B169=($D$8+1),'Stage (1) Investment'!$I169,K168),'Stage (2) Investment:Stage (10) Investment'!$I169)))</f>
        <v>8904.1666666666661</v>
      </c>
      <c r="L169" s="150">
        <f>IF($B169="NA","NA",IF($B169&lt;=$D$9,0,MIN(IF($B169=($D$9+1),'Stage (2) Investment'!$I169,SUM($K168:L168)),'Stage (3) Investment:Stage (10) Investment'!$I169)-K169))</f>
        <v>0</v>
      </c>
      <c r="M169" s="150">
        <f>IF($B169="NA","NA",IF($B169&lt;=$D$10,0,MIN(IF($B169=($D$10+1),'Stage (3) Investment'!$I169,SUM($K168:M168)),'Stage (4) Investment:Stage (10) Investment'!$I169)-SUM($K169:L169)))</f>
        <v>0</v>
      </c>
      <c r="N169" s="150">
        <f>IF($B169="NA","NA",IF($B169&lt;=$D$11,0,MIN(IF($B169=($D$11+1),'Stage (4) Investment'!$I169,SUM($K168:N168)),'Stage (5) Investment:Stage (10) Investment'!$I169)-SUM($K169:M169)))</f>
        <v>0</v>
      </c>
      <c r="O169" s="150">
        <f>IF($B169="NA","NA",IF($B169&lt;=$D$12,0,MIN(IF($B169=($D$12+1),'Stage (5) Investment'!$I169,SUM($K168:O168)),'Stage (6) Investment:Stage (10) Investment'!$I169)-SUM($K169:N169)))</f>
        <v>0</v>
      </c>
      <c r="P169" s="150">
        <f>IF($B169="NA","NA",IF($B169&lt;=$D$13,0,MIN(IF($B169=($D$13+1),'Stage (6) Investment'!$I169,SUM($K168:P168)),'Stage (7) Investment:Stage (10) Investment'!$I169)-SUM($K169:O169)))</f>
        <v>0</v>
      </c>
      <c r="Q169" s="150">
        <f>IF($B169="NA","NA",IF($B169&lt;=$D$14,0,MIN(IF($B169=($D$14+1),'Stage (7) Investment'!$I169,SUM($K168:Q168)),'Stage (8) Investment:Stage (10) Investment'!$I169)-SUM($K169:P169)))</f>
        <v>0</v>
      </c>
      <c r="R169" s="150">
        <f>IF($B169="NA","NA",IF($B169&lt;=$D$15,0,MIN(IF($B169=($D$15+1),'Stage (8) Investment'!$I169,SUM($K168:R168)),'Stage (9) Investment:Stage (10) Investment'!$I169)-SUM($K169:Q169)))</f>
        <v>0</v>
      </c>
      <c r="S169" s="150">
        <f>IF($B169="NA","NA",IF($B169&lt;=$D$16,0,MIN(IF($B169=($D$16+1),'Stage (9) Investment'!$I169,SUM($K168:S168)),'Stage (10) Investment'!$I169)-SUM($K169:R169)))</f>
        <v>0</v>
      </c>
      <c r="T169" s="151">
        <f>IF($B169="NA","NA",IF($B169&lt;=$D$17,0,IF($B169=($D$17+1),'Stage (10) Investment'!$I169,SUM($K168:T168))-SUM($K169:S169)))</f>
        <v>0</v>
      </c>
    </row>
    <row r="170" spans="1:20" x14ac:dyDescent="0.2">
      <c r="A170" s="86">
        <f t="shared" si="17"/>
        <v>4475</v>
      </c>
      <c r="B170" s="142">
        <f t="shared" si="18"/>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50">
        <f>IF(B170="NA","NA",IF(ISNUMBER(VLOOKUP($C170,'A4 Investment'!$A$24:$G$33,7,FALSE)),VLOOKUP($C170,'A4 Investment'!$A$24:$G$33,7,FALSE)*'A4 Investment'!G$18/12,0))</f>
        <v>0</v>
      </c>
      <c r="I170" s="151">
        <f t="shared" si="16"/>
        <v>8904.1666666666661</v>
      </c>
      <c r="J170" s="149">
        <f t="shared" si="19"/>
        <v>8904.1666666666661</v>
      </c>
      <c r="K170" s="150">
        <f>IF($B170="NA","NA",IF($B170&lt;=$D$8,0,MIN(IF($B170=($D$8+1),'Stage (1) Investment'!$I170,K169),'Stage (2) Investment:Stage (10) Investment'!$I170)))</f>
        <v>8904.1666666666661</v>
      </c>
      <c r="L170" s="150">
        <f>IF($B170="NA","NA",IF($B170&lt;=$D$9,0,MIN(IF($B170=($D$9+1),'Stage (2) Investment'!$I170,SUM($K169:L169)),'Stage (3) Investment:Stage (10) Investment'!$I170)-K170))</f>
        <v>0</v>
      </c>
      <c r="M170" s="150">
        <f>IF($B170="NA","NA",IF($B170&lt;=$D$10,0,MIN(IF($B170=($D$10+1),'Stage (3) Investment'!$I170,SUM($K169:M169)),'Stage (4) Investment:Stage (10) Investment'!$I170)-SUM($K170:L170)))</f>
        <v>0</v>
      </c>
      <c r="N170" s="150">
        <f>IF($B170="NA","NA",IF($B170&lt;=$D$11,0,MIN(IF($B170=($D$11+1),'Stage (4) Investment'!$I170,SUM($K169:N169)),'Stage (5) Investment:Stage (10) Investment'!$I170)-SUM($K170:M170)))</f>
        <v>0</v>
      </c>
      <c r="O170" s="150">
        <f>IF($B170="NA","NA",IF($B170&lt;=$D$12,0,MIN(IF($B170=($D$12+1),'Stage (5) Investment'!$I170,SUM($K169:O169)),'Stage (6) Investment:Stage (10) Investment'!$I170)-SUM($K170:N170)))</f>
        <v>0</v>
      </c>
      <c r="P170" s="150">
        <f>IF($B170="NA","NA",IF($B170&lt;=$D$13,0,MIN(IF($B170=($D$13+1),'Stage (6) Investment'!$I170,SUM($K169:P169)),'Stage (7) Investment:Stage (10) Investment'!$I170)-SUM($K170:O170)))</f>
        <v>0</v>
      </c>
      <c r="Q170" s="150">
        <f>IF($B170="NA","NA",IF($B170&lt;=$D$14,0,MIN(IF($B170=($D$14+1),'Stage (7) Investment'!$I170,SUM($K169:Q169)),'Stage (8) Investment:Stage (10) Investment'!$I170)-SUM($K170:P170)))</f>
        <v>0</v>
      </c>
      <c r="R170" s="150">
        <f>IF($B170="NA","NA",IF($B170&lt;=$D$15,0,MIN(IF($B170=($D$15+1),'Stage (8) Investment'!$I170,SUM($K169:R169)),'Stage (9) Investment:Stage (10) Investment'!$I170)-SUM($K170:Q170)))</f>
        <v>0</v>
      </c>
      <c r="S170" s="150">
        <f>IF($B170="NA","NA",IF($B170&lt;=$D$16,0,MIN(IF($B170=($D$16+1),'Stage (9) Investment'!$I170,SUM($K169:S169)),'Stage (10) Investment'!$I170)-SUM($K170:R170)))</f>
        <v>0</v>
      </c>
      <c r="T170" s="151">
        <f>IF($B170="NA","NA",IF($B170&lt;=$D$17,0,IF($B170=($D$17+1),'Stage (10) Investment'!$I170,SUM($K169:T169))-SUM($K170:S170)))</f>
        <v>0</v>
      </c>
    </row>
    <row r="171" spans="1:20" x14ac:dyDescent="0.2">
      <c r="A171" s="86">
        <f t="shared" si="17"/>
        <v>4505</v>
      </c>
      <c r="B171" s="142">
        <f t="shared" si="18"/>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50">
        <f>IF(B171="NA","NA",IF(ISNUMBER(VLOOKUP($C171,'A4 Investment'!$A$24:$G$33,7,FALSE)),VLOOKUP($C171,'A4 Investment'!$A$24:$G$33,7,FALSE)*'A4 Investment'!G$18/12,0))</f>
        <v>0</v>
      </c>
      <c r="I171" s="151">
        <f t="shared" si="16"/>
        <v>8904.1666666666661</v>
      </c>
      <c r="J171" s="149">
        <f t="shared" si="19"/>
        <v>8904.1666666666661</v>
      </c>
      <c r="K171" s="150">
        <f>IF($B171="NA","NA",IF($B171&lt;=$D$8,0,MIN(IF($B171=($D$8+1),'Stage (1) Investment'!$I171,K170),'Stage (2) Investment:Stage (10) Investment'!$I171)))</f>
        <v>8904.1666666666661</v>
      </c>
      <c r="L171" s="150">
        <f>IF($B171="NA","NA",IF($B171&lt;=$D$9,0,MIN(IF($B171=($D$9+1),'Stage (2) Investment'!$I171,SUM($K170:L170)),'Stage (3) Investment:Stage (10) Investment'!$I171)-K171))</f>
        <v>0</v>
      </c>
      <c r="M171" s="150">
        <f>IF($B171="NA","NA",IF($B171&lt;=$D$10,0,MIN(IF($B171=($D$10+1),'Stage (3) Investment'!$I171,SUM($K170:M170)),'Stage (4) Investment:Stage (10) Investment'!$I171)-SUM($K171:L171)))</f>
        <v>0</v>
      </c>
      <c r="N171" s="150">
        <f>IF($B171="NA","NA",IF($B171&lt;=$D$11,0,MIN(IF($B171=($D$11+1),'Stage (4) Investment'!$I171,SUM($K170:N170)),'Stage (5) Investment:Stage (10) Investment'!$I171)-SUM($K171:M171)))</f>
        <v>0</v>
      </c>
      <c r="O171" s="150">
        <f>IF($B171="NA","NA",IF($B171&lt;=$D$12,0,MIN(IF($B171=($D$12+1),'Stage (5) Investment'!$I171,SUM($K170:O170)),'Stage (6) Investment:Stage (10) Investment'!$I171)-SUM($K171:N171)))</f>
        <v>0</v>
      </c>
      <c r="P171" s="150">
        <f>IF($B171="NA","NA",IF($B171&lt;=$D$13,0,MIN(IF($B171=($D$13+1),'Stage (6) Investment'!$I171,SUM($K170:P170)),'Stage (7) Investment:Stage (10) Investment'!$I171)-SUM($K171:O171)))</f>
        <v>0</v>
      </c>
      <c r="Q171" s="150">
        <f>IF($B171="NA","NA",IF($B171&lt;=$D$14,0,MIN(IF($B171=($D$14+1),'Stage (7) Investment'!$I171,SUM($K170:Q170)),'Stage (8) Investment:Stage (10) Investment'!$I171)-SUM($K171:P171)))</f>
        <v>0</v>
      </c>
      <c r="R171" s="150">
        <f>IF($B171="NA","NA",IF($B171&lt;=$D$15,0,MIN(IF($B171=($D$15+1),'Stage (8) Investment'!$I171,SUM($K170:R170)),'Stage (9) Investment:Stage (10) Investment'!$I171)-SUM($K171:Q171)))</f>
        <v>0</v>
      </c>
      <c r="S171" s="150">
        <f>IF($B171="NA","NA",IF($B171&lt;=$D$16,0,MIN(IF($B171=($D$16+1),'Stage (9) Investment'!$I171,SUM($K170:S170)),'Stage (10) Investment'!$I171)-SUM($K171:R171)))</f>
        <v>0</v>
      </c>
      <c r="T171" s="151">
        <f>IF($B171="NA","NA",IF($B171&lt;=$D$17,0,IF($B171=($D$17+1),'Stage (10) Investment'!$I171,SUM($K170:T170))-SUM($K171:S171)))</f>
        <v>0</v>
      </c>
    </row>
    <row r="172" spans="1:20" x14ac:dyDescent="0.2">
      <c r="A172" s="86">
        <f t="shared" si="17"/>
        <v>4536</v>
      </c>
      <c r="B172" s="142">
        <f t="shared" si="18"/>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50">
        <f>IF(B172="NA","NA",IF(ISNUMBER(VLOOKUP($C172,'A4 Investment'!$A$24:$G$33,7,FALSE)),VLOOKUP($C172,'A4 Investment'!$A$24:$G$33,7,FALSE)*'A4 Investment'!G$18/12,0))</f>
        <v>0</v>
      </c>
      <c r="I172" s="151">
        <f t="shared" si="16"/>
        <v>8904.1666666666661</v>
      </c>
      <c r="J172" s="149">
        <f t="shared" si="19"/>
        <v>8904.1666666666661</v>
      </c>
      <c r="K172" s="150">
        <f>IF($B172="NA","NA",IF($B172&lt;=$D$8,0,MIN(IF($B172=($D$8+1),'Stage (1) Investment'!$I172,K171),'Stage (2) Investment:Stage (10) Investment'!$I172)))</f>
        <v>8904.1666666666661</v>
      </c>
      <c r="L172" s="150">
        <f>IF($B172="NA","NA",IF($B172&lt;=$D$9,0,MIN(IF($B172=($D$9+1),'Stage (2) Investment'!$I172,SUM($K171:L171)),'Stage (3) Investment:Stage (10) Investment'!$I172)-K172))</f>
        <v>0</v>
      </c>
      <c r="M172" s="150">
        <f>IF($B172="NA","NA",IF($B172&lt;=$D$10,0,MIN(IF($B172=($D$10+1),'Stage (3) Investment'!$I172,SUM($K171:M171)),'Stage (4) Investment:Stage (10) Investment'!$I172)-SUM($K172:L172)))</f>
        <v>0</v>
      </c>
      <c r="N172" s="150">
        <f>IF($B172="NA","NA",IF($B172&lt;=$D$11,0,MIN(IF($B172=($D$11+1),'Stage (4) Investment'!$I172,SUM($K171:N171)),'Stage (5) Investment:Stage (10) Investment'!$I172)-SUM($K172:M172)))</f>
        <v>0</v>
      </c>
      <c r="O172" s="150">
        <f>IF($B172="NA","NA",IF($B172&lt;=$D$12,0,MIN(IF($B172=($D$12+1),'Stage (5) Investment'!$I172,SUM($K171:O171)),'Stage (6) Investment:Stage (10) Investment'!$I172)-SUM($K172:N172)))</f>
        <v>0</v>
      </c>
      <c r="P172" s="150">
        <f>IF($B172="NA","NA",IF($B172&lt;=$D$13,0,MIN(IF($B172=($D$13+1),'Stage (6) Investment'!$I172,SUM($K171:P171)),'Stage (7) Investment:Stage (10) Investment'!$I172)-SUM($K172:O172)))</f>
        <v>0</v>
      </c>
      <c r="Q172" s="150">
        <f>IF($B172="NA","NA",IF($B172&lt;=$D$14,0,MIN(IF($B172=($D$14+1),'Stage (7) Investment'!$I172,SUM($K171:Q171)),'Stage (8) Investment:Stage (10) Investment'!$I172)-SUM($K172:P172)))</f>
        <v>0</v>
      </c>
      <c r="R172" s="150">
        <f>IF($B172="NA","NA",IF($B172&lt;=$D$15,0,MIN(IF($B172=($D$15+1),'Stage (8) Investment'!$I172,SUM($K171:R171)),'Stage (9) Investment:Stage (10) Investment'!$I172)-SUM($K172:Q172)))</f>
        <v>0</v>
      </c>
      <c r="S172" s="150">
        <f>IF($B172="NA","NA",IF($B172&lt;=$D$16,0,MIN(IF($B172=($D$16+1),'Stage (9) Investment'!$I172,SUM($K171:S171)),'Stage (10) Investment'!$I172)-SUM($K172:R172)))</f>
        <v>0</v>
      </c>
      <c r="T172" s="151">
        <f>IF($B172="NA","NA",IF($B172&lt;=$D$17,0,IF($B172=($D$17+1),'Stage (10) Investment'!$I172,SUM($K171:T171))-SUM($K172:S172)))</f>
        <v>0</v>
      </c>
    </row>
    <row r="173" spans="1:20" x14ac:dyDescent="0.2">
      <c r="A173" s="86">
        <f t="shared" si="17"/>
        <v>4566</v>
      </c>
      <c r="B173" s="142">
        <f t="shared" si="18"/>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50">
        <f>IF(B173="NA","NA",IF(ISNUMBER(VLOOKUP($C173,'A4 Investment'!$A$24:$G$33,7,FALSE)),VLOOKUP($C173,'A4 Investment'!$A$24:$G$33,7,FALSE)*'A4 Investment'!G$18/12,0))</f>
        <v>0</v>
      </c>
      <c r="I173" s="151">
        <f t="shared" si="16"/>
        <v>8904.1666666666661</v>
      </c>
      <c r="J173" s="149">
        <f t="shared" si="19"/>
        <v>8904.1666666666661</v>
      </c>
      <c r="K173" s="150">
        <f>IF($B173="NA","NA",IF($B173&lt;=$D$8,0,MIN(IF($B173=($D$8+1),'Stage (1) Investment'!$I173,K172),'Stage (2) Investment:Stage (10) Investment'!$I173)))</f>
        <v>8904.1666666666661</v>
      </c>
      <c r="L173" s="150">
        <f>IF($B173="NA","NA",IF($B173&lt;=$D$9,0,MIN(IF($B173=($D$9+1),'Stage (2) Investment'!$I173,SUM($K172:L172)),'Stage (3) Investment:Stage (10) Investment'!$I173)-K173))</f>
        <v>0</v>
      </c>
      <c r="M173" s="150">
        <f>IF($B173="NA","NA",IF($B173&lt;=$D$10,0,MIN(IF($B173=($D$10+1),'Stage (3) Investment'!$I173,SUM($K172:M172)),'Stage (4) Investment:Stage (10) Investment'!$I173)-SUM($K173:L173)))</f>
        <v>0</v>
      </c>
      <c r="N173" s="150">
        <f>IF($B173="NA","NA",IF($B173&lt;=$D$11,0,MIN(IF($B173=($D$11+1),'Stage (4) Investment'!$I173,SUM($K172:N172)),'Stage (5) Investment:Stage (10) Investment'!$I173)-SUM($K173:M173)))</f>
        <v>0</v>
      </c>
      <c r="O173" s="150">
        <f>IF($B173="NA","NA",IF($B173&lt;=$D$12,0,MIN(IF($B173=($D$12+1),'Stage (5) Investment'!$I173,SUM($K172:O172)),'Stage (6) Investment:Stage (10) Investment'!$I173)-SUM($K173:N173)))</f>
        <v>0</v>
      </c>
      <c r="P173" s="150">
        <f>IF($B173="NA","NA",IF($B173&lt;=$D$13,0,MIN(IF($B173=($D$13+1),'Stage (6) Investment'!$I173,SUM($K172:P172)),'Stage (7) Investment:Stage (10) Investment'!$I173)-SUM($K173:O173)))</f>
        <v>0</v>
      </c>
      <c r="Q173" s="150">
        <f>IF($B173="NA","NA",IF($B173&lt;=$D$14,0,MIN(IF($B173=($D$14+1),'Stage (7) Investment'!$I173,SUM($K172:Q172)),'Stage (8) Investment:Stage (10) Investment'!$I173)-SUM($K173:P173)))</f>
        <v>0</v>
      </c>
      <c r="R173" s="150">
        <f>IF($B173="NA","NA",IF($B173&lt;=$D$15,0,MIN(IF($B173=($D$15+1),'Stage (8) Investment'!$I173,SUM($K172:R172)),'Stage (9) Investment:Stage (10) Investment'!$I173)-SUM($K173:Q173)))</f>
        <v>0</v>
      </c>
      <c r="S173" s="150">
        <f>IF($B173="NA","NA",IF($B173&lt;=$D$16,0,MIN(IF($B173=($D$16+1),'Stage (9) Investment'!$I173,SUM($K172:S172)),'Stage (10) Investment'!$I173)-SUM($K173:R173)))</f>
        <v>0</v>
      </c>
      <c r="T173" s="151">
        <f>IF($B173="NA","NA",IF($B173&lt;=$D$17,0,IF($B173=($D$17+1),'Stage (10) Investment'!$I173,SUM($K172:T172))-SUM($K173:S173)))</f>
        <v>0</v>
      </c>
    </row>
    <row r="174" spans="1:20" x14ac:dyDescent="0.2">
      <c r="A174" s="86">
        <f t="shared" si="17"/>
        <v>4597</v>
      </c>
      <c r="B174" s="142">
        <f t="shared" si="18"/>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50">
        <f>IF(B174="NA","NA",IF(ISNUMBER(VLOOKUP($C174,'A4 Investment'!$A$24:$G$33,7,FALSE)),VLOOKUP($C174,'A4 Investment'!$A$24:$G$33,7,FALSE)*'A4 Investment'!G$18/12,0))</f>
        <v>0</v>
      </c>
      <c r="I174" s="151">
        <f t="shared" si="16"/>
        <v>8904.1666666666661</v>
      </c>
      <c r="J174" s="149">
        <f t="shared" si="19"/>
        <v>8904.1666666666661</v>
      </c>
      <c r="K174" s="150">
        <f>IF($B174="NA","NA",IF($B174&lt;=$D$8,0,MIN(IF($B174=($D$8+1),'Stage (1) Investment'!$I174,K173),'Stage (2) Investment:Stage (10) Investment'!$I174)))</f>
        <v>8904.1666666666661</v>
      </c>
      <c r="L174" s="150">
        <f>IF($B174="NA","NA",IF($B174&lt;=$D$9,0,MIN(IF($B174=($D$9+1),'Stage (2) Investment'!$I174,SUM($K173:L173)),'Stage (3) Investment:Stage (10) Investment'!$I174)-K174))</f>
        <v>0</v>
      </c>
      <c r="M174" s="150">
        <f>IF($B174="NA","NA",IF($B174&lt;=$D$10,0,MIN(IF($B174=($D$10+1),'Stage (3) Investment'!$I174,SUM($K173:M173)),'Stage (4) Investment:Stage (10) Investment'!$I174)-SUM($K174:L174)))</f>
        <v>0</v>
      </c>
      <c r="N174" s="150">
        <f>IF($B174="NA","NA",IF($B174&lt;=$D$11,0,MIN(IF($B174=($D$11+1),'Stage (4) Investment'!$I174,SUM($K173:N173)),'Stage (5) Investment:Stage (10) Investment'!$I174)-SUM($K174:M174)))</f>
        <v>0</v>
      </c>
      <c r="O174" s="150">
        <f>IF($B174="NA","NA",IF($B174&lt;=$D$12,0,MIN(IF($B174=($D$12+1),'Stage (5) Investment'!$I174,SUM($K173:O173)),'Stage (6) Investment:Stage (10) Investment'!$I174)-SUM($K174:N174)))</f>
        <v>0</v>
      </c>
      <c r="P174" s="150">
        <f>IF($B174="NA","NA",IF($B174&lt;=$D$13,0,MIN(IF($B174=($D$13+1),'Stage (6) Investment'!$I174,SUM($K173:P173)),'Stage (7) Investment:Stage (10) Investment'!$I174)-SUM($K174:O174)))</f>
        <v>0</v>
      </c>
      <c r="Q174" s="150">
        <f>IF($B174="NA","NA",IF($B174&lt;=$D$14,0,MIN(IF($B174=($D$14+1),'Stage (7) Investment'!$I174,SUM($K173:Q173)),'Stage (8) Investment:Stage (10) Investment'!$I174)-SUM($K174:P174)))</f>
        <v>0</v>
      </c>
      <c r="R174" s="150">
        <f>IF($B174="NA","NA",IF($B174&lt;=$D$15,0,MIN(IF($B174=($D$15+1),'Stage (8) Investment'!$I174,SUM($K173:R173)),'Stage (9) Investment:Stage (10) Investment'!$I174)-SUM($K174:Q174)))</f>
        <v>0</v>
      </c>
      <c r="S174" s="150">
        <f>IF($B174="NA","NA",IF($B174&lt;=$D$16,0,MIN(IF($B174=($D$16+1),'Stage (9) Investment'!$I174,SUM($K173:S173)),'Stage (10) Investment'!$I174)-SUM($K174:R174)))</f>
        <v>0</v>
      </c>
      <c r="T174" s="151">
        <f>IF($B174="NA","NA",IF($B174&lt;=$D$17,0,IF($B174=($D$17+1),'Stage (10) Investment'!$I174,SUM($K173:T173))-SUM($K174:S174)))</f>
        <v>0</v>
      </c>
    </row>
    <row r="175" spans="1:20" x14ac:dyDescent="0.2">
      <c r="A175" s="86">
        <f t="shared" si="17"/>
        <v>4628</v>
      </c>
      <c r="B175" s="142">
        <f t="shared" si="18"/>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50">
        <f>IF(B175="NA","NA",IF(ISNUMBER(VLOOKUP($C175,'A4 Investment'!$A$24:$G$33,7,FALSE)),VLOOKUP($C175,'A4 Investment'!$A$24:$G$33,7,FALSE)*'A4 Investment'!G$18/12,0))</f>
        <v>0</v>
      </c>
      <c r="I175" s="151">
        <f t="shared" si="16"/>
        <v>8904.1666666666661</v>
      </c>
      <c r="J175" s="149">
        <f t="shared" si="19"/>
        <v>8904.1666666666661</v>
      </c>
      <c r="K175" s="150">
        <f>IF($B175="NA","NA",IF($B175&lt;=$D$8,0,MIN(IF($B175=($D$8+1),'Stage (1) Investment'!$I175,K174),'Stage (2) Investment:Stage (10) Investment'!$I175)))</f>
        <v>8904.1666666666661</v>
      </c>
      <c r="L175" s="150">
        <f>IF($B175="NA","NA",IF($B175&lt;=$D$9,0,MIN(IF($B175=($D$9+1),'Stage (2) Investment'!$I175,SUM($K174:L174)),'Stage (3) Investment:Stage (10) Investment'!$I175)-K175))</f>
        <v>0</v>
      </c>
      <c r="M175" s="150">
        <f>IF($B175="NA","NA",IF($B175&lt;=$D$10,0,MIN(IF($B175=($D$10+1),'Stage (3) Investment'!$I175,SUM($K174:M174)),'Stage (4) Investment:Stage (10) Investment'!$I175)-SUM($K175:L175)))</f>
        <v>0</v>
      </c>
      <c r="N175" s="150">
        <f>IF($B175="NA","NA",IF($B175&lt;=$D$11,0,MIN(IF($B175=($D$11+1),'Stage (4) Investment'!$I175,SUM($K174:N174)),'Stage (5) Investment:Stage (10) Investment'!$I175)-SUM($K175:M175)))</f>
        <v>0</v>
      </c>
      <c r="O175" s="150">
        <f>IF($B175="NA","NA",IF($B175&lt;=$D$12,0,MIN(IF($B175=($D$12+1),'Stage (5) Investment'!$I175,SUM($K174:O174)),'Stage (6) Investment:Stage (10) Investment'!$I175)-SUM($K175:N175)))</f>
        <v>0</v>
      </c>
      <c r="P175" s="150">
        <f>IF($B175="NA","NA",IF($B175&lt;=$D$13,0,MIN(IF($B175=($D$13+1),'Stage (6) Investment'!$I175,SUM($K174:P174)),'Stage (7) Investment:Stage (10) Investment'!$I175)-SUM($K175:O175)))</f>
        <v>0</v>
      </c>
      <c r="Q175" s="150">
        <f>IF($B175="NA","NA",IF($B175&lt;=$D$14,0,MIN(IF($B175=($D$14+1),'Stage (7) Investment'!$I175,SUM($K174:Q174)),'Stage (8) Investment:Stage (10) Investment'!$I175)-SUM($K175:P175)))</f>
        <v>0</v>
      </c>
      <c r="R175" s="150">
        <f>IF($B175="NA","NA",IF($B175&lt;=$D$15,0,MIN(IF($B175=($D$15+1),'Stage (8) Investment'!$I175,SUM($K174:R174)),'Stage (9) Investment:Stage (10) Investment'!$I175)-SUM($K175:Q175)))</f>
        <v>0</v>
      </c>
      <c r="S175" s="150">
        <f>IF($B175="NA","NA",IF($B175&lt;=$D$16,0,MIN(IF($B175=($D$16+1),'Stage (9) Investment'!$I175,SUM($K174:S174)),'Stage (10) Investment'!$I175)-SUM($K175:R175)))</f>
        <v>0</v>
      </c>
      <c r="T175" s="151">
        <f>IF($B175="NA","NA",IF($B175&lt;=$D$17,0,IF($B175=($D$17+1),'Stage (10) Investment'!$I175,SUM($K174:T174))-SUM($K175:S175)))</f>
        <v>0</v>
      </c>
    </row>
    <row r="176" spans="1:20" x14ac:dyDescent="0.2">
      <c r="A176" s="86">
        <f t="shared" si="17"/>
        <v>4658</v>
      </c>
      <c r="B176" s="142">
        <f t="shared" si="18"/>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50">
        <f>IF(B176="NA","NA",IF(ISNUMBER(VLOOKUP($C176,'A4 Investment'!$A$24:$G$33,7,FALSE)),VLOOKUP($C176,'A4 Investment'!$A$24:$G$33,7,FALSE)*'A4 Investment'!G$18/12,0))</f>
        <v>0</v>
      </c>
      <c r="I176" s="151">
        <f t="shared" si="16"/>
        <v>8904.1666666666661</v>
      </c>
      <c r="J176" s="149">
        <f t="shared" si="19"/>
        <v>8904.1666666666661</v>
      </c>
      <c r="K176" s="150">
        <f>IF($B176="NA","NA",IF($B176&lt;=$D$8,0,MIN(IF($B176=($D$8+1),'Stage (1) Investment'!$I176,K175),'Stage (2) Investment:Stage (10) Investment'!$I176)))</f>
        <v>8904.1666666666661</v>
      </c>
      <c r="L176" s="150">
        <f>IF($B176="NA","NA",IF($B176&lt;=$D$9,0,MIN(IF($B176=($D$9+1),'Stage (2) Investment'!$I176,SUM($K175:L175)),'Stage (3) Investment:Stage (10) Investment'!$I176)-K176))</f>
        <v>0</v>
      </c>
      <c r="M176" s="150">
        <f>IF($B176="NA","NA",IF($B176&lt;=$D$10,0,MIN(IF($B176=($D$10+1),'Stage (3) Investment'!$I176,SUM($K175:M175)),'Stage (4) Investment:Stage (10) Investment'!$I176)-SUM($K176:L176)))</f>
        <v>0</v>
      </c>
      <c r="N176" s="150">
        <f>IF($B176="NA","NA",IF($B176&lt;=$D$11,0,MIN(IF($B176=($D$11+1),'Stage (4) Investment'!$I176,SUM($K175:N175)),'Stage (5) Investment:Stage (10) Investment'!$I176)-SUM($K176:M176)))</f>
        <v>0</v>
      </c>
      <c r="O176" s="150">
        <f>IF($B176="NA","NA",IF($B176&lt;=$D$12,0,MIN(IF($B176=($D$12+1),'Stage (5) Investment'!$I176,SUM($K175:O175)),'Stage (6) Investment:Stage (10) Investment'!$I176)-SUM($K176:N176)))</f>
        <v>0</v>
      </c>
      <c r="P176" s="150">
        <f>IF($B176="NA","NA",IF($B176&lt;=$D$13,0,MIN(IF($B176=($D$13+1),'Stage (6) Investment'!$I176,SUM($K175:P175)),'Stage (7) Investment:Stage (10) Investment'!$I176)-SUM($K176:O176)))</f>
        <v>0</v>
      </c>
      <c r="Q176" s="150">
        <f>IF($B176="NA","NA",IF($B176&lt;=$D$14,0,MIN(IF($B176=($D$14+1),'Stage (7) Investment'!$I176,SUM($K175:Q175)),'Stage (8) Investment:Stage (10) Investment'!$I176)-SUM($K176:P176)))</f>
        <v>0</v>
      </c>
      <c r="R176" s="150">
        <f>IF($B176="NA","NA",IF($B176&lt;=$D$15,0,MIN(IF($B176=($D$15+1),'Stage (8) Investment'!$I176,SUM($K175:R175)),'Stage (9) Investment:Stage (10) Investment'!$I176)-SUM($K176:Q176)))</f>
        <v>0</v>
      </c>
      <c r="S176" s="150">
        <f>IF($B176="NA","NA",IF($B176&lt;=$D$16,0,MIN(IF($B176=($D$16+1),'Stage (9) Investment'!$I176,SUM($K175:S175)),'Stage (10) Investment'!$I176)-SUM($K176:R176)))</f>
        <v>0</v>
      </c>
      <c r="T176" s="151">
        <f>IF($B176="NA","NA",IF($B176&lt;=$D$17,0,IF($B176=($D$17+1),'Stage (10) Investment'!$I176,SUM($K175:T175))-SUM($K176:S176)))</f>
        <v>0</v>
      </c>
    </row>
    <row r="177" spans="1:20" x14ac:dyDescent="0.2">
      <c r="A177" s="86">
        <f t="shared" si="17"/>
        <v>4689</v>
      </c>
      <c r="B177" s="142">
        <f t="shared" si="18"/>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50">
        <f>IF(B177="NA","NA",IF(ISNUMBER(VLOOKUP($C177,'A4 Investment'!$A$24:$G$33,7,FALSE)),VLOOKUP($C177,'A4 Investment'!$A$24:$G$33,7,FALSE)*'A4 Investment'!G$18/12,0))</f>
        <v>0</v>
      </c>
      <c r="I177" s="151">
        <f t="shared" si="16"/>
        <v>8904.1666666666661</v>
      </c>
      <c r="J177" s="149">
        <f t="shared" si="19"/>
        <v>8904.1666666666661</v>
      </c>
      <c r="K177" s="150">
        <f>IF($B177="NA","NA",IF($B177&lt;=$D$8,0,MIN(IF($B177=($D$8+1),'Stage (1) Investment'!$I177,K176),'Stage (2) Investment:Stage (10) Investment'!$I177)))</f>
        <v>8904.1666666666661</v>
      </c>
      <c r="L177" s="150">
        <f>IF($B177="NA","NA",IF($B177&lt;=$D$9,0,MIN(IF($B177=($D$9+1),'Stage (2) Investment'!$I177,SUM($K176:L176)),'Stage (3) Investment:Stage (10) Investment'!$I177)-K177))</f>
        <v>0</v>
      </c>
      <c r="M177" s="150">
        <f>IF($B177="NA","NA",IF($B177&lt;=$D$10,0,MIN(IF($B177=($D$10+1),'Stage (3) Investment'!$I177,SUM($K176:M176)),'Stage (4) Investment:Stage (10) Investment'!$I177)-SUM($K177:L177)))</f>
        <v>0</v>
      </c>
      <c r="N177" s="150">
        <f>IF($B177="NA","NA",IF($B177&lt;=$D$11,0,MIN(IF($B177=($D$11+1),'Stage (4) Investment'!$I177,SUM($K176:N176)),'Stage (5) Investment:Stage (10) Investment'!$I177)-SUM($K177:M177)))</f>
        <v>0</v>
      </c>
      <c r="O177" s="150">
        <f>IF($B177="NA","NA",IF($B177&lt;=$D$12,0,MIN(IF($B177=($D$12+1),'Stage (5) Investment'!$I177,SUM($K176:O176)),'Stage (6) Investment:Stage (10) Investment'!$I177)-SUM($K177:N177)))</f>
        <v>0</v>
      </c>
      <c r="P177" s="150">
        <f>IF($B177="NA","NA",IF($B177&lt;=$D$13,0,MIN(IF($B177=($D$13+1),'Stage (6) Investment'!$I177,SUM($K176:P176)),'Stage (7) Investment:Stage (10) Investment'!$I177)-SUM($K177:O177)))</f>
        <v>0</v>
      </c>
      <c r="Q177" s="150">
        <f>IF($B177="NA","NA",IF($B177&lt;=$D$14,0,MIN(IF($B177=($D$14+1),'Stage (7) Investment'!$I177,SUM($K176:Q176)),'Stage (8) Investment:Stage (10) Investment'!$I177)-SUM($K177:P177)))</f>
        <v>0</v>
      </c>
      <c r="R177" s="150">
        <f>IF($B177="NA","NA",IF($B177&lt;=$D$15,0,MIN(IF($B177=($D$15+1),'Stage (8) Investment'!$I177,SUM($K176:R176)),'Stage (9) Investment:Stage (10) Investment'!$I177)-SUM($K177:Q177)))</f>
        <v>0</v>
      </c>
      <c r="S177" s="150">
        <f>IF($B177="NA","NA",IF($B177&lt;=$D$16,0,MIN(IF($B177=($D$16+1),'Stage (9) Investment'!$I177,SUM($K176:S176)),'Stage (10) Investment'!$I177)-SUM($K177:R177)))</f>
        <v>0</v>
      </c>
      <c r="T177" s="151">
        <f>IF($B177="NA","NA",IF($B177&lt;=$D$17,0,IF($B177=($D$17+1),'Stage (10) Investment'!$I177,SUM($K176:T176))-SUM($K177:S177)))</f>
        <v>0</v>
      </c>
    </row>
    <row r="178" spans="1:20" x14ac:dyDescent="0.2">
      <c r="A178" s="86">
        <f t="shared" si="17"/>
        <v>4719</v>
      </c>
      <c r="B178" s="142">
        <f t="shared" si="18"/>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50">
        <f>IF(B178="NA","NA",IF(ISNUMBER(VLOOKUP($C178,'A4 Investment'!$A$24:$G$33,7,FALSE)),VLOOKUP($C178,'A4 Investment'!$A$24:$G$33,7,FALSE)*'A4 Investment'!G$18/12,0))</f>
        <v>0</v>
      </c>
      <c r="I178" s="151">
        <f t="shared" si="16"/>
        <v>8904.1666666666661</v>
      </c>
      <c r="J178" s="149">
        <f t="shared" si="19"/>
        <v>8904.1666666666661</v>
      </c>
      <c r="K178" s="150">
        <f>IF($B178="NA","NA",IF($B178&lt;=$D$8,0,MIN(IF($B178=($D$8+1),'Stage (1) Investment'!$I178,K177),'Stage (2) Investment:Stage (10) Investment'!$I178)))</f>
        <v>8904.1666666666661</v>
      </c>
      <c r="L178" s="150">
        <f>IF($B178="NA","NA",IF($B178&lt;=$D$9,0,MIN(IF($B178=($D$9+1),'Stage (2) Investment'!$I178,SUM($K177:L177)),'Stage (3) Investment:Stage (10) Investment'!$I178)-K178))</f>
        <v>0</v>
      </c>
      <c r="M178" s="150">
        <f>IF($B178="NA","NA",IF($B178&lt;=$D$10,0,MIN(IF($B178=($D$10+1),'Stage (3) Investment'!$I178,SUM($K177:M177)),'Stage (4) Investment:Stage (10) Investment'!$I178)-SUM($K178:L178)))</f>
        <v>0</v>
      </c>
      <c r="N178" s="150">
        <f>IF($B178="NA","NA",IF($B178&lt;=$D$11,0,MIN(IF($B178=($D$11+1),'Stage (4) Investment'!$I178,SUM($K177:N177)),'Stage (5) Investment:Stage (10) Investment'!$I178)-SUM($K178:M178)))</f>
        <v>0</v>
      </c>
      <c r="O178" s="150">
        <f>IF($B178="NA","NA",IF($B178&lt;=$D$12,0,MIN(IF($B178=($D$12+1),'Stage (5) Investment'!$I178,SUM($K177:O177)),'Stage (6) Investment:Stage (10) Investment'!$I178)-SUM($K178:N178)))</f>
        <v>0</v>
      </c>
      <c r="P178" s="150">
        <f>IF($B178="NA","NA",IF($B178&lt;=$D$13,0,MIN(IF($B178=($D$13+1),'Stage (6) Investment'!$I178,SUM($K177:P177)),'Stage (7) Investment:Stage (10) Investment'!$I178)-SUM($K178:O178)))</f>
        <v>0</v>
      </c>
      <c r="Q178" s="150">
        <f>IF($B178="NA","NA",IF($B178&lt;=$D$14,0,MIN(IF($B178=($D$14+1),'Stage (7) Investment'!$I178,SUM($K177:Q177)),'Stage (8) Investment:Stage (10) Investment'!$I178)-SUM($K178:P178)))</f>
        <v>0</v>
      </c>
      <c r="R178" s="150">
        <f>IF($B178="NA","NA",IF($B178&lt;=$D$15,0,MIN(IF($B178=($D$15+1),'Stage (8) Investment'!$I178,SUM($K177:R177)),'Stage (9) Investment:Stage (10) Investment'!$I178)-SUM($K178:Q178)))</f>
        <v>0</v>
      </c>
      <c r="S178" s="150">
        <f>IF($B178="NA","NA",IF($B178&lt;=$D$16,0,MIN(IF($B178=($D$16+1),'Stage (9) Investment'!$I178,SUM($K177:S177)),'Stage (10) Investment'!$I178)-SUM($K178:R178)))</f>
        <v>0</v>
      </c>
      <c r="T178" s="151">
        <f>IF($B178="NA","NA",IF($B178&lt;=$D$17,0,IF($B178=($D$17+1),'Stage (10) Investment'!$I178,SUM($K177:T177))-SUM($K178:S178)))</f>
        <v>0</v>
      </c>
    </row>
    <row r="179" spans="1:20" x14ac:dyDescent="0.2">
      <c r="A179" s="86">
        <f t="shared" si="17"/>
        <v>4750</v>
      </c>
      <c r="B179" s="142">
        <f t="shared" si="18"/>
        <v>157</v>
      </c>
      <c r="C179" s="143">
        <f t="shared" ref="C179:C210" si="20">IF(B179="NA","NA",MATCH(B179-1,$D$8:$D$18,1))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50">
        <f>IF(B179="NA","NA",IF(ISNUMBER(VLOOKUP($C179,'A4 Investment'!$A$24:$G$33,7,FALSE)),VLOOKUP($C179,'A4 Investment'!$A$24:$G$33,7,FALSE)*'A4 Investment'!G$18/12,0))</f>
        <v>0</v>
      </c>
      <c r="I179" s="151">
        <f t="shared" ref="I179:I210" si="21">IF(B179="NA","NA",SUM(D179:H179))</f>
        <v>8904.1666666666661</v>
      </c>
      <c r="J179" s="149">
        <f t="shared" si="19"/>
        <v>8904.1666666666661</v>
      </c>
      <c r="K179" s="150">
        <f>IF($B179="NA","NA",IF($B179&lt;=$D$8,0,MIN(IF($B179=($D$8+1),'Stage (1) Investment'!$I179,K178),'Stage (2) Investment:Stage (10) Investment'!$I179)))</f>
        <v>8904.1666666666661</v>
      </c>
      <c r="L179" s="150">
        <f>IF($B179="NA","NA",IF($B179&lt;=$D$9,0,MIN(IF($B179=($D$9+1),'Stage (2) Investment'!$I179,SUM($K178:L178)),'Stage (3) Investment:Stage (10) Investment'!$I179)-K179))</f>
        <v>0</v>
      </c>
      <c r="M179" s="150">
        <f>IF($B179="NA","NA",IF($B179&lt;=$D$10,0,MIN(IF($B179=($D$10+1),'Stage (3) Investment'!$I179,SUM($K178:M178)),'Stage (4) Investment:Stage (10) Investment'!$I179)-SUM($K179:L179)))</f>
        <v>0</v>
      </c>
      <c r="N179" s="150">
        <f>IF($B179="NA","NA",IF($B179&lt;=$D$11,0,MIN(IF($B179=($D$11+1),'Stage (4) Investment'!$I179,SUM($K178:N178)),'Stage (5) Investment:Stage (10) Investment'!$I179)-SUM($K179:M179)))</f>
        <v>0</v>
      </c>
      <c r="O179" s="150">
        <f>IF($B179="NA","NA",IF($B179&lt;=$D$12,0,MIN(IF($B179=($D$12+1),'Stage (5) Investment'!$I179,SUM($K178:O178)),'Stage (6) Investment:Stage (10) Investment'!$I179)-SUM($K179:N179)))</f>
        <v>0</v>
      </c>
      <c r="P179" s="150">
        <f>IF($B179="NA","NA",IF($B179&lt;=$D$13,0,MIN(IF($B179=($D$13+1),'Stage (6) Investment'!$I179,SUM($K178:P178)),'Stage (7) Investment:Stage (10) Investment'!$I179)-SUM($K179:O179)))</f>
        <v>0</v>
      </c>
      <c r="Q179" s="150">
        <f>IF($B179="NA","NA",IF($B179&lt;=$D$14,0,MIN(IF($B179=($D$14+1),'Stage (7) Investment'!$I179,SUM($K178:Q178)),'Stage (8) Investment:Stage (10) Investment'!$I179)-SUM($K179:P179)))</f>
        <v>0</v>
      </c>
      <c r="R179" s="150">
        <f>IF($B179="NA","NA",IF($B179&lt;=$D$15,0,MIN(IF($B179=($D$15+1),'Stage (8) Investment'!$I179,SUM($K178:R178)),'Stage (9) Investment:Stage (10) Investment'!$I179)-SUM($K179:Q179)))</f>
        <v>0</v>
      </c>
      <c r="S179" s="150">
        <f>IF($B179="NA","NA",IF($B179&lt;=$D$16,0,MIN(IF($B179=($D$16+1),'Stage (9) Investment'!$I179,SUM($K178:S178)),'Stage (10) Investment'!$I179)-SUM($K179:R179)))</f>
        <v>0</v>
      </c>
      <c r="T179" s="151">
        <f>IF($B179="NA","NA",IF($B179&lt;=$D$17,0,IF($B179=($D$17+1),'Stage (10) Investment'!$I179,SUM($K178:T178))-SUM($K179:S179)))</f>
        <v>0</v>
      </c>
    </row>
    <row r="180" spans="1:20" x14ac:dyDescent="0.2">
      <c r="A180" s="86">
        <f t="shared" si="17"/>
        <v>4781</v>
      </c>
      <c r="B180" s="142">
        <f t="shared" si="18"/>
        <v>158</v>
      </c>
      <c r="C180" s="143">
        <f t="shared" si="20"/>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50">
        <f>IF(B180="NA","NA",IF(ISNUMBER(VLOOKUP($C180,'A4 Investment'!$A$24:$G$33,7,FALSE)),VLOOKUP($C180,'A4 Investment'!$A$24:$G$33,7,FALSE)*'A4 Investment'!G$18/12,0))</f>
        <v>0</v>
      </c>
      <c r="I180" s="151">
        <f t="shared" si="21"/>
        <v>8904.1666666666661</v>
      </c>
      <c r="J180" s="149">
        <f t="shared" si="19"/>
        <v>8904.1666666666661</v>
      </c>
      <c r="K180" s="150">
        <f>IF($B180="NA","NA",IF($B180&lt;=$D$8,0,MIN(IF($B180=($D$8+1),'Stage (1) Investment'!$I180,K179),'Stage (2) Investment:Stage (10) Investment'!$I180)))</f>
        <v>8904.1666666666661</v>
      </c>
      <c r="L180" s="150">
        <f>IF($B180="NA","NA",IF($B180&lt;=$D$9,0,MIN(IF($B180=($D$9+1),'Stage (2) Investment'!$I180,SUM($K179:L179)),'Stage (3) Investment:Stage (10) Investment'!$I180)-K180))</f>
        <v>0</v>
      </c>
      <c r="M180" s="150">
        <f>IF($B180="NA","NA",IF($B180&lt;=$D$10,0,MIN(IF($B180=($D$10+1),'Stage (3) Investment'!$I180,SUM($K179:M179)),'Stage (4) Investment:Stage (10) Investment'!$I180)-SUM($K180:L180)))</f>
        <v>0</v>
      </c>
      <c r="N180" s="150">
        <f>IF($B180="NA","NA",IF($B180&lt;=$D$11,0,MIN(IF($B180=($D$11+1),'Stage (4) Investment'!$I180,SUM($K179:N179)),'Stage (5) Investment:Stage (10) Investment'!$I180)-SUM($K180:M180)))</f>
        <v>0</v>
      </c>
      <c r="O180" s="150">
        <f>IF($B180="NA","NA",IF($B180&lt;=$D$12,0,MIN(IF($B180=($D$12+1),'Stage (5) Investment'!$I180,SUM($K179:O179)),'Stage (6) Investment:Stage (10) Investment'!$I180)-SUM($K180:N180)))</f>
        <v>0</v>
      </c>
      <c r="P180" s="150">
        <f>IF($B180="NA","NA",IF($B180&lt;=$D$13,0,MIN(IF($B180=($D$13+1),'Stage (6) Investment'!$I180,SUM($K179:P179)),'Stage (7) Investment:Stage (10) Investment'!$I180)-SUM($K180:O180)))</f>
        <v>0</v>
      </c>
      <c r="Q180" s="150">
        <f>IF($B180="NA","NA",IF($B180&lt;=$D$14,0,MIN(IF($B180=($D$14+1),'Stage (7) Investment'!$I180,SUM($K179:Q179)),'Stage (8) Investment:Stage (10) Investment'!$I180)-SUM($K180:P180)))</f>
        <v>0</v>
      </c>
      <c r="R180" s="150">
        <f>IF($B180="NA","NA",IF($B180&lt;=$D$15,0,MIN(IF($B180=($D$15+1),'Stage (8) Investment'!$I180,SUM($K179:R179)),'Stage (9) Investment:Stage (10) Investment'!$I180)-SUM($K180:Q180)))</f>
        <v>0</v>
      </c>
      <c r="S180" s="150">
        <f>IF($B180="NA","NA",IF($B180&lt;=$D$16,0,MIN(IF($B180=($D$16+1),'Stage (9) Investment'!$I180,SUM($K179:S179)),'Stage (10) Investment'!$I180)-SUM($K180:R180)))</f>
        <v>0</v>
      </c>
      <c r="T180" s="151">
        <f>IF($B180="NA","NA",IF($B180&lt;=$D$17,0,IF($B180=($D$17+1),'Stage (10) Investment'!$I180,SUM($K179:T179))-SUM($K180:S180)))</f>
        <v>0</v>
      </c>
    </row>
    <row r="181" spans="1:20" x14ac:dyDescent="0.2">
      <c r="A181" s="86">
        <f t="shared" si="17"/>
        <v>4809</v>
      </c>
      <c r="B181" s="142">
        <f t="shared" si="18"/>
        <v>159</v>
      </c>
      <c r="C181" s="143">
        <f t="shared" si="20"/>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50">
        <f>IF(B181="NA","NA",IF(ISNUMBER(VLOOKUP($C181,'A4 Investment'!$A$24:$G$33,7,FALSE)),VLOOKUP($C181,'A4 Investment'!$A$24:$G$33,7,FALSE)*'A4 Investment'!G$18/12,0))</f>
        <v>0</v>
      </c>
      <c r="I181" s="151">
        <f t="shared" si="21"/>
        <v>8904.1666666666661</v>
      </c>
      <c r="J181" s="149">
        <f t="shared" si="19"/>
        <v>8904.1666666666661</v>
      </c>
      <c r="K181" s="150">
        <f>IF($B181="NA","NA",IF($B181&lt;=$D$8,0,MIN(IF($B181=($D$8+1),'Stage (1) Investment'!$I181,K180),'Stage (2) Investment:Stage (10) Investment'!$I181)))</f>
        <v>8904.1666666666661</v>
      </c>
      <c r="L181" s="150">
        <f>IF($B181="NA","NA",IF($B181&lt;=$D$9,0,MIN(IF($B181=($D$9+1),'Stage (2) Investment'!$I181,SUM($K180:L180)),'Stage (3) Investment:Stage (10) Investment'!$I181)-K181))</f>
        <v>0</v>
      </c>
      <c r="M181" s="150">
        <f>IF($B181="NA","NA",IF($B181&lt;=$D$10,0,MIN(IF($B181=($D$10+1),'Stage (3) Investment'!$I181,SUM($K180:M180)),'Stage (4) Investment:Stage (10) Investment'!$I181)-SUM($K181:L181)))</f>
        <v>0</v>
      </c>
      <c r="N181" s="150">
        <f>IF($B181="NA","NA",IF($B181&lt;=$D$11,0,MIN(IF($B181=($D$11+1),'Stage (4) Investment'!$I181,SUM($K180:N180)),'Stage (5) Investment:Stage (10) Investment'!$I181)-SUM($K181:M181)))</f>
        <v>0</v>
      </c>
      <c r="O181" s="150">
        <f>IF($B181="NA","NA",IF($B181&lt;=$D$12,0,MIN(IF($B181=($D$12+1),'Stage (5) Investment'!$I181,SUM($K180:O180)),'Stage (6) Investment:Stage (10) Investment'!$I181)-SUM($K181:N181)))</f>
        <v>0</v>
      </c>
      <c r="P181" s="150">
        <f>IF($B181="NA","NA",IF($B181&lt;=$D$13,0,MIN(IF($B181=($D$13+1),'Stage (6) Investment'!$I181,SUM($K180:P180)),'Stage (7) Investment:Stage (10) Investment'!$I181)-SUM($K181:O181)))</f>
        <v>0</v>
      </c>
      <c r="Q181" s="150">
        <f>IF($B181="NA","NA",IF($B181&lt;=$D$14,0,MIN(IF($B181=($D$14+1),'Stage (7) Investment'!$I181,SUM($K180:Q180)),'Stage (8) Investment:Stage (10) Investment'!$I181)-SUM($K181:P181)))</f>
        <v>0</v>
      </c>
      <c r="R181" s="150">
        <f>IF($B181="NA","NA",IF($B181&lt;=$D$15,0,MIN(IF($B181=($D$15+1),'Stage (8) Investment'!$I181,SUM($K180:R180)),'Stage (9) Investment:Stage (10) Investment'!$I181)-SUM($K181:Q181)))</f>
        <v>0</v>
      </c>
      <c r="S181" s="150">
        <f>IF($B181="NA","NA",IF($B181&lt;=$D$16,0,MIN(IF($B181=($D$16+1),'Stage (9) Investment'!$I181,SUM($K180:S180)),'Stage (10) Investment'!$I181)-SUM($K181:R181)))</f>
        <v>0</v>
      </c>
      <c r="T181" s="151">
        <f>IF($B181="NA","NA",IF($B181&lt;=$D$17,0,IF($B181=($D$17+1),'Stage (10) Investment'!$I181,SUM($K180:T180))-SUM($K181:S181)))</f>
        <v>0</v>
      </c>
    </row>
    <row r="182" spans="1:20" x14ac:dyDescent="0.2">
      <c r="A182" s="86">
        <f t="shared" si="17"/>
        <v>4840</v>
      </c>
      <c r="B182" s="142">
        <f t="shared" si="18"/>
        <v>160</v>
      </c>
      <c r="C182" s="143">
        <f t="shared" si="20"/>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50">
        <f>IF(B182="NA","NA",IF(ISNUMBER(VLOOKUP($C182,'A4 Investment'!$A$24:$G$33,7,FALSE)),VLOOKUP($C182,'A4 Investment'!$A$24:$G$33,7,FALSE)*'A4 Investment'!G$18/12,0))</f>
        <v>0</v>
      </c>
      <c r="I182" s="151">
        <f t="shared" si="21"/>
        <v>8904.1666666666661</v>
      </c>
      <c r="J182" s="149">
        <f t="shared" si="19"/>
        <v>8904.1666666666661</v>
      </c>
      <c r="K182" s="150">
        <f>IF($B182="NA","NA",IF($B182&lt;=$D$8,0,MIN(IF($B182=($D$8+1),'Stage (1) Investment'!$I182,K181),'Stage (2) Investment:Stage (10) Investment'!$I182)))</f>
        <v>8904.1666666666661</v>
      </c>
      <c r="L182" s="150">
        <f>IF($B182="NA","NA",IF($B182&lt;=$D$9,0,MIN(IF($B182=($D$9+1),'Stage (2) Investment'!$I182,SUM($K181:L181)),'Stage (3) Investment:Stage (10) Investment'!$I182)-K182))</f>
        <v>0</v>
      </c>
      <c r="M182" s="150">
        <f>IF($B182="NA","NA",IF($B182&lt;=$D$10,0,MIN(IF($B182=($D$10+1),'Stage (3) Investment'!$I182,SUM($K181:M181)),'Stage (4) Investment:Stage (10) Investment'!$I182)-SUM($K182:L182)))</f>
        <v>0</v>
      </c>
      <c r="N182" s="150">
        <f>IF($B182="NA","NA",IF($B182&lt;=$D$11,0,MIN(IF($B182=($D$11+1),'Stage (4) Investment'!$I182,SUM($K181:N181)),'Stage (5) Investment:Stage (10) Investment'!$I182)-SUM($K182:M182)))</f>
        <v>0</v>
      </c>
      <c r="O182" s="150">
        <f>IF($B182="NA","NA",IF($B182&lt;=$D$12,0,MIN(IF($B182=($D$12+1),'Stage (5) Investment'!$I182,SUM($K181:O181)),'Stage (6) Investment:Stage (10) Investment'!$I182)-SUM($K182:N182)))</f>
        <v>0</v>
      </c>
      <c r="P182" s="150">
        <f>IF($B182="NA","NA",IF($B182&lt;=$D$13,0,MIN(IF($B182=($D$13+1),'Stage (6) Investment'!$I182,SUM($K181:P181)),'Stage (7) Investment:Stage (10) Investment'!$I182)-SUM($K182:O182)))</f>
        <v>0</v>
      </c>
      <c r="Q182" s="150">
        <f>IF($B182="NA","NA",IF($B182&lt;=$D$14,0,MIN(IF($B182=($D$14+1),'Stage (7) Investment'!$I182,SUM($K181:Q181)),'Stage (8) Investment:Stage (10) Investment'!$I182)-SUM($K182:P182)))</f>
        <v>0</v>
      </c>
      <c r="R182" s="150">
        <f>IF($B182="NA","NA",IF($B182&lt;=$D$15,0,MIN(IF($B182=($D$15+1),'Stage (8) Investment'!$I182,SUM($K181:R181)),'Stage (9) Investment:Stage (10) Investment'!$I182)-SUM($K182:Q182)))</f>
        <v>0</v>
      </c>
      <c r="S182" s="150">
        <f>IF($B182="NA","NA",IF($B182&lt;=$D$16,0,MIN(IF($B182=($D$16+1),'Stage (9) Investment'!$I182,SUM($K181:S181)),'Stage (10) Investment'!$I182)-SUM($K182:R182)))</f>
        <v>0</v>
      </c>
      <c r="T182" s="151">
        <f>IF($B182="NA","NA",IF($B182&lt;=$D$17,0,IF($B182=($D$17+1),'Stage (10) Investment'!$I182,SUM($K181:T181))-SUM($K182:S182)))</f>
        <v>0</v>
      </c>
    </row>
    <row r="183" spans="1:20" x14ac:dyDescent="0.2">
      <c r="A183" s="86">
        <f t="shared" si="17"/>
        <v>4870</v>
      </c>
      <c r="B183" s="142">
        <f t="shared" si="18"/>
        <v>161</v>
      </c>
      <c r="C183" s="143">
        <f t="shared" si="20"/>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50">
        <f>IF(B183="NA","NA",IF(ISNUMBER(VLOOKUP($C183,'A4 Investment'!$A$24:$G$33,7,FALSE)),VLOOKUP($C183,'A4 Investment'!$A$24:$G$33,7,FALSE)*'A4 Investment'!G$18/12,0))</f>
        <v>0</v>
      </c>
      <c r="I183" s="151">
        <f t="shared" si="21"/>
        <v>8904.1666666666661</v>
      </c>
      <c r="J183" s="149">
        <f t="shared" si="19"/>
        <v>8904.1666666666661</v>
      </c>
      <c r="K183" s="150">
        <f>IF($B183="NA","NA",IF($B183&lt;=$D$8,0,MIN(IF($B183=($D$8+1),'Stage (1) Investment'!$I183,K182),'Stage (2) Investment:Stage (10) Investment'!$I183)))</f>
        <v>8904.1666666666661</v>
      </c>
      <c r="L183" s="150">
        <f>IF($B183="NA","NA",IF($B183&lt;=$D$9,0,MIN(IF($B183=($D$9+1),'Stage (2) Investment'!$I183,SUM($K182:L182)),'Stage (3) Investment:Stage (10) Investment'!$I183)-K183))</f>
        <v>0</v>
      </c>
      <c r="M183" s="150">
        <f>IF($B183="NA","NA",IF($B183&lt;=$D$10,0,MIN(IF($B183=($D$10+1),'Stage (3) Investment'!$I183,SUM($K182:M182)),'Stage (4) Investment:Stage (10) Investment'!$I183)-SUM($K183:L183)))</f>
        <v>0</v>
      </c>
      <c r="N183" s="150">
        <f>IF($B183="NA","NA",IF($B183&lt;=$D$11,0,MIN(IF($B183=($D$11+1),'Stage (4) Investment'!$I183,SUM($K182:N182)),'Stage (5) Investment:Stage (10) Investment'!$I183)-SUM($K183:M183)))</f>
        <v>0</v>
      </c>
      <c r="O183" s="150">
        <f>IF($B183="NA","NA",IF($B183&lt;=$D$12,0,MIN(IF($B183=($D$12+1),'Stage (5) Investment'!$I183,SUM($K182:O182)),'Stage (6) Investment:Stage (10) Investment'!$I183)-SUM($K183:N183)))</f>
        <v>0</v>
      </c>
      <c r="P183" s="150">
        <f>IF($B183="NA","NA",IF($B183&lt;=$D$13,0,MIN(IF($B183=($D$13+1),'Stage (6) Investment'!$I183,SUM($K182:P182)),'Stage (7) Investment:Stage (10) Investment'!$I183)-SUM($K183:O183)))</f>
        <v>0</v>
      </c>
      <c r="Q183" s="150">
        <f>IF($B183="NA","NA",IF($B183&lt;=$D$14,0,MIN(IF($B183=($D$14+1),'Stage (7) Investment'!$I183,SUM($K182:Q182)),'Stage (8) Investment:Stage (10) Investment'!$I183)-SUM($K183:P183)))</f>
        <v>0</v>
      </c>
      <c r="R183" s="150">
        <f>IF($B183="NA","NA",IF($B183&lt;=$D$15,0,MIN(IF($B183=($D$15+1),'Stage (8) Investment'!$I183,SUM($K182:R182)),'Stage (9) Investment:Stage (10) Investment'!$I183)-SUM($K183:Q183)))</f>
        <v>0</v>
      </c>
      <c r="S183" s="150">
        <f>IF($B183="NA","NA",IF($B183&lt;=$D$16,0,MIN(IF($B183=($D$16+1),'Stage (9) Investment'!$I183,SUM($K182:S182)),'Stage (10) Investment'!$I183)-SUM($K183:R183)))</f>
        <v>0</v>
      </c>
      <c r="T183" s="151">
        <f>IF($B183="NA","NA",IF($B183&lt;=$D$17,0,IF($B183=($D$17+1),'Stage (10) Investment'!$I183,SUM($K182:T182))-SUM($K183:S183)))</f>
        <v>0</v>
      </c>
    </row>
    <row r="184" spans="1:20" x14ac:dyDescent="0.2">
      <c r="A184" s="86">
        <f t="shared" si="17"/>
        <v>4901</v>
      </c>
      <c r="B184" s="142">
        <f t="shared" si="18"/>
        <v>162</v>
      </c>
      <c r="C184" s="143">
        <f t="shared" si="20"/>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50">
        <f>IF(B184="NA","NA",IF(ISNUMBER(VLOOKUP($C184,'A4 Investment'!$A$24:$G$33,7,FALSE)),VLOOKUP($C184,'A4 Investment'!$A$24:$G$33,7,FALSE)*'A4 Investment'!G$18/12,0))</f>
        <v>0</v>
      </c>
      <c r="I184" s="151">
        <f t="shared" si="21"/>
        <v>8904.1666666666661</v>
      </c>
      <c r="J184" s="149">
        <f t="shared" si="19"/>
        <v>8904.1666666666661</v>
      </c>
      <c r="K184" s="150">
        <f>IF($B184="NA","NA",IF($B184&lt;=$D$8,0,MIN(IF($B184=($D$8+1),'Stage (1) Investment'!$I184,K183),'Stage (2) Investment:Stage (10) Investment'!$I184)))</f>
        <v>8904.1666666666661</v>
      </c>
      <c r="L184" s="150">
        <f>IF($B184="NA","NA",IF($B184&lt;=$D$9,0,MIN(IF($B184=($D$9+1),'Stage (2) Investment'!$I184,SUM($K183:L183)),'Stage (3) Investment:Stage (10) Investment'!$I184)-K184))</f>
        <v>0</v>
      </c>
      <c r="M184" s="150">
        <f>IF($B184="NA","NA",IF($B184&lt;=$D$10,0,MIN(IF($B184=($D$10+1),'Stage (3) Investment'!$I184,SUM($K183:M183)),'Stage (4) Investment:Stage (10) Investment'!$I184)-SUM($K184:L184)))</f>
        <v>0</v>
      </c>
      <c r="N184" s="150">
        <f>IF($B184="NA","NA",IF($B184&lt;=$D$11,0,MIN(IF($B184=($D$11+1),'Stage (4) Investment'!$I184,SUM($K183:N183)),'Stage (5) Investment:Stage (10) Investment'!$I184)-SUM($K184:M184)))</f>
        <v>0</v>
      </c>
      <c r="O184" s="150">
        <f>IF($B184="NA","NA",IF($B184&lt;=$D$12,0,MIN(IF($B184=($D$12+1),'Stage (5) Investment'!$I184,SUM($K183:O183)),'Stage (6) Investment:Stage (10) Investment'!$I184)-SUM($K184:N184)))</f>
        <v>0</v>
      </c>
      <c r="P184" s="150">
        <f>IF($B184="NA","NA",IF($B184&lt;=$D$13,0,MIN(IF($B184=($D$13+1),'Stage (6) Investment'!$I184,SUM($K183:P183)),'Stage (7) Investment:Stage (10) Investment'!$I184)-SUM($K184:O184)))</f>
        <v>0</v>
      </c>
      <c r="Q184" s="150">
        <f>IF($B184="NA","NA",IF($B184&lt;=$D$14,0,MIN(IF($B184=($D$14+1),'Stage (7) Investment'!$I184,SUM($K183:Q183)),'Stage (8) Investment:Stage (10) Investment'!$I184)-SUM($K184:P184)))</f>
        <v>0</v>
      </c>
      <c r="R184" s="150">
        <f>IF($B184="NA","NA",IF($B184&lt;=$D$15,0,MIN(IF($B184=($D$15+1),'Stage (8) Investment'!$I184,SUM($K183:R183)),'Stage (9) Investment:Stage (10) Investment'!$I184)-SUM($K184:Q184)))</f>
        <v>0</v>
      </c>
      <c r="S184" s="150">
        <f>IF($B184="NA","NA",IF($B184&lt;=$D$16,0,MIN(IF($B184=($D$16+1),'Stage (9) Investment'!$I184,SUM($K183:S183)),'Stage (10) Investment'!$I184)-SUM($K184:R184)))</f>
        <v>0</v>
      </c>
      <c r="T184" s="151">
        <f>IF($B184="NA","NA",IF($B184&lt;=$D$17,0,IF($B184=($D$17+1),'Stage (10) Investment'!$I184,SUM($K183:T183))-SUM($K184:S184)))</f>
        <v>0</v>
      </c>
    </row>
    <row r="185" spans="1:20" x14ac:dyDescent="0.2">
      <c r="A185" s="86">
        <f t="shared" si="17"/>
        <v>4931</v>
      </c>
      <c r="B185" s="142">
        <f t="shared" si="18"/>
        <v>163</v>
      </c>
      <c r="C185" s="143">
        <f t="shared" si="20"/>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50">
        <f>IF(B185="NA","NA",IF(ISNUMBER(VLOOKUP($C185,'A4 Investment'!$A$24:$G$33,7,FALSE)),VLOOKUP($C185,'A4 Investment'!$A$24:$G$33,7,FALSE)*'A4 Investment'!G$18/12,0))</f>
        <v>0</v>
      </c>
      <c r="I185" s="151">
        <f t="shared" si="21"/>
        <v>8904.1666666666661</v>
      </c>
      <c r="J185" s="149">
        <f t="shared" si="19"/>
        <v>8904.1666666666661</v>
      </c>
      <c r="K185" s="150">
        <f>IF($B185="NA","NA",IF($B185&lt;=$D$8,0,MIN(IF($B185=($D$8+1),'Stage (1) Investment'!$I185,K184),'Stage (2) Investment:Stage (10) Investment'!$I185)))</f>
        <v>8904.1666666666661</v>
      </c>
      <c r="L185" s="150">
        <f>IF($B185="NA","NA",IF($B185&lt;=$D$9,0,MIN(IF($B185=($D$9+1),'Stage (2) Investment'!$I185,SUM($K184:L184)),'Stage (3) Investment:Stage (10) Investment'!$I185)-K185))</f>
        <v>0</v>
      </c>
      <c r="M185" s="150">
        <f>IF($B185="NA","NA",IF($B185&lt;=$D$10,0,MIN(IF($B185=($D$10+1),'Stage (3) Investment'!$I185,SUM($K184:M184)),'Stage (4) Investment:Stage (10) Investment'!$I185)-SUM($K185:L185)))</f>
        <v>0</v>
      </c>
      <c r="N185" s="150">
        <f>IF($B185="NA","NA",IF($B185&lt;=$D$11,0,MIN(IF($B185=($D$11+1),'Stage (4) Investment'!$I185,SUM($K184:N184)),'Stage (5) Investment:Stage (10) Investment'!$I185)-SUM($K185:M185)))</f>
        <v>0</v>
      </c>
      <c r="O185" s="150">
        <f>IF($B185="NA","NA",IF($B185&lt;=$D$12,0,MIN(IF($B185=($D$12+1),'Stage (5) Investment'!$I185,SUM($K184:O184)),'Stage (6) Investment:Stage (10) Investment'!$I185)-SUM($K185:N185)))</f>
        <v>0</v>
      </c>
      <c r="P185" s="150">
        <f>IF($B185="NA","NA",IF($B185&lt;=$D$13,0,MIN(IF($B185=($D$13+1),'Stage (6) Investment'!$I185,SUM($K184:P184)),'Stage (7) Investment:Stage (10) Investment'!$I185)-SUM($K185:O185)))</f>
        <v>0</v>
      </c>
      <c r="Q185" s="150">
        <f>IF($B185="NA","NA",IF($B185&lt;=$D$14,0,MIN(IF($B185=($D$14+1),'Stage (7) Investment'!$I185,SUM($K184:Q184)),'Stage (8) Investment:Stage (10) Investment'!$I185)-SUM($K185:P185)))</f>
        <v>0</v>
      </c>
      <c r="R185" s="150">
        <f>IF($B185="NA","NA",IF($B185&lt;=$D$15,0,MIN(IF($B185=($D$15+1),'Stage (8) Investment'!$I185,SUM($K184:R184)),'Stage (9) Investment:Stage (10) Investment'!$I185)-SUM($K185:Q185)))</f>
        <v>0</v>
      </c>
      <c r="S185" s="150">
        <f>IF($B185="NA","NA",IF($B185&lt;=$D$16,0,MIN(IF($B185=($D$16+1),'Stage (9) Investment'!$I185,SUM($K184:S184)),'Stage (10) Investment'!$I185)-SUM($K185:R185)))</f>
        <v>0</v>
      </c>
      <c r="T185" s="151">
        <f>IF($B185="NA","NA",IF($B185&lt;=$D$17,0,IF($B185=($D$17+1),'Stage (10) Investment'!$I185,SUM($K184:T184))-SUM($K185:S185)))</f>
        <v>0</v>
      </c>
    </row>
    <row r="186" spans="1:20" x14ac:dyDescent="0.2">
      <c r="A186" s="86">
        <f t="shared" si="17"/>
        <v>4962</v>
      </c>
      <c r="B186" s="142">
        <f t="shared" si="18"/>
        <v>164</v>
      </c>
      <c r="C186" s="143">
        <f t="shared" si="20"/>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50">
        <f>IF(B186="NA","NA",IF(ISNUMBER(VLOOKUP($C186,'A4 Investment'!$A$24:$G$33,7,FALSE)),VLOOKUP($C186,'A4 Investment'!$A$24:$G$33,7,FALSE)*'A4 Investment'!G$18/12,0))</f>
        <v>0</v>
      </c>
      <c r="I186" s="151">
        <f t="shared" si="21"/>
        <v>8904.1666666666661</v>
      </c>
      <c r="J186" s="149">
        <f t="shared" si="19"/>
        <v>8904.1666666666661</v>
      </c>
      <c r="K186" s="150">
        <f>IF($B186="NA","NA",IF($B186&lt;=$D$8,0,MIN(IF($B186=($D$8+1),'Stage (1) Investment'!$I186,K185),'Stage (2) Investment:Stage (10) Investment'!$I186)))</f>
        <v>8904.1666666666661</v>
      </c>
      <c r="L186" s="150">
        <f>IF($B186="NA","NA",IF($B186&lt;=$D$9,0,MIN(IF($B186=($D$9+1),'Stage (2) Investment'!$I186,SUM($K185:L185)),'Stage (3) Investment:Stage (10) Investment'!$I186)-K186))</f>
        <v>0</v>
      </c>
      <c r="M186" s="150">
        <f>IF($B186="NA","NA",IF($B186&lt;=$D$10,0,MIN(IF($B186=($D$10+1),'Stage (3) Investment'!$I186,SUM($K185:M185)),'Stage (4) Investment:Stage (10) Investment'!$I186)-SUM($K186:L186)))</f>
        <v>0</v>
      </c>
      <c r="N186" s="150">
        <f>IF($B186="NA","NA",IF($B186&lt;=$D$11,0,MIN(IF($B186=($D$11+1),'Stage (4) Investment'!$I186,SUM($K185:N185)),'Stage (5) Investment:Stage (10) Investment'!$I186)-SUM($K186:M186)))</f>
        <v>0</v>
      </c>
      <c r="O186" s="150">
        <f>IF($B186="NA","NA",IF($B186&lt;=$D$12,0,MIN(IF($B186=($D$12+1),'Stage (5) Investment'!$I186,SUM($K185:O185)),'Stage (6) Investment:Stage (10) Investment'!$I186)-SUM($K186:N186)))</f>
        <v>0</v>
      </c>
      <c r="P186" s="150">
        <f>IF($B186="NA","NA",IF($B186&lt;=$D$13,0,MIN(IF($B186=($D$13+1),'Stage (6) Investment'!$I186,SUM($K185:P185)),'Stage (7) Investment:Stage (10) Investment'!$I186)-SUM($K186:O186)))</f>
        <v>0</v>
      </c>
      <c r="Q186" s="150">
        <f>IF($B186="NA","NA",IF($B186&lt;=$D$14,0,MIN(IF($B186=($D$14+1),'Stage (7) Investment'!$I186,SUM($K185:Q185)),'Stage (8) Investment:Stage (10) Investment'!$I186)-SUM($K186:P186)))</f>
        <v>0</v>
      </c>
      <c r="R186" s="150">
        <f>IF($B186="NA","NA",IF($B186&lt;=$D$15,0,MIN(IF($B186=($D$15+1),'Stage (8) Investment'!$I186,SUM($K185:R185)),'Stage (9) Investment:Stage (10) Investment'!$I186)-SUM($K186:Q186)))</f>
        <v>0</v>
      </c>
      <c r="S186" s="150">
        <f>IF($B186="NA","NA",IF($B186&lt;=$D$16,0,MIN(IF($B186=($D$16+1),'Stage (9) Investment'!$I186,SUM($K185:S185)),'Stage (10) Investment'!$I186)-SUM($K186:R186)))</f>
        <v>0</v>
      </c>
      <c r="T186" s="151">
        <f>IF($B186="NA","NA",IF($B186&lt;=$D$17,0,IF($B186=($D$17+1),'Stage (10) Investment'!$I186,SUM($K185:T185))-SUM($K186:S186)))</f>
        <v>0</v>
      </c>
    </row>
    <row r="187" spans="1:20" x14ac:dyDescent="0.2">
      <c r="A187" s="86">
        <f t="shared" si="17"/>
        <v>4993</v>
      </c>
      <c r="B187" s="142">
        <f t="shared" si="18"/>
        <v>165</v>
      </c>
      <c r="C187" s="143">
        <f t="shared" si="20"/>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50">
        <f>IF(B187="NA","NA",IF(ISNUMBER(VLOOKUP($C187,'A4 Investment'!$A$24:$G$33,7,FALSE)),VLOOKUP($C187,'A4 Investment'!$A$24:$G$33,7,FALSE)*'A4 Investment'!G$18/12,0))</f>
        <v>0</v>
      </c>
      <c r="I187" s="151">
        <f t="shared" si="21"/>
        <v>8904.1666666666661</v>
      </c>
      <c r="J187" s="149">
        <f t="shared" si="19"/>
        <v>8904.1666666666661</v>
      </c>
      <c r="K187" s="150">
        <f>IF($B187="NA","NA",IF($B187&lt;=$D$8,0,MIN(IF($B187=($D$8+1),'Stage (1) Investment'!$I187,K186),'Stage (2) Investment:Stage (10) Investment'!$I187)))</f>
        <v>8904.1666666666661</v>
      </c>
      <c r="L187" s="150">
        <f>IF($B187="NA","NA",IF($B187&lt;=$D$9,0,MIN(IF($B187=($D$9+1),'Stage (2) Investment'!$I187,SUM($K186:L186)),'Stage (3) Investment:Stage (10) Investment'!$I187)-K187))</f>
        <v>0</v>
      </c>
      <c r="M187" s="150">
        <f>IF($B187="NA","NA",IF($B187&lt;=$D$10,0,MIN(IF($B187=($D$10+1),'Stage (3) Investment'!$I187,SUM($K186:M186)),'Stage (4) Investment:Stage (10) Investment'!$I187)-SUM($K187:L187)))</f>
        <v>0</v>
      </c>
      <c r="N187" s="150">
        <f>IF($B187="NA","NA",IF($B187&lt;=$D$11,0,MIN(IF($B187=($D$11+1),'Stage (4) Investment'!$I187,SUM($K186:N186)),'Stage (5) Investment:Stage (10) Investment'!$I187)-SUM($K187:M187)))</f>
        <v>0</v>
      </c>
      <c r="O187" s="150">
        <f>IF($B187="NA","NA",IF($B187&lt;=$D$12,0,MIN(IF($B187=($D$12+1),'Stage (5) Investment'!$I187,SUM($K186:O186)),'Stage (6) Investment:Stage (10) Investment'!$I187)-SUM($K187:N187)))</f>
        <v>0</v>
      </c>
      <c r="P187" s="150">
        <f>IF($B187="NA","NA",IF($B187&lt;=$D$13,0,MIN(IF($B187=($D$13+1),'Stage (6) Investment'!$I187,SUM($K186:P186)),'Stage (7) Investment:Stage (10) Investment'!$I187)-SUM($K187:O187)))</f>
        <v>0</v>
      </c>
      <c r="Q187" s="150">
        <f>IF($B187="NA","NA",IF($B187&lt;=$D$14,0,MIN(IF($B187=($D$14+1),'Stage (7) Investment'!$I187,SUM($K186:Q186)),'Stage (8) Investment:Stage (10) Investment'!$I187)-SUM($K187:P187)))</f>
        <v>0</v>
      </c>
      <c r="R187" s="150">
        <f>IF($B187="NA","NA",IF($B187&lt;=$D$15,0,MIN(IF($B187=($D$15+1),'Stage (8) Investment'!$I187,SUM($K186:R186)),'Stage (9) Investment:Stage (10) Investment'!$I187)-SUM($K187:Q187)))</f>
        <v>0</v>
      </c>
      <c r="S187" s="150">
        <f>IF($B187="NA","NA",IF($B187&lt;=$D$16,0,MIN(IF($B187=($D$16+1),'Stage (9) Investment'!$I187,SUM($K186:S186)),'Stage (10) Investment'!$I187)-SUM($K187:R187)))</f>
        <v>0</v>
      </c>
      <c r="T187" s="151">
        <f>IF($B187="NA","NA",IF($B187&lt;=$D$17,0,IF($B187=($D$17+1),'Stage (10) Investment'!$I187,SUM($K186:T186))-SUM($K187:S187)))</f>
        <v>0</v>
      </c>
    </row>
    <row r="188" spans="1:20" x14ac:dyDescent="0.2">
      <c r="A188" s="86">
        <f t="shared" si="17"/>
        <v>5023</v>
      </c>
      <c r="B188" s="142">
        <f t="shared" si="18"/>
        <v>166</v>
      </c>
      <c r="C188" s="143">
        <f t="shared" si="20"/>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50">
        <f>IF(B188="NA","NA",IF(ISNUMBER(VLOOKUP($C188,'A4 Investment'!$A$24:$G$33,7,FALSE)),VLOOKUP($C188,'A4 Investment'!$A$24:$G$33,7,FALSE)*'A4 Investment'!G$18/12,0))</f>
        <v>0</v>
      </c>
      <c r="I188" s="151">
        <f t="shared" si="21"/>
        <v>8904.1666666666661</v>
      </c>
      <c r="J188" s="149">
        <f t="shared" si="19"/>
        <v>8904.1666666666661</v>
      </c>
      <c r="K188" s="150">
        <f>IF($B188="NA","NA",IF($B188&lt;=$D$8,0,MIN(IF($B188=($D$8+1),'Stage (1) Investment'!$I188,K187),'Stage (2) Investment:Stage (10) Investment'!$I188)))</f>
        <v>8904.1666666666661</v>
      </c>
      <c r="L188" s="150">
        <f>IF($B188="NA","NA",IF($B188&lt;=$D$9,0,MIN(IF($B188=($D$9+1),'Stage (2) Investment'!$I188,SUM($K187:L187)),'Stage (3) Investment:Stage (10) Investment'!$I188)-K188))</f>
        <v>0</v>
      </c>
      <c r="M188" s="150">
        <f>IF($B188="NA","NA",IF($B188&lt;=$D$10,0,MIN(IF($B188=($D$10+1),'Stage (3) Investment'!$I188,SUM($K187:M187)),'Stage (4) Investment:Stage (10) Investment'!$I188)-SUM($K188:L188)))</f>
        <v>0</v>
      </c>
      <c r="N188" s="150">
        <f>IF($B188="NA","NA",IF($B188&lt;=$D$11,0,MIN(IF($B188=($D$11+1),'Stage (4) Investment'!$I188,SUM($K187:N187)),'Stage (5) Investment:Stage (10) Investment'!$I188)-SUM($K188:M188)))</f>
        <v>0</v>
      </c>
      <c r="O188" s="150">
        <f>IF($B188="NA","NA",IF($B188&lt;=$D$12,0,MIN(IF($B188=($D$12+1),'Stage (5) Investment'!$I188,SUM($K187:O187)),'Stage (6) Investment:Stage (10) Investment'!$I188)-SUM($K188:N188)))</f>
        <v>0</v>
      </c>
      <c r="P188" s="150">
        <f>IF($B188="NA","NA",IF($B188&lt;=$D$13,0,MIN(IF($B188=($D$13+1),'Stage (6) Investment'!$I188,SUM($K187:P187)),'Stage (7) Investment:Stage (10) Investment'!$I188)-SUM($K188:O188)))</f>
        <v>0</v>
      </c>
      <c r="Q188" s="150">
        <f>IF($B188="NA","NA",IF($B188&lt;=$D$14,0,MIN(IF($B188=($D$14+1),'Stage (7) Investment'!$I188,SUM($K187:Q187)),'Stage (8) Investment:Stage (10) Investment'!$I188)-SUM($K188:P188)))</f>
        <v>0</v>
      </c>
      <c r="R188" s="150">
        <f>IF($B188="NA","NA",IF($B188&lt;=$D$15,0,MIN(IF($B188=($D$15+1),'Stage (8) Investment'!$I188,SUM($K187:R187)),'Stage (9) Investment:Stage (10) Investment'!$I188)-SUM($K188:Q188)))</f>
        <v>0</v>
      </c>
      <c r="S188" s="150">
        <f>IF($B188="NA","NA",IF($B188&lt;=$D$16,0,MIN(IF($B188=($D$16+1),'Stage (9) Investment'!$I188,SUM($K187:S187)),'Stage (10) Investment'!$I188)-SUM($K188:R188)))</f>
        <v>0</v>
      </c>
      <c r="T188" s="151">
        <f>IF($B188="NA","NA",IF($B188&lt;=$D$17,0,IF($B188=($D$17+1),'Stage (10) Investment'!$I188,SUM($K187:T187))-SUM($K188:S188)))</f>
        <v>0</v>
      </c>
    </row>
    <row r="189" spans="1:20" x14ac:dyDescent="0.2">
      <c r="A189" s="86">
        <f t="shared" si="17"/>
        <v>5054</v>
      </c>
      <c r="B189" s="142">
        <f t="shared" si="18"/>
        <v>167</v>
      </c>
      <c r="C189" s="143">
        <f t="shared" si="20"/>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50">
        <f>IF(B189="NA","NA",IF(ISNUMBER(VLOOKUP($C189,'A4 Investment'!$A$24:$G$33,7,FALSE)),VLOOKUP($C189,'A4 Investment'!$A$24:$G$33,7,FALSE)*'A4 Investment'!G$18/12,0))</f>
        <v>0</v>
      </c>
      <c r="I189" s="151">
        <f t="shared" si="21"/>
        <v>8904.1666666666661</v>
      </c>
      <c r="J189" s="149">
        <f t="shared" si="19"/>
        <v>8904.1666666666661</v>
      </c>
      <c r="K189" s="150">
        <f>IF($B189="NA","NA",IF($B189&lt;=$D$8,0,MIN(IF($B189=($D$8+1),'Stage (1) Investment'!$I189,K188),'Stage (2) Investment:Stage (10) Investment'!$I189)))</f>
        <v>8904.1666666666661</v>
      </c>
      <c r="L189" s="150">
        <f>IF($B189="NA","NA",IF($B189&lt;=$D$9,0,MIN(IF($B189=($D$9+1),'Stage (2) Investment'!$I189,SUM($K188:L188)),'Stage (3) Investment:Stage (10) Investment'!$I189)-K189))</f>
        <v>0</v>
      </c>
      <c r="M189" s="150">
        <f>IF($B189="NA","NA",IF($B189&lt;=$D$10,0,MIN(IF($B189=($D$10+1),'Stage (3) Investment'!$I189,SUM($K188:M188)),'Stage (4) Investment:Stage (10) Investment'!$I189)-SUM($K189:L189)))</f>
        <v>0</v>
      </c>
      <c r="N189" s="150">
        <f>IF($B189="NA","NA",IF($B189&lt;=$D$11,0,MIN(IF($B189=($D$11+1),'Stage (4) Investment'!$I189,SUM($K188:N188)),'Stage (5) Investment:Stage (10) Investment'!$I189)-SUM($K189:M189)))</f>
        <v>0</v>
      </c>
      <c r="O189" s="150">
        <f>IF($B189="NA","NA",IF($B189&lt;=$D$12,0,MIN(IF($B189=($D$12+1),'Stage (5) Investment'!$I189,SUM($K188:O188)),'Stage (6) Investment:Stage (10) Investment'!$I189)-SUM($K189:N189)))</f>
        <v>0</v>
      </c>
      <c r="P189" s="150">
        <f>IF($B189="NA","NA",IF($B189&lt;=$D$13,0,MIN(IF($B189=($D$13+1),'Stage (6) Investment'!$I189,SUM($K188:P188)),'Stage (7) Investment:Stage (10) Investment'!$I189)-SUM($K189:O189)))</f>
        <v>0</v>
      </c>
      <c r="Q189" s="150">
        <f>IF($B189="NA","NA",IF($B189&lt;=$D$14,0,MIN(IF($B189=($D$14+1),'Stage (7) Investment'!$I189,SUM($K188:Q188)),'Stage (8) Investment:Stage (10) Investment'!$I189)-SUM($K189:P189)))</f>
        <v>0</v>
      </c>
      <c r="R189" s="150">
        <f>IF($B189="NA","NA",IF($B189&lt;=$D$15,0,MIN(IF($B189=($D$15+1),'Stage (8) Investment'!$I189,SUM($K188:R188)),'Stage (9) Investment:Stage (10) Investment'!$I189)-SUM($K189:Q189)))</f>
        <v>0</v>
      </c>
      <c r="S189" s="150">
        <f>IF($B189="NA","NA",IF($B189&lt;=$D$16,0,MIN(IF($B189=($D$16+1),'Stage (9) Investment'!$I189,SUM($K188:S188)),'Stage (10) Investment'!$I189)-SUM($K189:R189)))</f>
        <v>0</v>
      </c>
      <c r="T189" s="151">
        <f>IF($B189="NA","NA",IF($B189&lt;=$D$17,0,IF($B189=($D$17+1),'Stage (10) Investment'!$I189,SUM($K188:T188))-SUM($K189:S189)))</f>
        <v>0</v>
      </c>
    </row>
    <row r="190" spans="1:20" x14ac:dyDescent="0.2">
      <c r="A190" s="86">
        <f t="shared" si="17"/>
        <v>5084</v>
      </c>
      <c r="B190" s="142">
        <f t="shared" si="18"/>
        <v>168</v>
      </c>
      <c r="C190" s="143">
        <f t="shared" si="20"/>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50">
        <f>IF(B190="NA","NA",IF(ISNUMBER(VLOOKUP($C190,'A4 Investment'!$A$24:$G$33,7,FALSE)),VLOOKUP($C190,'A4 Investment'!$A$24:$G$33,7,FALSE)*'A4 Investment'!G$18/12,0))</f>
        <v>0</v>
      </c>
      <c r="I190" s="151">
        <f t="shared" si="21"/>
        <v>8904.1666666666661</v>
      </c>
      <c r="J190" s="149">
        <f t="shared" si="19"/>
        <v>8904.1666666666661</v>
      </c>
      <c r="K190" s="150">
        <f>IF($B190="NA","NA",IF($B190&lt;=$D$8,0,MIN(IF($B190=($D$8+1),'Stage (1) Investment'!$I190,K189),'Stage (2) Investment:Stage (10) Investment'!$I190)))</f>
        <v>8904.1666666666661</v>
      </c>
      <c r="L190" s="150">
        <f>IF($B190="NA","NA",IF($B190&lt;=$D$9,0,MIN(IF($B190=($D$9+1),'Stage (2) Investment'!$I190,SUM($K189:L189)),'Stage (3) Investment:Stage (10) Investment'!$I190)-K190))</f>
        <v>0</v>
      </c>
      <c r="M190" s="150">
        <f>IF($B190="NA","NA",IF($B190&lt;=$D$10,0,MIN(IF($B190=($D$10+1),'Stage (3) Investment'!$I190,SUM($K189:M189)),'Stage (4) Investment:Stage (10) Investment'!$I190)-SUM($K190:L190)))</f>
        <v>0</v>
      </c>
      <c r="N190" s="150">
        <f>IF($B190="NA","NA",IF($B190&lt;=$D$11,0,MIN(IF($B190=($D$11+1),'Stage (4) Investment'!$I190,SUM($K189:N189)),'Stage (5) Investment:Stage (10) Investment'!$I190)-SUM($K190:M190)))</f>
        <v>0</v>
      </c>
      <c r="O190" s="150">
        <f>IF($B190="NA","NA",IF($B190&lt;=$D$12,0,MIN(IF($B190=($D$12+1),'Stage (5) Investment'!$I190,SUM($K189:O189)),'Stage (6) Investment:Stage (10) Investment'!$I190)-SUM($K190:N190)))</f>
        <v>0</v>
      </c>
      <c r="P190" s="150">
        <f>IF($B190="NA","NA",IF($B190&lt;=$D$13,0,MIN(IF($B190=($D$13+1),'Stage (6) Investment'!$I190,SUM($K189:P189)),'Stage (7) Investment:Stage (10) Investment'!$I190)-SUM($K190:O190)))</f>
        <v>0</v>
      </c>
      <c r="Q190" s="150">
        <f>IF($B190="NA","NA",IF($B190&lt;=$D$14,0,MIN(IF($B190=($D$14+1),'Stage (7) Investment'!$I190,SUM($K189:Q189)),'Stage (8) Investment:Stage (10) Investment'!$I190)-SUM($K190:P190)))</f>
        <v>0</v>
      </c>
      <c r="R190" s="150">
        <f>IF($B190="NA","NA",IF($B190&lt;=$D$15,0,MIN(IF($B190=($D$15+1),'Stage (8) Investment'!$I190,SUM($K189:R189)),'Stage (9) Investment:Stage (10) Investment'!$I190)-SUM($K190:Q190)))</f>
        <v>0</v>
      </c>
      <c r="S190" s="150">
        <f>IF($B190="NA","NA",IF($B190&lt;=$D$16,0,MIN(IF($B190=($D$16+1),'Stage (9) Investment'!$I190,SUM($K189:S189)),'Stage (10) Investment'!$I190)-SUM($K190:R190)))</f>
        <v>0</v>
      </c>
      <c r="T190" s="151">
        <f>IF($B190="NA","NA",IF($B190&lt;=$D$17,0,IF($B190=($D$17+1),'Stage (10) Investment'!$I190,SUM($K189:T189))-SUM($K190:S190)))</f>
        <v>0</v>
      </c>
    </row>
    <row r="191" spans="1:20" x14ac:dyDescent="0.2">
      <c r="A191" s="86">
        <f t="shared" si="17"/>
        <v>5115</v>
      </c>
      <c r="B191" s="142">
        <f t="shared" si="18"/>
        <v>169</v>
      </c>
      <c r="C191" s="143">
        <f t="shared" si="20"/>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50">
        <f>IF(B191="NA","NA",IF(ISNUMBER(VLOOKUP($C191,'A4 Investment'!$A$24:$G$33,7,FALSE)),VLOOKUP($C191,'A4 Investment'!$A$24:$G$33,7,FALSE)*'A4 Investment'!G$18/12,0))</f>
        <v>0</v>
      </c>
      <c r="I191" s="151">
        <f t="shared" si="21"/>
        <v>8904.1666666666661</v>
      </c>
      <c r="J191" s="149">
        <f t="shared" si="19"/>
        <v>8904.1666666666661</v>
      </c>
      <c r="K191" s="150">
        <f>IF($B191="NA","NA",IF($B191&lt;=$D$8,0,MIN(IF($B191=($D$8+1),'Stage (1) Investment'!$I191,K190),'Stage (2) Investment:Stage (10) Investment'!$I191)))</f>
        <v>8904.1666666666661</v>
      </c>
      <c r="L191" s="150">
        <f>IF($B191="NA","NA",IF($B191&lt;=$D$9,0,MIN(IF($B191=($D$9+1),'Stage (2) Investment'!$I191,SUM($K190:L190)),'Stage (3) Investment:Stage (10) Investment'!$I191)-K191))</f>
        <v>0</v>
      </c>
      <c r="M191" s="150">
        <f>IF($B191="NA","NA",IF($B191&lt;=$D$10,0,MIN(IF($B191=($D$10+1),'Stage (3) Investment'!$I191,SUM($K190:M190)),'Stage (4) Investment:Stage (10) Investment'!$I191)-SUM($K191:L191)))</f>
        <v>0</v>
      </c>
      <c r="N191" s="150">
        <f>IF($B191="NA","NA",IF($B191&lt;=$D$11,0,MIN(IF($B191=($D$11+1),'Stage (4) Investment'!$I191,SUM($K190:N190)),'Stage (5) Investment:Stage (10) Investment'!$I191)-SUM($K191:M191)))</f>
        <v>0</v>
      </c>
      <c r="O191" s="150">
        <f>IF($B191="NA","NA",IF($B191&lt;=$D$12,0,MIN(IF($B191=($D$12+1),'Stage (5) Investment'!$I191,SUM($K190:O190)),'Stage (6) Investment:Stage (10) Investment'!$I191)-SUM($K191:N191)))</f>
        <v>0</v>
      </c>
      <c r="P191" s="150">
        <f>IF($B191="NA","NA",IF($B191&lt;=$D$13,0,MIN(IF($B191=($D$13+1),'Stage (6) Investment'!$I191,SUM($K190:P190)),'Stage (7) Investment:Stage (10) Investment'!$I191)-SUM($K191:O191)))</f>
        <v>0</v>
      </c>
      <c r="Q191" s="150">
        <f>IF($B191="NA","NA",IF($B191&lt;=$D$14,0,MIN(IF($B191=($D$14+1),'Stage (7) Investment'!$I191,SUM($K190:Q190)),'Stage (8) Investment:Stage (10) Investment'!$I191)-SUM($K191:P191)))</f>
        <v>0</v>
      </c>
      <c r="R191" s="150">
        <f>IF($B191="NA","NA",IF($B191&lt;=$D$15,0,MIN(IF($B191=($D$15+1),'Stage (8) Investment'!$I191,SUM($K190:R190)),'Stage (9) Investment:Stage (10) Investment'!$I191)-SUM($K191:Q191)))</f>
        <v>0</v>
      </c>
      <c r="S191" s="150">
        <f>IF($B191="NA","NA",IF($B191&lt;=$D$16,0,MIN(IF($B191=($D$16+1),'Stage (9) Investment'!$I191,SUM($K190:S190)),'Stage (10) Investment'!$I191)-SUM($K191:R191)))</f>
        <v>0</v>
      </c>
      <c r="T191" s="151">
        <f>IF($B191="NA","NA",IF($B191&lt;=$D$17,0,IF($B191=($D$17+1),'Stage (10) Investment'!$I191,SUM($K190:T190))-SUM($K191:S191)))</f>
        <v>0</v>
      </c>
    </row>
    <row r="192" spans="1:20" x14ac:dyDescent="0.2">
      <c r="A192" s="86">
        <f t="shared" si="17"/>
        <v>5146</v>
      </c>
      <c r="B192" s="142">
        <f t="shared" si="18"/>
        <v>170</v>
      </c>
      <c r="C192" s="143">
        <f t="shared" si="20"/>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50">
        <f>IF(B192="NA","NA",IF(ISNUMBER(VLOOKUP($C192,'A4 Investment'!$A$24:$G$33,7,FALSE)),VLOOKUP($C192,'A4 Investment'!$A$24:$G$33,7,FALSE)*'A4 Investment'!G$18/12,0))</f>
        <v>0</v>
      </c>
      <c r="I192" s="151">
        <f t="shared" si="21"/>
        <v>8904.1666666666661</v>
      </c>
      <c r="J192" s="149">
        <f t="shared" si="19"/>
        <v>8904.1666666666661</v>
      </c>
      <c r="K192" s="150">
        <f>IF($B192="NA","NA",IF($B192&lt;=$D$8,0,MIN(IF($B192=($D$8+1),'Stage (1) Investment'!$I192,K191),'Stage (2) Investment:Stage (10) Investment'!$I192)))</f>
        <v>8904.1666666666661</v>
      </c>
      <c r="L192" s="150">
        <f>IF($B192="NA","NA",IF($B192&lt;=$D$9,0,MIN(IF($B192=($D$9+1),'Stage (2) Investment'!$I192,SUM($K191:L191)),'Stage (3) Investment:Stage (10) Investment'!$I192)-K192))</f>
        <v>0</v>
      </c>
      <c r="M192" s="150">
        <f>IF($B192="NA","NA",IF($B192&lt;=$D$10,0,MIN(IF($B192=($D$10+1),'Stage (3) Investment'!$I192,SUM($K191:M191)),'Stage (4) Investment:Stage (10) Investment'!$I192)-SUM($K192:L192)))</f>
        <v>0</v>
      </c>
      <c r="N192" s="150">
        <f>IF($B192="NA","NA",IF($B192&lt;=$D$11,0,MIN(IF($B192=($D$11+1),'Stage (4) Investment'!$I192,SUM($K191:N191)),'Stage (5) Investment:Stage (10) Investment'!$I192)-SUM($K192:M192)))</f>
        <v>0</v>
      </c>
      <c r="O192" s="150">
        <f>IF($B192="NA","NA",IF($B192&lt;=$D$12,0,MIN(IF($B192=($D$12+1),'Stage (5) Investment'!$I192,SUM($K191:O191)),'Stage (6) Investment:Stage (10) Investment'!$I192)-SUM($K192:N192)))</f>
        <v>0</v>
      </c>
      <c r="P192" s="150">
        <f>IF($B192="NA","NA",IF($B192&lt;=$D$13,0,MIN(IF($B192=($D$13+1),'Stage (6) Investment'!$I192,SUM($K191:P191)),'Stage (7) Investment:Stage (10) Investment'!$I192)-SUM($K192:O192)))</f>
        <v>0</v>
      </c>
      <c r="Q192" s="150">
        <f>IF($B192="NA","NA",IF($B192&lt;=$D$14,0,MIN(IF($B192=($D$14+1),'Stage (7) Investment'!$I192,SUM($K191:Q191)),'Stage (8) Investment:Stage (10) Investment'!$I192)-SUM($K192:P192)))</f>
        <v>0</v>
      </c>
      <c r="R192" s="150">
        <f>IF($B192="NA","NA",IF($B192&lt;=$D$15,0,MIN(IF($B192=($D$15+1),'Stage (8) Investment'!$I192,SUM($K191:R191)),'Stage (9) Investment:Stage (10) Investment'!$I192)-SUM($K192:Q192)))</f>
        <v>0</v>
      </c>
      <c r="S192" s="150">
        <f>IF($B192="NA","NA",IF($B192&lt;=$D$16,0,MIN(IF($B192=($D$16+1),'Stage (9) Investment'!$I192,SUM($K191:S191)),'Stage (10) Investment'!$I192)-SUM($K192:R192)))</f>
        <v>0</v>
      </c>
      <c r="T192" s="151">
        <f>IF($B192="NA","NA",IF($B192&lt;=$D$17,0,IF($B192=($D$17+1),'Stage (10) Investment'!$I192,SUM($K191:T191))-SUM($K192:S192)))</f>
        <v>0</v>
      </c>
    </row>
    <row r="193" spans="1:20" x14ac:dyDescent="0.2">
      <c r="A193" s="86">
        <f t="shared" si="17"/>
        <v>5174</v>
      </c>
      <c r="B193" s="142">
        <f t="shared" si="18"/>
        <v>171</v>
      </c>
      <c r="C193" s="143">
        <f t="shared" si="20"/>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50">
        <f>IF(B193="NA","NA",IF(ISNUMBER(VLOOKUP($C193,'A4 Investment'!$A$24:$G$33,7,FALSE)),VLOOKUP($C193,'A4 Investment'!$A$24:$G$33,7,FALSE)*'A4 Investment'!G$18/12,0))</f>
        <v>0</v>
      </c>
      <c r="I193" s="151">
        <f t="shared" si="21"/>
        <v>8904.1666666666661</v>
      </c>
      <c r="J193" s="149">
        <f t="shared" si="19"/>
        <v>8904.1666666666661</v>
      </c>
      <c r="K193" s="150">
        <f>IF($B193="NA","NA",IF($B193&lt;=$D$8,0,MIN(IF($B193=($D$8+1),'Stage (1) Investment'!$I193,K192),'Stage (2) Investment:Stage (10) Investment'!$I193)))</f>
        <v>8904.1666666666661</v>
      </c>
      <c r="L193" s="150">
        <f>IF($B193="NA","NA",IF($B193&lt;=$D$9,0,MIN(IF($B193=($D$9+1),'Stage (2) Investment'!$I193,SUM($K192:L192)),'Stage (3) Investment:Stage (10) Investment'!$I193)-K193))</f>
        <v>0</v>
      </c>
      <c r="M193" s="150">
        <f>IF($B193="NA","NA",IF($B193&lt;=$D$10,0,MIN(IF($B193=($D$10+1),'Stage (3) Investment'!$I193,SUM($K192:M192)),'Stage (4) Investment:Stage (10) Investment'!$I193)-SUM($K193:L193)))</f>
        <v>0</v>
      </c>
      <c r="N193" s="150">
        <f>IF($B193="NA","NA",IF($B193&lt;=$D$11,0,MIN(IF($B193=($D$11+1),'Stage (4) Investment'!$I193,SUM($K192:N192)),'Stage (5) Investment:Stage (10) Investment'!$I193)-SUM($K193:M193)))</f>
        <v>0</v>
      </c>
      <c r="O193" s="150">
        <f>IF($B193="NA","NA",IF($B193&lt;=$D$12,0,MIN(IF($B193=($D$12+1),'Stage (5) Investment'!$I193,SUM($K192:O192)),'Stage (6) Investment:Stage (10) Investment'!$I193)-SUM($K193:N193)))</f>
        <v>0</v>
      </c>
      <c r="P193" s="150">
        <f>IF($B193="NA","NA",IF($B193&lt;=$D$13,0,MIN(IF($B193=($D$13+1),'Stage (6) Investment'!$I193,SUM($K192:P192)),'Stage (7) Investment:Stage (10) Investment'!$I193)-SUM($K193:O193)))</f>
        <v>0</v>
      </c>
      <c r="Q193" s="150">
        <f>IF($B193="NA","NA",IF($B193&lt;=$D$14,0,MIN(IF($B193=($D$14+1),'Stage (7) Investment'!$I193,SUM($K192:Q192)),'Stage (8) Investment:Stage (10) Investment'!$I193)-SUM($K193:P193)))</f>
        <v>0</v>
      </c>
      <c r="R193" s="150">
        <f>IF($B193="NA","NA",IF($B193&lt;=$D$15,0,MIN(IF($B193=($D$15+1),'Stage (8) Investment'!$I193,SUM($K192:R192)),'Stage (9) Investment:Stage (10) Investment'!$I193)-SUM($K193:Q193)))</f>
        <v>0</v>
      </c>
      <c r="S193" s="150">
        <f>IF($B193="NA","NA",IF($B193&lt;=$D$16,0,MIN(IF($B193=($D$16+1),'Stage (9) Investment'!$I193,SUM($K192:S192)),'Stage (10) Investment'!$I193)-SUM($K193:R193)))</f>
        <v>0</v>
      </c>
      <c r="T193" s="151">
        <f>IF($B193="NA","NA",IF($B193&lt;=$D$17,0,IF($B193=($D$17+1),'Stage (10) Investment'!$I193,SUM($K192:T192))-SUM($K193:S193)))</f>
        <v>0</v>
      </c>
    </row>
    <row r="194" spans="1:20" x14ac:dyDescent="0.2">
      <c r="A194" s="86">
        <f t="shared" si="17"/>
        <v>5205</v>
      </c>
      <c r="B194" s="142">
        <f t="shared" si="18"/>
        <v>172</v>
      </c>
      <c r="C194" s="143">
        <f t="shared" si="20"/>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50">
        <f>IF(B194="NA","NA",IF(ISNUMBER(VLOOKUP($C194,'A4 Investment'!$A$24:$G$33,7,FALSE)),VLOOKUP($C194,'A4 Investment'!$A$24:$G$33,7,FALSE)*'A4 Investment'!G$18/12,0))</f>
        <v>0</v>
      </c>
      <c r="I194" s="151">
        <f t="shared" si="21"/>
        <v>8904.1666666666661</v>
      </c>
      <c r="J194" s="149">
        <f t="shared" si="19"/>
        <v>8904.1666666666661</v>
      </c>
      <c r="K194" s="150">
        <f>IF($B194="NA","NA",IF($B194&lt;=$D$8,0,MIN(IF($B194=($D$8+1),'Stage (1) Investment'!$I194,K193),'Stage (2) Investment:Stage (10) Investment'!$I194)))</f>
        <v>8904.1666666666661</v>
      </c>
      <c r="L194" s="150">
        <f>IF($B194="NA","NA",IF($B194&lt;=$D$9,0,MIN(IF($B194=($D$9+1),'Stage (2) Investment'!$I194,SUM($K193:L193)),'Stage (3) Investment:Stage (10) Investment'!$I194)-K194))</f>
        <v>0</v>
      </c>
      <c r="M194" s="150">
        <f>IF($B194="NA","NA",IF($B194&lt;=$D$10,0,MIN(IF($B194=($D$10+1),'Stage (3) Investment'!$I194,SUM($K193:M193)),'Stage (4) Investment:Stage (10) Investment'!$I194)-SUM($K194:L194)))</f>
        <v>0</v>
      </c>
      <c r="N194" s="150">
        <f>IF($B194="NA","NA",IF($B194&lt;=$D$11,0,MIN(IF($B194=($D$11+1),'Stage (4) Investment'!$I194,SUM($K193:N193)),'Stage (5) Investment:Stage (10) Investment'!$I194)-SUM($K194:M194)))</f>
        <v>0</v>
      </c>
      <c r="O194" s="150">
        <f>IF($B194="NA","NA",IF($B194&lt;=$D$12,0,MIN(IF($B194=($D$12+1),'Stage (5) Investment'!$I194,SUM($K193:O193)),'Stage (6) Investment:Stage (10) Investment'!$I194)-SUM($K194:N194)))</f>
        <v>0</v>
      </c>
      <c r="P194" s="150">
        <f>IF($B194="NA","NA",IF($B194&lt;=$D$13,0,MIN(IF($B194=($D$13+1),'Stage (6) Investment'!$I194,SUM($K193:P193)),'Stage (7) Investment:Stage (10) Investment'!$I194)-SUM($K194:O194)))</f>
        <v>0</v>
      </c>
      <c r="Q194" s="150">
        <f>IF($B194="NA","NA",IF($B194&lt;=$D$14,0,MIN(IF($B194=($D$14+1),'Stage (7) Investment'!$I194,SUM($K193:Q193)),'Stage (8) Investment:Stage (10) Investment'!$I194)-SUM($K194:P194)))</f>
        <v>0</v>
      </c>
      <c r="R194" s="150">
        <f>IF($B194="NA","NA",IF($B194&lt;=$D$15,0,MIN(IF($B194=($D$15+1),'Stage (8) Investment'!$I194,SUM($K193:R193)),'Stage (9) Investment:Stage (10) Investment'!$I194)-SUM($K194:Q194)))</f>
        <v>0</v>
      </c>
      <c r="S194" s="150">
        <f>IF($B194="NA","NA",IF($B194&lt;=$D$16,0,MIN(IF($B194=($D$16+1),'Stage (9) Investment'!$I194,SUM($K193:S193)),'Stage (10) Investment'!$I194)-SUM($K194:R194)))</f>
        <v>0</v>
      </c>
      <c r="T194" s="151">
        <f>IF($B194="NA","NA",IF($B194&lt;=$D$17,0,IF($B194=($D$17+1),'Stage (10) Investment'!$I194,SUM($K193:T193))-SUM($K194:S194)))</f>
        <v>0</v>
      </c>
    </row>
    <row r="195" spans="1:20" x14ac:dyDescent="0.2">
      <c r="A195" s="86">
        <f t="shared" si="17"/>
        <v>5235</v>
      </c>
      <c r="B195" s="142">
        <f t="shared" si="18"/>
        <v>173</v>
      </c>
      <c r="C195" s="143">
        <f t="shared" si="20"/>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50">
        <f>IF(B195="NA","NA",IF(ISNUMBER(VLOOKUP($C195,'A4 Investment'!$A$24:$G$33,7,FALSE)),VLOOKUP($C195,'A4 Investment'!$A$24:$G$33,7,FALSE)*'A4 Investment'!G$18/12,0))</f>
        <v>0</v>
      </c>
      <c r="I195" s="151">
        <f t="shared" si="21"/>
        <v>8904.1666666666661</v>
      </c>
      <c r="J195" s="149">
        <f t="shared" si="19"/>
        <v>8904.1666666666661</v>
      </c>
      <c r="K195" s="150">
        <f>IF($B195="NA","NA",IF($B195&lt;=$D$8,0,MIN(IF($B195=($D$8+1),'Stage (1) Investment'!$I195,K194),'Stage (2) Investment:Stage (10) Investment'!$I195)))</f>
        <v>8904.1666666666661</v>
      </c>
      <c r="L195" s="150">
        <f>IF($B195="NA","NA",IF($B195&lt;=$D$9,0,MIN(IF($B195=($D$9+1),'Stage (2) Investment'!$I195,SUM($K194:L194)),'Stage (3) Investment:Stage (10) Investment'!$I195)-K195))</f>
        <v>0</v>
      </c>
      <c r="M195" s="150">
        <f>IF($B195="NA","NA",IF($B195&lt;=$D$10,0,MIN(IF($B195=($D$10+1),'Stage (3) Investment'!$I195,SUM($K194:M194)),'Stage (4) Investment:Stage (10) Investment'!$I195)-SUM($K195:L195)))</f>
        <v>0</v>
      </c>
      <c r="N195" s="150">
        <f>IF($B195="NA","NA",IF($B195&lt;=$D$11,0,MIN(IF($B195=($D$11+1),'Stage (4) Investment'!$I195,SUM($K194:N194)),'Stage (5) Investment:Stage (10) Investment'!$I195)-SUM($K195:M195)))</f>
        <v>0</v>
      </c>
      <c r="O195" s="150">
        <f>IF($B195="NA","NA",IF($B195&lt;=$D$12,0,MIN(IF($B195=($D$12+1),'Stage (5) Investment'!$I195,SUM($K194:O194)),'Stage (6) Investment:Stage (10) Investment'!$I195)-SUM($K195:N195)))</f>
        <v>0</v>
      </c>
      <c r="P195" s="150">
        <f>IF($B195="NA","NA",IF($B195&lt;=$D$13,0,MIN(IF($B195=($D$13+1),'Stage (6) Investment'!$I195,SUM($K194:P194)),'Stage (7) Investment:Stage (10) Investment'!$I195)-SUM($K195:O195)))</f>
        <v>0</v>
      </c>
      <c r="Q195" s="150">
        <f>IF($B195="NA","NA",IF($B195&lt;=$D$14,0,MIN(IF($B195=($D$14+1),'Stage (7) Investment'!$I195,SUM($K194:Q194)),'Stage (8) Investment:Stage (10) Investment'!$I195)-SUM($K195:P195)))</f>
        <v>0</v>
      </c>
      <c r="R195" s="150">
        <f>IF($B195="NA","NA",IF($B195&lt;=$D$15,0,MIN(IF($B195=($D$15+1),'Stage (8) Investment'!$I195,SUM($K194:R194)),'Stage (9) Investment:Stage (10) Investment'!$I195)-SUM($K195:Q195)))</f>
        <v>0</v>
      </c>
      <c r="S195" s="150">
        <f>IF($B195="NA","NA",IF($B195&lt;=$D$16,0,MIN(IF($B195=($D$16+1),'Stage (9) Investment'!$I195,SUM($K194:S194)),'Stage (10) Investment'!$I195)-SUM($K195:R195)))</f>
        <v>0</v>
      </c>
      <c r="T195" s="151">
        <f>IF($B195="NA","NA",IF($B195&lt;=$D$17,0,IF($B195=($D$17+1),'Stage (10) Investment'!$I195,SUM($K194:T194))-SUM($K195:S195)))</f>
        <v>0</v>
      </c>
    </row>
    <row r="196" spans="1:20" x14ac:dyDescent="0.2">
      <c r="A196" s="86">
        <f t="shared" si="17"/>
        <v>5266</v>
      </c>
      <c r="B196" s="142">
        <f t="shared" si="18"/>
        <v>174</v>
      </c>
      <c r="C196" s="143">
        <f t="shared" si="20"/>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50">
        <f>IF(B196="NA","NA",IF(ISNUMBER(VLOOKUP($C196,'A4 Investment'!$A$24:$G$33,7,FALSE)),VLOOKUP($C196,'A4 Investment'!$A$24:$G$33,7,FALSE)*'A4 Investment'!G$18/12,0))</f>
        <v>0</v>
      </c>
      <c r="I196" s="151">
        <f t="shared" si="21"/>
        <v>8904.1666666666661</v>
      </c>
      <c r="J196" s="149">
        <f t="shared" si="19"/>
        <v>8904.1666666666661</v>
      </c>
      <c r="K196" s="150">
        <f>IF($B196="NA","NA",IF($B196&lt;=$D$8,0,MIN(IF($B196=($D$8+1),'Stage (1) Investment'!$I196,K195),'Stage (2) Investment:Stage (10) Investment'!$I196)))</f>
        <v>8904.1666666666661</v>
      </c>
      <c r="L196" s="150">
        <f>IF($B196="NA","NA",IF($B196&lt;=$D$9,0,MIN(IF($B196=($D$9+1),'Stage (2) Investment'!$I196,SUM($K195:L195)),'Stage (3) Investment:Stage (10) Investment'!$I196)-K196))</f>
        <v>0</v>
      </c>
      <c r="M196" s="150">
        <f>IF($B196="NA","NA",IF($B196&lt;=$D$10,0,MIN(IF($B196=($D$10+1),'Stage (3) Investment'!$I196,SUM($K195:M195)),'Stage (4) Investment:Stage (10) Investment'!$I196)-SUM($K196:L196)))</f>
        <v>0</v>
      </c>
      <c r="N196" s="150">
        <f>IF($B196="NA","NA",IF($B196&lt;=$D$11,0,MIN(IF($B196=($D$11+1),'Stage (4) Investment'!$I196,SUM($K195:N195)),'Stage (5) Investment:Stage (10) Investment'!$I196)-SUM($K196:M196)))</f>
        <v>0</v>
      </c>
      <c r="O196" s="150">
        <f>IF($B196="NA","NA",IF($B196&lt;=$D$12,0,MIN(IF($B196=($D$12+1),'Stage (5) Investment'!$I196,SUM($K195:O195)),'Stage (6) Investment:Stage (10) Investment'!$I196)-SUM($K196:N196)))</f>
        <v>0</v>
      </c>
      <c r="P196" s="150">
        <f>IF($B196="NA","NA",IF($B196&lt;=$D$13,0,MIN(IF($B196=($D$13+1),'Stage (6) Investment'!$I196,SUM($K195:P195)),'Stage (7) Investment:Stage (10) Investment'!$I196)-SUM($K196:O196)))</f>
        <v>0</v>
      </c>
      <c r="Q196" s="150">
        <f>IF($B196="NA","NA",IF($B196&lt;=$D$14,0,MIN(IF($B196=($D$14+1),'Stage (7) Investment'!$I196,SUM($K195:Q195)),'Stage (8) Investment:Stage (10) Investment'!$I196)-SUM($K196:P196)))</f>
        <v>0</v>
      </c>
      <c r="R196" s="150">
        <f>IF($B196="NA","NA",IF($B196&lt;=$D$15,0,MIN(IF($B196=($D$15+1),'Stage (8) Investment'!$I196,SUM($K195:R195)),'Stage (9) Investment:Stage (10) Investment'!$I196)-SUM($K196:Q196)))</f>
        <v>0</v>
      </c>
      <c r="S196" s="150">
        <f>IF($B196="NA","NA",IF($B196&lt;=$D$16,0,MIN(IF($B196=($D$16+1),'Stage (9) Investment'!$I196,SUM($K195:S195)),'Stage (10) Investment'!$I196)-SUM($K196:R196)))</f>
        <v>0</v>
      </c>
      <c r="T196" s="151">
        <f>IF($B196="NA","NA",IF($B196&lt;=$D$17,0,IF($B196=($D$17+1),'Stage (10) Investment'!$I196,SUM($K195:T195))-SUM($K196:S196)))</f>
        <v>0</v>
      </c>
    </row>
    <row r="197" spans="1:20" x14ac:dyDescent="0.2">
      <c r="A197" s="86">
        <f t="shared" si="17"/>
        <v>5296</v>
      </c>
      <c r="B197" s="142">
        <f t="shared" si="18"/>
        <v>175</v>
      </c>
      <c r="C197" s="143">
        <f t="shared" si="20"/>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50">
        <f>IF(B197="NA","NA",IF(ISNUMBER(VLOOKUP($C197,'A4 Investment'!$A$24:$G$33,7,FALSE)),VLOOKUP($C197,'A4 Investment'!$A$24:$G$33,7,FALSE)*'A4 Investment'!G$18/12,0))</f>
        <v>0</v>
      </c>
      <c r="I197" s="151">
        <f t="shared" si="21"/>
        <v>8904.1666666666661</v>
      </c>
      <c r="J197" s="149">
        <f t="shared" si="19"/>
        <v>8904.1666666666661</v>
      </c>
      <c r="K197" s="150">
        <f>IF($B197="NA","NA",IF($B197&lt;=$D$8,0,MIN(IF($B197=($D$8+1),'Stage (1) Investment'!$I197,K196),'Stage (2) Investment:Stage (10) Investment'!$I197)))</f>
        <v>8904.1666666666661</v>
      </c>
      <c r="L197" s="150">
        <f>IF($B197="NA","NA",IF($B197&lt;=$D$9,0,MIN(IF($B197=($D$9+1),'Stage (2) Investment'!$I197,SUM($K196:L196)),'Stage (3) Investment:Stage (10) Investment'!$I197)-K197))</f>
        <v>0</v>
      </c>
      <c r="M197" s="150">
        <f>IF($B197="NA","NA",IF($B197&lt;=$D$10,0,MIN(IF($B197=($D$10+1),'Stage (3) Investment'!$I197,SUM($K196:M196)),'Stage (4) Investment:Stage (10) Investment'!$I197)-SUM($K197:L197)))</f>
        <v>0</v>
      </c>
      <c r="N197" s="150">
        <f>IF($B197="NA","NA",IF($B197&lt;=$D$11,0,MIN(IF($B197=($D$11+1),'Stage (4) Investment'!$I197,SUM($K196:N196)),'Stage (5) Investment:Stage (10) Investment'!$I197)-SUM($K197:M197)))</f>
        <v>0</v>
      </c>
      <c r="O197" s="150">
        <f>IF($B197="NA","NA",IF($B197&lt;=$D$12,0,MIN(IF($B197=($D$12+1),'Stage (5) Investment'!$I197,SUM($K196:O196)),'Stage (6) Investment:Stage (10) Investment'!$I197)-SUM($K197:N197)))</f>
        <v>0</v>
      </c>
      <c r="P197" s="150">
        <f>IF($B197="NA","NA",IF($B197&lt;=$D$13,0,MIN(IF($B197=($D$13+1),'Stage (6) Investment'!$I197,SUM($K196:P196)),'Stage (7) Investment:Stage (10) Investment'!$I197)-SUM($K197:O197)))</f>
        <v>0</v>
      </c>
      <c r="Q197" s="150">
        <f>IF($B197="NA","NA",IF($B197&lt;=$D$14,0,MIN(IF($B197=($D$14+1),'Stage (7) Investment'!$I197,SUM($K196:Q196)),'Stage (8) Investment:Stage (10) Investment'!$I197)-SUM($K197:P197)))</f>
        <v>0</v>
      </c>
      <c r="R197" s="150">
        <f>IF($B197="NA","NA",IF($B197&lt;=$D$15,0,MIN(IF($B197=($D$15+1),'Stage (8) Investment'!$I197,SUM($K196:R196)),'Stage (9) Investment:Stage (10) Investment'!$I197)-SUM($K197:Q197)))</f>
        <v>0</v>
      </c>
      <c r="S197" s="150">
        <f>IF($B197="NA","NA",IF($B197&lt;=$D$16,0,MIN(IF($B197=($D$16+1),'Stage (9) Investment'!$I197,SUM($K196:S196)),'Stage (10) Investment'!$I197)-SUM($K197:R197)))</f>
        <v>0</v>
      </c>
      <c r="T197" s="151">
        <f>IF($B197="NA","NA",IF($B197&lt;=$D$17,0,IF($B197=($D$17+1),'Stage (10) Investment'!$I197,SUM($K196:T196))-SUM($K197:S197)))</f>
        <v>0</v>
      </c>
    </row>
    <row r="198" spans="1:20" x14ac:dyDescent="0.2">
      <c r="A198" s="86">
        <f t="shared" si="17"/>
        <v>5327</v>
      </c>
      <c r="B198" s="142">
        <f t="shared" si="18"/>
        <v>176</v>
      </c>
      <c r="C198" s="143">
        <f t="shared" si="20"/>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50">
        <f>IF(B198="NA","NA",IF(ISNUMBER(VLOOKUP($C198,'A4 Investment'!$A$24:$G$33,7,FALSE)),VLOOKUP($C198,'A4 Investment'!$A$24:$G$33,7,FALSE)*'A4 Investment'!G$18/12,0))</f>
        <v>0</v>
      </c>
      <c r="I198" s="151">
        <f t="shared" si="21"/>
        <v>8904.1666666666661</v>
      </c>
      <c r="J198" s="149">
        <f t="shared" si="19"/>
        <v>8904.1666666666661</v>
      </c>
      <c r="K198" s="150">
        <f>IF($B198="NA","NA",IF($B198&lt;=$D$8,0,MIN(IF($B198=($D$8+1),'Stage (1) Investment'!$I198,K197),'Stage (2) Investment:Stage (10) Investment'!$I198)))</f>
        <v>8904.1666666666661</v>
      </c>
      <c r="L198" s="150">
        <f>IF($B198="NA","NA",IF($B198&lt;=$D$9,0,MIN(IF($B198=($D$9+1),'Stage (2) Investment'!$I198,SUM($K197:L197)),'Stage (3) Investment:Stage (10) Investment'!$I198)-K198))</f>
        <v>0</v>
      </c>
      <c r="M198" s="150">
        <f>IF($B198="NA","NA",IF($B198&lt;=$D$10,0,MIN(IF($B198=($D$10+1),'Stage (3) Investment'!$I198,SUM($K197:M197)),'Stage (4) Investment:Stage (10) Investment'!$I198)-SUM($K198:L198)))</f>
        <v>0</v>
      </c>
      <c r="N198" s="150">
        <f>IF($B198="NA","NA",IF($B198&lt;=$D$11,0,MIN(IF($B198=($D$11+1),'Stage (4) Investment'!$I198,SUM($K197:N197)),'Stage (5) Investment:Stage (10) Investment'!$I198)-SUM($K198:M198)))</f>
        <v>0</v>
      </c>
      <c r="O198" s="150">
        <f>IF($B198="NA","NA",IF($B198&lt;=$D$12,0,MIN(IF($B198=($D$12+1),'Stage (5) Investment'!$I198,SUM($K197:O197)),'Stage (6) Investment:Stage (10) Investment'!$I198)-SUM($K198:N198)))</f>
        <v>0</v>
      </c>
      <c r="P198" s="150">
        <f>IF($B198="NA","NA",IF($B198&lt;=$D$13,0,MIN(IF($B198=($D$13+1),'Stage (6) Investment'!$I198,SUM($K197:P197)),'Stage (7) Investment:Stage (10) Investment'!$I198)-SUM($K198:O198)))</f>
        <v>0</v>
      </c>
      <c r="Q198" s="150">
        <f>IF($B198="NA","NA",IF($B198&lt;=$D$14,0,MIN(IF($B198=($D$14+1),'Stage (7) Investment'!$I198,SUM($K197:Q197)),'Stage (8) Investment:Stage (10) Investment'!$I198)-SUM($K198:P198)))</f>
        <v>0</v>
      </c>
      <c r="R198" s="150">
        <f>IF($B198="NA","NA",IF($B198&lt;=$D$15,0,MIN(IF($B198=($D$15+1),'Stage (8) Investment'!$I198,SUM($K197:R197)),'Stage (9) Investment:Stage (10) Investment'!$I198)-SUM($K198:Q198)))</f>
        <v>0</v>
      </c>
      <c r="S198" s="150">
        <f>IF($B198="NA","NA",IF($B198&lt;=$D$16,0,MIN(IF($B198=($D$16+1),'Stage (9) Investment'!$I198,SUM($K197:S197)),'Stage (10) Investment'!$I198)-SUM($K198:R198)))</f>
        <v>0</v>
      </c>
      <c r="T198" s="151">
        <f>IF($B198="NA","NA",IF($B198&lt;=$D$17,0,IF($B198=($D$17+1),'Stage (10) Investment'!$I198,SUM($K197:T197))-SUM($K198:S198)))</f>
        <v>0</v>
      </c>
    </row>
    <row r="199" spans="1:20" x14ac:dyDescent="0.2">
      <c r="A199" s="86">
        <f t="shared" si="17"/>
        <v>5358</v>
      </c>
      <c r="B199" s="142">
        <f t="shared" si="18"/>
        <v>177</v>
      </c>
      <c r="C199" s="143">
        <f t="shared" si="20"/>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50">
        <f>IF(B199="NA","NA",IF(ISNUMBER(VLOOKUP($C199,'A4 Investment'!$A$24:$G$33,7,FALSE)),VLOOKUP($C199,'A4 Investment'!$A$24:$G$33,7,FALSE)*'A4 Investment'!G$18/12,0))</f>
        <v>0</v>
      </c>
      <c r="I199" s="151">
        <f t="shared" si="21"/>
        <v>8904.1666666666661</v>
      </c>
      <c r="J199" s="149">
        <f t="shared" si="19"/>
        <v>8904.1666666666661</v>
      </c>
      <c r="K199" s="150">
        <f>IF($B199="NA","NA",IF($B199&lt;=$D$8,0,MIN(IF($B199=($D$8+1),'Stage (1) Investment'!$I199,K198),'Stage (2) Investment:Stage (10) Investment'!$I199)))</f>
        <v>8904.1666666666661</v>
      </c>
      <c r="L199" s="150">
        <f>IF($B199="NA","NA",IF($B199&lt;=$D$9,0,MIN(IF($B199=($D$9+1),'Stage (2) Investment'!$I199,SUM($K198:L198)),'Stage (3) Investment:Stage (10) Investment'!$I199)-K199))</f>
        <v>0</v>
      </c>
      <c r="M199" s="150">
        <f>IF($B199="NA","NA",IF($B199&lt;=$D$10,0,MIN(IF($B199=($D$10+1),'Stage (3) Investment'!$I199,SUM($K198:M198)),'Stage (4) Investment:Stage (10) Investment'!$I199)-SUM($K199:L199)))</f>
        <v>0</v>
      </c>
      <c r="N199" s="150">
        <f>IF($B199="NA","NA",IF($B199&lt;=$D$11,0,MIN(IF($B199=($D$11+1),'Stage (4) Investment'!$I199,SUM($K198:N198)),'Stage (5) Investment:Stage (10) Investment'!$I199)-SUM($K199:M199)))</f>
        <v>0</v>
      </c>
      <c r="O199" s="150">
        <f>IF($B199="NA","NA",IF($B199&lt;=$D$12,0,MIN(IF($B199=($D$12+1),'Stage (5) Investment'!$I199,SUM($K198:O198)),'Stage (6) Investment:Stage (10) Investment'!$I199)-SUM($K199:N199)))</f>
        <v>0</v>
      </c>
      <c r="P199" s="150">
        <f>IF($B199="NA","NA",IF($B199&lt;=$D$13,0,MIN(IF($B199=($D$13+1),'Stage (6) Investment'!$I199,SUM($K198:P198)),'Stage (7) Investment:Stage (10) Investment'!$I199)-SUM($K199:O199)))</f>
        <v>0</v>
      </c>
      <c r="Q199" s="150">
        <f>IF($B199="NA","NA",IF($B199&lt;=$D$14,0,MIN(IF($B199=($D$14+1),'Stage (7) Investment'!$I199,SUM($K198:Q198)),'Stage (8) Investment:Stage (10) Investment'!$I199)-SUM($K199:P199)))</f>
        <v>0</v>
      </c>
      <c r="R199" s="150">
        <f>IF($B199="NA","NA",IF($B199&lt;=$D$15,0,MIN(IF($B199=($D$15+1),'Stage (8) Investment'!$I199,SUM($K198:R198)),'Stage (9) Investment:Stage (10) Investment'!$I199)-SUM($K199:Q199)))</f>
        <v>0</v>
      </c>
      <c r="S199" s="150">
        <f>IF($B199="NA","NA",IF($B199&lt;=$D$16,0,MIN(IF($B199=($D$16+1),'Stage (9) Investment'!$I199,SUM($K198:S198)),'Stage (10) Investment'!$I199)-SUM($K199:R199)))</f>
        <v>0</v>
      </c>
      <c r="T199" s="151">
        <f>IF($B199="NA","NA",IF($B199&lt;=$D$17,0,IF($B199=($D$17+1),'Stage (10) Investment'!$I199,SUM($K198:T198))-SUM($K199:S199)))</f>
        <v>0</v>
      </c>
    </row>
    <row r="200" spans="1:20" x14ac:dyDescent="0.2">
      <c r="A200" s="86">
        <f t="shared" si="17"/>
        <v>5388</v>
      </c>
      <c r="B200" s="142">
        <f t="shared" si="18"/>
        <v>178</v>
      </c>
      <c r="C200" s="143">
        <f t="shared" si="20"/>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50">
        <f>IF(B200="NA","NA",IF(ISNUMBER(VLOOKUP($C200,'A4 Investment'!$A$24:$G$33,7,FALSE)),VLOOKUP($C200,'A4 Investment'!$A$24:$G$33,7,FALSE)*'A4 Investment'!G$18/12,0))</f>
        <v>0</v>
      </c>
      <c r="I200" s="151">
        <f t="shared" si="21"/>
        <v>8904.1666666666661</v>
      </c>
      <c r="J200" s="149">
        <f t="shared" si="19"/>
        <v>8904.1666666666661</v>
      </c>
      <c r="K200" s="150">
        <f>IF($B200="NA","NA",IF($B200&lt;=$D$8,0,MIN(IF($B200=($D$8+1),'Stage (1) Investment'!$I200,K199),'Stage (2) Investment:Stage (10) Investment'!$I200)))</f>
        <v>8904.1666666666661</v>
      </c>
      <c r="L200" s="150">
        <f>IF($B200="NA","NA",IF($B200&lt;=$D$9,0,MIN(IF($B200=($D$9+1),'Stage (2) Investment'!$I200,SUM($K199:L199)),'Stage (3) Investment:Stage (10) Investment'!$I200)-K200))</f>
        <v>0</v>
      </c>
      <c r="M200" s="150">
        <f>IF($B200="NA","NA",IF($B200&lt;=$D$10,0,MIN(IF($B200=($D$10+1),'Stage (3) Investment'!$I200,SUM($K199:M199)),'Stage (4) Investment:Stage (10) Investment'!$I200)-SUM($K200:L200)))</f>
        <v>0</v>
      </c>
      <c r="N200" s="150">
        <f>IF($B200="NA","NA",IF($B200&lt;=$D$11,0,MIN(IF($B200=($D$11+1),'Stage (4) Investment'!$I200,SUM($K199:N199)),'Stage (5) Investment:Stage (10) Investment'!$I200)-SUM($K200:M200)))</f>
        <v>0</v>
      </c>
      <c r="O200" s="150">
        <f>IF($B200="NA","NA",IF($B200&lt;=$D$12,0,MIN(IF($B200=($D$12+1),'Stage (5) Investment'!$I200,SUM($K199:O199)),'Stage (6) Investment:Stage (10) Investment'!$I200)-SUM($K200:N200)))</f>
        <v>0</v>
      </c>
      <c r="P200" s="150">
        <f>IF($B200="NA","NA",IF($B200&lt;=$D$13,0,MIN(IF($B200=($D$13+1),'Stage (6) Investment'!$I200,SUM($K199:P199)),'Stage (7) Investment:Stage (10) Investment'!$I200)-SUM($K200:O200)))</f>
        <v>0</v>
      </c>
      <c r="Q200" s="150">
        <f>IF($B200="NA","NA",IF($B200&lt;=$D$14,0,MIN(IF($B200=($D$14+1),'Stage (7) Investment'!$I200,SUM($K199:Q199)),'Stage (8) Investment:Stage (10) Investment'!$I200)-SUM($K200:P200)))</f>
        <v>0</v>
      </c>
      <c r="R200" s="150">
        <f>IF($B200="NA","NA",IF($B200&lt;=$D$15,0,MIN(IF($B200=($D$15+1),'Stage (8) Investment'!$I200,SUM($K199:R199)),'Stage (9) Investment:Stage (10) Investment'!$I200)-SUM($K200:Q200)))</f>
        <v>0</v>
      </c>
      <c r="S200" s="150">
        <f>IF($B200="NA","NA",IF($B200&lt;=$D$16,0,MIN(IF($B200=($D$16+1),'Stage (9) Investment'!$I200,SUM($K199:S199)),'Stage (10) Investment'!$I200)-SUM($K200:R200)))</f>
        <v>0</v>
      </c>
      <c r="T200" s="151">
        <f>IF($B200="NA","NA",IF($B200&lt;=$D$17,0,IF($B200=($D$17+1),'Stage (10) Investment'!$I200,SUM($K199:T199))-SUM($K200:S200)))</f>
        <v>0</v>
      </c>
    </row>
    <row r="201" spans="1:20" x14ac:dyDescent="0.2">
      <c r="A201" s="86">
        <f t="shared" si="17"/>
        <v>5419</v>
      </c>
      <c r="B201" s="142">
        <f t="shared" si="18"/>
        <v>179</v>
      </c>
      <c r="C201" s="143">
        <f t="shared" si="20"/>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50">
        <f>IF(B201="NA","NA",IF(ISNUMBER(VLOOKUP($C201,'A4 Investment'!$A$24:$G$33,7,FALSE)),VLOOKUP($C201,'A4 Investment'!$A$24:$G$33,7,FALSE)*'A4 Investment'!G$18/12,0))</f>
        <v>0</v>
      </c>
      <c r="I201" s="151">
        <f t="shared" si="21"/>
        <v>8904.1666666666661</v>
      </c>
      <c r="J201" s="149">
        <f t="shared" si="19"/>
        <v>8904.1666666666661</v>
      </c>
      <c r="K201" s="150">
        <f>IF($B201="NA","NA",IF($B201&lt;=$D$8,0,MIN(IF($B201=($D$8+1),'Stage (1) Investment'!$I201,K200),'Stage (2) Investment:Stage (10) Investment'!$I201)))</f>
        <v>8904.1666666666661</v>
      </c>
      <c r="L201" s="150">
        <f>IF($B201="NA","NA",IF($B201&lt;=$D$9,0,MIN(IF($B201=($D$9+1),'Stage (2) Investment'!$I201,SUM($K200:L200)),'Stage (3) Investment:Stage (10) Investment'!$I201)-K201))</f>
        <v>0</v>
      </c>
      <c r="M201" s="150">
        <f>IF($B201="NA","NA",IF($B201&lt;=$D$10,0,MIN(IF($B201=($D$10+1),'Stage (3) Investment'!$I201,SUM($K200:M200)),'Stage (4) Investment:Stage (10) Investment'!$I201)-SUM($K201:L201)))</f>
        <v>0</v>
      </c>
      <c r="N201" s="150">
        <f>IF($B201="NA","NA",IF($B201&lt;=$D$11,0,MIN(IF($B201=($D$11+1),'Stage (4) Investment'!$I201,SUM($K200:N200)),'Stage (5) Investment:Stage (10) Investment'!$I201)-SUM($K201:M201)))</f>
        <v>0</v>
      </c>
      <c r="O201" s="150">
        <f>IF($B201="NA","NA",IF($B201&lt;=$D$12,0,MIN(IF($B201=($D$12+1),'Stage (5) Investment'!$I201,SUM($K200:O200)),'Stage (6) Investment:Stage (10) Investment'!$I201)-SUM($K201:N201)))</f>
        <v>0</v>
      </c>
      <c r="P201" s="150">
        <f>IF($B201="NA","NA",IF($B201&lt;=$D$13,0,MIN(IF($B201=($D$13+1),'Stage (6) Investment'!$I201,SUM($K200:P200)),'Stage (7) Investment:Stage (10) Investment'!$I201)-SUM($K201:O201)))</f>
        <v>0</v>
      </c>
      <c r="Q201" s="150">
        <f>IF($B201="NA","NA",IF($B201&lt;=$D$14,0,MIN(IF($B201=($D$14+1),'Stage (7) Investment'!$I201,SUM($K200:Q200)),'Stage (8) Investment:Stage (10) Investment'!$I201)-SUM($K201:P201)))</f>
        <v>0</v>
      </c>
      <c r="R201" s="150">
        <f>IF($B201="NA","NA",IF($B201&lt;=$D$15,0,MIN(IF($B201=($D$15+1),'Stage (8) Investment'!$I201,SUM($K200:R200)),'Stage (9) Investment:Stage (10) Investment'!$I201)-SUM($K201:Q201)))</f>
        <v>0</v>
      </c>
      <c r="S201" s="150">
        <f>IF($B201="NA","NA",IF($B201&lt;=$D$16,0,MIN(IF($B201=($D$16+1),'Stage (9) Investment'!$I201,SUM($K200:S200)),'Stage (10) Investment'!$I201)-SUM($K201:R201)))</f>
        <v>0</v>
      </c>
      <c r="T201" s="151">
        <f>IF($B201="NA","NA",IF($B201&lt;=$D$17,0,IF($B201=($D$17+1),'Stage (10) Investment'!$I201,SUM($K200:T200))-SUM($K201:S201)))</f>
        <v>0</v>
      </c>
    </row>
    <row r="202" spans="1:20" x14ac:dyDescent="0.2">
      <c r="A202" s="86">
        <f t="shared" si="17"/>
        <v>5449</v>
      </c>
      <c r="B202" s="142">
        <f t="shared" si="18"/>
        <v>180</v>
      </c>
      <c r="C202" s="143">
        <f t="shared" si="20"/>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50">
        <f>IF(B202="NA","NA",IF(ISNUMBER(VLOOKUP($C202,'A4 Investment'!$A$24:$G$33,7,FALSE)),VLOOKUP($C202,'A4 Investment'!$A$24:$G$33,7,FALSE)*'A4 Investment'!G$18/12,0))</f>
        <v>0</v>
      </c>
      <c r="I202" s="151">
        <f t="shared" si="21"/>
        <v>8904.1666666666661</v>
      </c>
      <c r="J202" s="149">
        <f t="shared" si="19"/>
        <v>8904.1666666666661</v>
      </c>
      <c r="K202" s="150">
        <f>IF($B202="NA","NA",IF($B202&lt;=$D$8,0,MIN(IF($B202=($D$8+1),'Stage (1) Investment'!$I202,K201),'Stage (2) Investment:Stage (10) Investment'!$I202)))</f>
        <v>8904.1666666666661</v>
      </c>
      <c r="L202" s="150">
        <f>IF($B202="NA","NA",IF($B202&lt;=$D$9,0,MIN(IF($B202=($D$9+1),'Stage (2) Investment'!$I202,SUM($K201:L201)),'Stage (3) Investment:Stage (10) Investment'!$I202)-K202))</f>
        <v>0</v>
      </c>
      <c r="M202" s="150">
        <f>IF($B202="NA","NA",IF($B202&lt;=$D$10,0,MIN(IF($B202=($D$10+1),'Stage (3) Investment'!$I202,SUM($K201:M201)),'Stage (4) Investment:Stage (10) Investment'!$I202)-SUM($K202:L202)))</f>
        <v>0</v>
      </c>
      <c r="N202" s="150">
        <f>IF($B202="NA","NA",IF($B202&lt;=$D$11,0,MIN(IF($B202=($D$11+1),'Stage (4) Investment'!$I202,SUM($K201:N201)),'Stage (5) Investment:Stage (10) Investment'!$I202)-SUM($K202:M202)))</f>
        <v>0</v>
      </c>
      <c r="O202" s="150">
        <f>IF($B202="NA","NA",IF($B202&lt;=$D$12,0,MIN(IF($B202=($D$12+1),'Stage (5) Investment'!$I202,SUM($K201:O201)),'Stage (6) Investment:Stage (10) Investment'!$I202)-SUM($K202:N202)))</f>
        <v>0</v>
      </c>
      <c r="P202" s="150">
        <f>IF($B202="NA","NA",IF($B202&lt;=$D$13,0,MIN(IF($B202=($D$13+1),'Stage (6) Investment'!$I202,SUM($K201:P201)),'Stage (7) Investment:Stage (10) Investment'!$I202)-SUM($K202:O202)))</f>
        <v>0</v>
      </c>
      <c r="Q202" s="150">
        <f>IF($B202="NA","NA",IF($B202&lt;=$D$14,0,MIN(IF($B202=($D$14+1),'Stage (7) Investment'!$I202,SUM($K201:Q201)),'Stage (8) Investment:Stage (10) Investment'!$I202)-SUM($K202:P202)))</f>
        <v>0</v>
      </c>
      <c r="R202" s="150">
        <f>IF($B202="NA","NA",IF($B202&lt;=$D$15,0,MIN(IF($B202=($D$15+1),'Stage (8) Investment'!$I202,SUM($K201:R201)),'Stage (9) Investment:Stage (10) Investment'!$I202)-SUM($K202:Q202)))</f>
        <v>0</v>
      </c>
      <c r="S202" s="150">
        <f>IF($B202="NA","NA",IF($B202&lt;=$D$16,0,MIN(IF($B202=($D$16+1),'Stage (9) Investment'!$I202,SUM($K201:S201)),'Stage (10) Investment'!$I202)-SUM($K202:R202)))</f>
        <v>0</v>
      </c>
      <c r="T202" s="151">
        <f>IF($B202="NA","NA",IF($B202&lt;=$D$17,0,IF($B202=($D$17+1),'Stage (10) Investment'!$I202,SUM($K201:T201))-SUM($K202:S202)))</f>
        <v>0</v>
      </c>
    </row>
    <row r="203" spans="1:20" x14ac:dyDescent="0.2">
      <c r="A203" s="86">
        <f t="shared" si="17"/>
        <v>5480</v>
      </c>
      <c r="B203" s="142">
        <f t="shared" si="18"/>
        <v>181</v>
      </c>
      <c r="C203" s="143">
        <f t="shared" si="20"/>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50">
        <f>IF(B203="NA","NA",IF(ISNUMBER(VLOOKUP($C203,'A4 Investment'!$A$24:$G$33,7,FALSE)),VLOOKUP($C203,'A4 Investment'!$A$24:$G$33,7,FALSE)*'A4 Investment'!G$18/12,0))</f>
        <v>0</v>
      </c>
      <c r="I203" s="151">
        <f t="shared" si="21"/>
        <v>8904.1666666666661</v>
      </c>
      <c r="J203" s="149">
        <f t="shared" si="19"/>
        <v>8904.1666666666661</v>
      </c>
      <c r="K203" s="150">
        <f>IF($B203="NA","NA",IF($B203&lt;=$D$8,0,MIN(IF($B203=($D$8+1),'Stage (1) Investment'!$I203,K202),'Stage (2) Investment:Stage (10) Investment'!$I203)))</f>
        <v>8904.1666666666661</v>
      </c>
      <c r="L203" s="150">
        <f>IF($B203="NA","NA",IF($B203&lt;=$D$9,0,MIN(IF($B203=($D$9+1),'Stage (2) Investment'!$I203,SUM($K202:L202)),'Stage (3) Investment:Stage (10) Investment'!$I203)-K203))</f>
        <v>0</v>
      </c>
      <c r="M203" s="150">
        <f>IF($B203="NA","NA",IF($B203&lt;=$D$10,0,MIN(IF($B203=($D$10+1),'Stage (3) Investment'!$I203,SUM($K202:M202)),'Stage (4) Investment:Stage (10) Investment'!$I203)-SUM($K203:L203)))</f>
        <v>0</v>
      </c>
      <c r="N203" s="150">
        <f>IF($B203="NA","NA",IF($B203&lt;=$D$11,0,MIN(IF($B203=($D$11+1),'Stage (4) Investment'!$I203,SUM($K202:N202)),'Stage (5) Investment:Stage (10) Investment'!$I203)-SUM($K203:M203)))</f>
        <v>0</v>
      </c>
      <c r="O203" s="150">
        <f>IF($B203="NA","NA",IF($B203&lt;=$D$12,0,MIN(IF($B203=($D$12+1),'Stage (5) Investment'!$I203,SUM($K202:O202)),'Stage (6) Investment:Stage (10) Investment'!$I203)-SUM($K203:N203)))</f>
        <v>0</v>
      </c>
      <c r="P203" s="150">
        <f>IF($B203="NA","NA",IF($B203&lt;=$D$13,0,MIN(IF($B203=($D$13+1),'Stage (6) Investment'!$I203,SUM($K202:P202)),'Stage (7) Investment:Stage (10) Investment'!$I203)-SUM($K203:O203)))</f>
        <v>0</v>
      </c>
      <c r="Q203" s="150">
        <f>IF($B203="NA","NA",IF($B203&lt;=$D$14,0,MIN(IF($B203=($D$14+1),'Stage (7) Investment'!$I203,SUM($K202:Q202)),'Stage (8) Investment:Stage (10) Investment'!$I203)-SUM($K203:P203)))</f>
        <v>0</v>
      </c>
      <c r="R203" s="150">
        <f>IF($B203="NA","NA",IF($B203&lt;=$D$15,0,MIN(IF($B203=($D$15+1),'Stage (8) Investment'!$I203,SUM($K202:R202)),'Stage (9) Investment:Stage (10) Investment'!$I203)-SUM($K203:Q203)))</f>
        <v>0</v>
      </c>
      <c r="S203" s="150">
        <f>IF($B203="NA","NA",IF($B203&lt;=$D$16,0,MIN(IF($B203=($D$16+1),'Stage (9) Investment'!$I203,SUM($K202:S202)),'Stage (10) Investment'!$I203)-SUM($K203:R203)))</f>
        <v>0</v>
      </c>
      <c r="T203" s="151">
        <f>IF($B203="NA","NA",IF($B203&lt;=$D$17,0,IF($B203=($D$17+1),'Stage (10) Investment'!$I203,SUM($K202:T202))-SUM($K203:S203)))</f>
        <v>0</v>
      </c>
    </row>
    <row r="204" spans="1:20" x14ac:dyDescent="0.2">
      <c r="A204" s="86">
        <f t="shared" si="17"/>
        <v>5511</v>
      </c>
      <c r="B204" s="142">
        <f t="shared" si="18"/>
        <v>182</v>
      </c>
      <c r="C204" s="143">
        <f t="shared" si="20"/>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50">
        <f>IF(B204="NA","NA",IF(ISNUMBER(VLOOKUP($C204,'A4 Investment'!$A$24:$G$33,7,FALSE)),VLOOKUP($C204,'A4 Investment'!$A$24:$G$33,7,FALSE)*'A4 Investment'!G$18/12,0))</f>
        <v>0</v>
      </c>
      <c r="I204" s="151">
        <f t="shared" si="21"/>
        <v>8904.1666666666661</v>
      </c>
      <c r="J204" s="149">
        <f t="shared" si="19"/>
        <v>8904.1666666666661</v>
      </c>
      <c r="K204" s="150">
        <f>IF($B204="NA","NA",IF($B204&lt;=$D$8,0,MIN(IF($B204=($D$8+1),'Stage (1) Investment'!$I204,K203),'Stage (2) Investment:Stage (10) Investment'!$I204)))</f>
        <v>8904.1666666666661</v>
      </c>
      <c r="L204" s="150">
        <f>IF($B204="NA","NA",IF($B204&lt;=$D$9,0,MIN(IF($B204=($D$9+1),'Stage (2) Investment'!$I204,SUM($K203:L203)),'Stage (3) Investment:Stage (10) Investment'!$I204)-K204))</f>
        <v>0</v>
      </c>
      <c r="M204" s="150">
        <f>IF($B204="NA","NA",IF($B204&lt;=$D$10,0,MIN(IF($B204=($D$10+1),'Stage (3) Investment'!$I204,SUM($K203:M203)),'Stage (4) Investment:Stage (10) Investment'!$I204)-SUM($K204:L204)))</f>
        <v>0</v>
      </c>
      <c r="N204" s="150">
        <f>IF($B204="NA","NA",IF($B204&lt;=$D$11,0,MIN(IF($B204=($D$11+1),'Stage (4) Investment'!$I204,SUM($K203:N203)),'Stage (5) Investment:Stage (10) Investment'!$I204)-SUM($K204:M204)))</f>
        <v>0</v>
      </c>
      <c r="O204" s="150">
        <f>IF($B204="NA","NA",IF($B204&lt;=$D$12,0,MIN(IF($B204=($D$12+1),'Stage (5) Investment'!$I204,SUM($K203:O203)),'Stage (6) Investment:Stage (10) Investment'!$I204)-SUM($K204:N204)))</f>
        <v>0</v>
      </c>
      <c r="P204" s="150">
        <f>IF($B204="NA","NA",IF($B204&lt;=$D$13,0,MIN(IF($B204=($D$13+1),'Stage (6) Investment'!$I204,SUM($K203:P203)),'Stage (7) Investment:Stage (10) Investment'!$I204)-SUM($K204:O204)))</f>
        <v>0</v>
      </c>
      <c r="Q204" s="150">
        <f>IF($B204="NA","NA",IF($B204&lt;=$D$14,0,MIN(IF($B204=($D$14+1),'Stage (7) Investment'!$I204,SUM($K203:Q203)),'Stage (8) Investment:Stage (10) Investment'!$I204)-SUM($K204:P204)))</f>
        <v>0</v>
      </c>
      <c r="R204" s="150">
        <f>IF($B204="NA","NA",IF($B204&lt;=$D$15,0,MIN(IF($B204=($D$15+1),'Stage (8) Investment'!$I204,SUM($K203:R203)),'Stage (9) Investment:Stage (10) Investment'!$I204)-SUM($K204:Q204)))</f>
        <v>0</v>
      </c>
      <c r="S204" s="150">
        <f>IF($B204="NA","NA",IF($B204&lt;=$D$16,0,MIN(IF($B204=($D$16+1),'Stage (9) Investment'!$I204,SUM($K203:S203)),'Stage (10) Investment'!$I204)-SUM($K204:R204)))</f>
        <v>0</v>
      </c>
      <c r="T204" s="151">
        <f>IF($B204="NA","NA",IF($B204&lt;=$D$17,0,IF($B204=($D$17+1),'Stage (10) Investment'!$I204,SUM($K203:T203))-SUM($K204:S204)))</f>
        <v>0</v>
      </c>
    </row>
    <row r="205" spans="1:20" x14ac:dyDescent="0.2">
      <c r="A205" s="86">
        <f t="shared" si="17"/>
        <v>5539</v>
      </c>
      <c r="B205" s="142">
        <f t="shared" si="18"/>
        <v>183</v>
      </c>
      <c r="C205" s="143">
        <f t="shared" si="20"/>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50">
        <f>IF(B205="NA","NA",IF(ISNUMBER(VLOOKUP($C205,'A4 Investment'!$A$24:$G$33,7,FALSE)),VLOOKUP($C205,'A4 Investment'!$A$24:$G$33,7,FALSE)*'A4 Investment'!G$18/12,0))</f>
        <v>0</v>
      </c>
      <c r="I205" s="151">
        <f t="shared" si="21"/>
        <v>8904.1666666666661</v>
      </c>
      <c r="J205" s="149">
        <f t="shared" si="19"/>
        <v>8904.1666666666661</v>
      </c>
      <c r="K205" s="150">
        <f>IF($B205="NA","NA",IF($B205&lt;=$D$8,0,MIN(IF($B205=($D$8+1),'Stage (1) Investment'!$I205,K204),'Stage (2) Investment:Stage (10) Investment'!$I205)))</f>
        <v>8904.1666666666661</v>
      </c>
      <c r="L205" s="150">
        <f>IF($B205="NA","NA",IF($B205&lt;=$D$9,0,MIN(IF($B205=($D$9+1),'Stage (2) Investment'!$I205,SUM($K204:L204)),'Stage (3) Investment:Stage (10) Investment'!$I205)-K205))</f>
        <v>0</v>
      </c>
      <c r="M205" s="150">
        <f>IF($B205="NA","NA",IF($B205&lt;=$D$10,0,MIN(IF($B205=($D$10+1),'Stage (3) Investment'!$I205,SUM($K204:M204)),'Stage (4) Investment:Stage (10) Investment'!$I205)-SUM($K205:L205)))</f>
        <v>0</v>
      </c>
      <c r="N205" s="150">
        <f>IF($B205="NA","NA",IF($B205&lt;=$D$11,0,MIN(IF($B205=($D$11+1),'Stage (4) Investment'!$I205,SUM($K204:N204)),'Stage (5) Investment:Stage (10) Investment'!$I205)-SUM($K205:M205)))</f>
        <v>0</v>
      </c>
      <c r="O205" s="150">
        <f>IF($B205="NA","NA",IF($B205&lt;=$D$12,0,MIN(IF($B205=($D$12+1),'Stage (5) Investment'!$I205,SUM($K204:O204)),'Stage (6) Investment:Stage (10) Investment'!$I205)-SUM($K205:N205)))</f>
        <v>0</v>
      </c>
      <c r="P205" s="150">
        <f>IF($B205="NA","NA",IF($B205&lt;=$D$13,0,MIN(IF($B205=($D$13+1),'Stage (6) Investment'!$I205,SUM($K204:P204)),'Stage (7) Investment:Stage (10) Investment'!$I205)-SUM($K205:O205)))</f>
        <v>0</v>
      </c>
      <c r="Q205" s="150">
        <f>IF($B205="NA","NA",IF($B205&lt;=$D$14,0,MIN(IF($B205=($D$14+1),'Stage (7) Investment'!$I205,SUM($K204:Q204)),'Stage (8) Investment:Stage (10) Investment'!$I205)-SUM($K205:P205)))</f>
        <v>0</v>
      </c>
      <c r="R205" s="150">
        <f>IF($B205="NA","NA",IF($B205&lt;=$D$15,0,MIN(IF($B205=($D$15+1),'Stage (8) Investment'!$I205,SUM($K204:R204)),'Stage (9) Investment:Stage (10) Investment'!$I205)-SUM($K205:Q205)))</f>
        <v>0</v>
      </c>
      <c r="S205" s="150">
        <f>IF($B205="NA","NA",IF($B205&lt;=$D$16,0,MIN(IF($B205=($D$16+1),'Stage (9) Investment'!$I205,SUM($K204:S204)),'Stage (10) Investment'!$I205)-SUM($K205:R205)))</f>
        <v>0</v>
      </c>
      <c r="T205" s="151">
        <f>IF($B205="NA","NA",IF($B205&lt;=$D$17,0,IF($B205=($D$17+1),'Stage (10) Investment'!$I205,SUM($K204:T204))-SUM($K205:S205)))</f>
        <v>0</v>
      </c>
    </row>
    <row r="206" spans="1:20" x14ac:dyDescent="0.2">
      <c r="A206" s="86">
        <f t="shared" si="17"/>
        <v>5570</v>
      </c>
      <c r="B206" s="142">
        <f t="shared" si="18"/>
        <v>184</v>
      </c>
      <c r="C206" s="143">
        <f t="shared" si="20"/>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50">
        <f>IF(B206="NA","NA",IF(ISNUMBER(VLOOKUP($C206,'A4 Investment'!$A$24:$G$33,7,FALSE)),VLOOKUP($C206,'A4 Investment'!$A$24:$G$33,7,FALSE)*'A4 Investment'!G$18/12,0))</f>
        <v>0</v>
      </c>
      <c r="I206" s="151">
        <f t="shared" si="21"/>
        <v>8904.1666666666661</v>
      </c>
      <c r="J206" s="149">
        <f t="shared" si="19"/>
        <v>8904.1666666666661</v>
      </c>
      <c r="K206" s="150">
        <f>IF($B206="NA","NA",IF($B206&lt;=$D$8,0,MIN(IF($B206=($D$8+1),'Stage (1) Investment'!$I206,K205),'Stage (2) Investment:Stage (10) Investment'!$I206)))</f>
        <v>8904.1666666666661</v>
      </c>
      <c r="L206" s="150">
        <f>IF($B206="NA","NA",IF($B206&lt;=$D$9,0,MIN(IF($B206=($D$9+1),'Stage (2) Investment'!$I206,SUM($K205:L205)),'Stage (3) Investment:Stage (10) Investment'!$I206)-K206))</f>
        <v>0</v>
      </c>
      <c r="M206" s="150">
        <f>IF($B206="NA","NA",IF($B206&lt;=$D$10,0,MIN(IF($B206=($D$10+1),'Stage (3) Investment'!$I206,SUM($K205:M205)),'Stage (4) Investment:Stage (10) Investment'!$I206)-SUM($K206:L206)))</f>
        <v>0</v>
      </c>
      <c r="N206" s="150">
        <f>IF($B206="NA","NA",IF($B206&lt;=$D$11,0,MIN(IF($B206=($D$11+1),'Stage (4) Investment'!$I206,SUM($K205:N205)),'Stage (5) Investment:Stage (10) Investment'!$I206)-SUM($K206:M206)))</f>
        <v>0</v>
      </c>
      <c r="O206" s="150">
        <f>IF($B206="NA","NA",IF($B206&lt;=$D$12,0,MIN(IF($B206=($D$12+1),'Stage (5) Investment'!$I206,SUM($K205:O205)),'Stage (6) Investment:Stage (10) Investment'!$I206)-SUM($K206:N206)))</f>
        <v>0</v>
      </c>
      <c r="P206" s="150">
        <f>IF($B206="NA","NA",IF($B206&lt;=$D$13,0,MIN(IF($B206=($D$13+1),'Stage (6) Investment'!$I206,SUM($K205:P205)),'Stage (7) Investment:Stage (10) Investment'!$I206)-SUM($K206:O206)))</f>
        <v>0</v>
      </c>
      <c r="Q206" s="150">
        <f>IF($B206="NA","NA",IF($B206&lt;=$D$14,0,MIN(IF($B206=($D$14+1),'Stage (7) Investment'!$I206,SUM($K205:Q205)),'Stage (8) Investment:Stage (10) Investment'!$I206)-SUM($K206:P206)))</f>
        <v>0</v>
      </c>
      <c r="R206" s="150">
        <f>IF($B206="NA","NA",IF($B206&lt;=$D$15,0,MIN(IF($B206=($D$15+1),'Stage (8) Investment'!$I206,SUM($K205:R205)),'Stage (9) Investment:Stage (10) Investment'!$I206)-SUM($K206:Q206)))</f>
        <v>0</v>
      </c>
      <c r="S206" s="150">
        <f>IF($B206="NA","NA",IF($B206&lt;=$D$16,0,MIN(IF($B206=($D$16+1),'Stage (9) Investment'!$I206,SUM($K205:S205)),'Stage (10) Investment'!$I206)-SUM($K206:R206)))</f>
        <v>0</v>
      </c>
      <c r="T206" s="151">
        <f>IF($B206="NA","NA",IF($B206&lt;=$D$17,0,IF($B206=($D$17+1),'Stage (10) Investment'!$I206,SUM($K205:T205))-SUM($K206:S206)))</f>
        <v>0</v>
      </c>
    </row>
    <row r="207" spans="1:20" x14ac:dyDescent="0.2">
      <c r="A207" s="86">
        <f t="shared" si="17"/>
        <v>5600</v>
      </c>
      <c r="B207" s="142">
        <f t="shared" si="18"/>
        <v>185</v>
      </c>
      <c r="C207" s="143">
        <f t="shared" si="20"/>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50">
        <f>IF(B207="NA","NA",IF(ISNUMBER(VLOOKUP($C207,'A4 Investment'!$A$24:$G$33,7,FALSE)),VLOOKUP($C207,'A4 Investment'!$A$24:$G$33,7,FALSE)*'A4 Investment'!G$18/12,0))</f>
        <v>0</v>
      </c>
      <c r="I207" s="151">
        <f t="shared" si="21"/>
        <v>8904.1666666666661</v>
      </c>
      <c r="J207" s="149">
        <f t="shared" si="19"/>
        <v>8904.1666666666661</v>
      </c>
      <c r="K207" s="150">
        <f>IF($B207="NA","NA",IF($B207&lt;=$D$8,0,MIN(IF($B207=($D$8+1),'Stage (1) Investment'!$I207,K206),'Stage (2) Investment:Stage (10) Investment'!$I207)))</f>
        <v>8904.1666666666661</v>
      </c>
      <c r="L207" s="150">
        <f>IF($B207="NA","NA",IF($B207&lt;=$D$9,0,MIN(IF($B207=($D$9+1),'Stage (2) Investment'!$I207,SUM($K206:L206)),'Stage (3) Investment:Stage (10) Investment'!$I207)-K207))</f>
        <v>0</v>
      </c>
      <c r="M207" s="150">
        <f>IF($B207="NA","NA",IF($B207&lt;=$D$10,0,MIN(IF($B207=($D$10+1),'Stage (3) Investment'!$I207,SUM($K206:M206)),'Stage (4) Investment:Stage (10) Investment'!$I207)-SUM($K207:L207)))</f>
        <v>0</v>
      </c>
      <c r="N207" s="150">
        <f>IF($B207="NA","NA",IF($B207&lt;=$D$11,0,MIN(IF($B207=($D$11+1),'Stage (4) Investment'!$I207,SUM($K206:N206)),'Stage (5) Investment:Stage (10) Investment'!$I207)-SUM($K207:M207)))</f>
        <v>0</v>
      </c>
      <c r="O207" s="150">
        <f>IF($B207="NA","NA",IF($B207&lt;=$D$12,0,MIN(IF($B207=($D$12+1),'Stage (5) Investment'!$I207,SUM($K206:O206)),'Stage (6) Investment:Stage (10) Investment'!$I207)-SUM($K207:N207)))</f>
        <v>0</v>
      </c>
      <c r="P207" s="150">
        <f>IF($B207="NA","NA",IF($B207&lt;=$D$13,0,MIN(IF($B207=($D$13+1),'Stage (6) Investment'!$I207,SUM($K206:P206)),'Stage (7) Investment:Stage (10) Investment'!$I207)-SUM($K207:O207)))</f>
        <v>0</v>
      </c>
      <c r="Q207" s="150">
        <f>IF($B207="NA","NA",IF($B207&lt;=$D$14,0,MIN(IF($B207=($D$14+1),'Stage (7) Investment'!$I207,SUM($K206:Q206)),'Stage (8) Investment:Stage (10) Investment'!$I207)-SUM($K207:P207)))</f>
        <v>0</v>
      </c>
      <c r="R207" s="150">
        <f>IF($B207="NA","NA",IF($B207&lt;=$D$15,0,MIN(IF($B207=($D$15+1),'Stage (8) Investment'!$I207,SUM($K206:R206)),'Stage (9) Investment:Stage (10) Investment'!$I207)-SUM($K207:Q207)))</f>
        <v>0</v>
      </c>
      <c r="S207" s="150">
        <f>IF($B207="NA","NA",IF($B207&lt;=$D$16,0,MIN(IF($B207=($D$16+1),'Stage (9) Investment'!$I207,SUM($K206:S206)),'Stage (10) Investment'!$I207)-SUM($K207:R207)))</f>
        <v>0</v>
      </c>
      <c r="T207" s="151">
        <f>IF($B207="NA","NA",IF($B207&lt;=$D$17,0,IF($B207=($D$17+1),'Stage (10) Investment'!$I207,SUM($K206:T206))-SUM($K207:S207)))</f>
        <v>0</v>
      </c>
    </row>
    <row r="208" spans="1:20" x14ac:dyDescent="0.2">
      <c r="A208" s="86">
        <f t="shared" si="17"/>
        <v>5631</v>
      </c>
      <c r="B208" s="142">
        <f t="shared" si="18"/>
        <v>186</v>
      </c>
      <c r="C208" s="143">
        <f t="shared" si="20"/>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50">
        <f>IF(B208="NA","NA",IF(ISNUMBER(VLOOKUP($C208,'A4 Investment'!$A$24:$G$33,7,FALSE)),VLOOKUP($C208,'A4 Investment'!$A$24:$G$33,7,FALSE)*'A4 Investment'!G$18/12,0))</f>
        <v>0</v>
      </c>
      <c r="I208" s="151">
        <f t="shared" si="21"/>
        <v>8904.1666666666661</v>
      </c>
      <c r="J208" s="149">
        <f t="shared" si="19"/>
        <v>8904.1666666666661</v>
      </c>
      <c r="K208" s="150">
        <f>IF($B208="NA","NA",IF($B208&lt;=$D$8,0,MIN(IF($B208=($D$8+1),'Stage (1) Investment'!$I208,K207),'Stage (2) Investment:Stage (10) Investment'!$I208)))</f>
        <v>8904.1666666666661</v>
      </c>
      <c r="L208" s="150">
        <f>IF($B208="NA","NA",IF($B208&lt;=$D$9,0,MIN(IF($B208=($D$9+1),'Stage (2) Investment'!$I208,SUM($K207:L207)),'Stage (3) Investment:Stage (10) Investment'!$I208)-K208))</f>
        <v>0</v>
      </c>
      <c r="M208" s="150">
        <f>IF($B208="NA","NA",IF($B208&lt;=$D$10,0,MIN(IF($B208=($D$10+1),'Stage (3) Investment'!$I208,SUM($K207:M207)),'Stage (4) Investment:Stage (10) Investment'!$I208)-SUM($K208:L208)))</f>
        <v>0</v>
      </c>
      <c r="N208" s="150">
        <f>IF($B208="NA","NA",IF($B208&lt;=$D$11,0,MIN(IF($B208=($D$11+1),'Stage (4) Investment'!$I208,SUM($K207:N207)),'Stage (5) Investment:Stage (10) Investment'!$I208)-SUM($K208:M208)))</f>
        <v>0</v>
      </c>
      <c r="O208" s="150">
        <f>IF($B208="NA","NA",IF($B208&lt;=$D$12,0,MIN(IF($B208=($D$12+1),'Stage (5) Investment'!$I208,SUM($K207:O207)),'Stage (6) Investment:Stage (10) Investment'!$I208)-SUM($K208:N208)))</f>
        <v>0</v>
      </c>
      <c r="P208" s="150">
        <f>IF($B208="NA","NA",IF($B208&lt;=$D$13,0,MIN(IF($B208=($D$13+1),'Stage (6) Investment'!$I208,SUM($K207:P207)),'Stage (7) Investment:Stage (10) Investment'!$I208)-SUM($K208:O208)))</f>
        <v>0</v>
      </c>
      <c r="Q208" s="150">
        <f>IF($B208="NA","NA",IF($B208&lt;=$D$14,0,MIN(IF($B208=($D$14+1),'Stage (7) Investment'!$I208,SUM($K207:Q207)),'Stage (8) Investment:Stage (10) Investment'!$I208)-SUM($K208:P208)))</f>
        <v>0</v>
      </c>
      <c r="R208" s="150">
        <f>IF($B208="NA","NA",IF($B208&lt;=$D$15,0,MIN(IF($B208=($D$15+1),'Stage (8) Investment'!$I208,SUM($K207:R207)),'Stage (9) Investment:Stage (10) Investment'!$I208)-SUM($K208:Q208)))</f>
        <v>0</v>
      </c>
      <c r="S208" s="150">
        <f>IF($B208="NA","NA",IF($B208&lt;=$D$16,0,MIN(IF($B208=($D$16+1),'Stage (9) Investment'!$I208,SUM($K207:S207)),'Stage (10) Investment'!$I208)-SUM($K208:R208)))</f>
        <v>0</v>
      </c>
      <c r="T208" s="151">
        <f>IF($B208="NA","NA",IF($B208&lt;=$D$17,0,IF($B208=($D$17+1),'Stage (10) Investment'!$I208,SUM($K207:T207))-SUM($K208:S208)))</f>
        <v>0</v>
      </c>
    </row>
    <row r="209" spans="1:20" x14ac:dyDescent="0.2">
      <c r="A209" s="86">
        <f t="shared" si="17"/>
        <v>5661</v>
      </c>
      <c r="B209" s="142">
        <f t="shared" si="18"/>
        <v>187</v>
      </c>
      <c r="C209" s="143">
        <f t="shared" si="20"/>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50">
        <f>IF(B209="NA","NA",IF(ISNUMBER(VLOOKUP($C209,'A4 Investment'!$A$24:$G$33,7,FALSE)),VLOOKUP($C209,'A4 Investment'!$A$24:$G$33,7,FALSE)*'A4 Investment'!G$18/12,0))</f>
        <v>0</v>
      </c>
      <c r="I209" s="151">
        <f t="shared" si="21"/>
        <v>8904.1666666666661</v>
      </c>
      <c r="J209" s="149">
        <f t="shared" si="19"/>
        <v>8904.1666666666661</v>
      </c>
      <c r="K209" s="150">
        <f>IF($B209="NA","NA",IF($B209&lt;=$D$8,0,MIN(IF($B209=($D$8+1),'Stage (1) Investment'!$I209,K208),'Stage (2) Investment:Stage (10) Investment'!$I209)))</f>
        <v>8904.1666666666661</v>
      </c>
      <c r="L209" s="150">
        <f>IF($B209="NA","NA",IF($B209&lt;=$D$9,0,MIN(IF($B209=($D$9+1),'Stage (2) Investment'!$I209,SUM($K208:L208)),'Stage (3) Investment:Stage (10) Investment'!$I209)-K209))</f>
        <v>0</v>
      </c>
      <c r="M209" s="150">
        <f>IF($B209="NA","NA",IF($B209&lt;=$D$10,0,MIN(IF($B209=($D$10+1),'Stage (3) Investment'!$I209,SUM($K208:M208)),'Stage (4) Investment:Stage (10) Investment'!$I209)-SUM($K209:L209)))</f>
        <v>0</v>
      </c>
      <c r="N209" s="150">
        <f>IF($B209="NA","NA",IF($B209&lt;=$D$11,0,MIN(IF($B209=($D$11+1),'Stage (4) Investment'!$I209,SUM($K208:N208)),'Stage (5) Investment:Stage (10) Investment'!$I209)-SUM($K209:M209)))</f>
        <v>0</v>
      </c>
      <c r="O209" s="150">
        <f>IF($B209="NA","NA",IF($B209&lt;=$D$12,0,MIN(IF($B209=($D$12+1),'Stage (5) Investment'!$I209,SUM($K208:O208)),'Stage (6) Investment:Stage (10) Investment'!$I209)-SUM($K209:N209)))</f>
        <v>0</v>
      </c>
      <c r="P209" s="150">
        <f>IF($B209="NA","NA",IF($B209&lt;=$D$13,0,MIN(IF($B209=($D$13+1),'Stage (6) Investment'!$I209,SUM($K208:P208)),'Stage (7) Investment:Stage (10) Investment'!$I209)-SUM($K209:O209)))</f>
        <v>0</v>
      </c>
      <c r="Q209" s="150">
        <f>IF($B209="NA","NA",IF($B209&lt;=$D$14,0,MIN(IF($B209=($D$14+1),'Stage (7) Investment'!$I209,SUM($K208:Q208)),'Stage (8) Investment:Stage (10) Investment'!$I209)-SUM($K209:P209)))</f>
        <v>0</v>
      </c>
      <c r="R209" s="150">
        <f>IF($B209="NA","NA",IF($B209&lt;=$D$15,0,MIN(IF($B209=($D$15+1),'Stage (8) Investment'!$I209,SUM($K208:R208)),'Stage (9) Investment:Stage (10) Investment'!$I209)-SUM($K209:Q209)))</f>
        <v>0</v>
      </c>
      <c r="S209" s="150">
        <f>IF($B209="NA","NA",IF($B209&lt;=$D$16,0,MIN(IF($B209=($D$16+1),'Stage (9) Investment'!$I209,SUM($K208:S208)),'Stage (10) Investment'!$I209)-SUM($K209:R209)))</f>
        <v>0</v>
      </c>
      <c r="T209" s="151">
        <f>IF($B209="NA","NA",IF($B209&lt;=$D$17,0,IF($B209=($D$17+1),'Stage (10) Investment'!$I209,SUM($K208:T208))-SUM($K209:S209)))</f>
        <v>0</v>
      </c>
    </row>
    <row r="210" spans="1:20" x14ac:dyDescent="0.2">
      <c r="A210" s="86">
        <f t="shared" si="17"/>
        <v>5692</v>
      </c>
      <c r="B210" s="142">
        <f t="shared" si="18"/>
        <v>188</v>
      </c>
      <c r="C210" s="143">
        <f t="shared" si="20"/>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50">
        <f>IF(B210="NA","NA",IF(ISNUMBER(VLOOKUP($C210,'A4 Investment'!$A$24:$G$33,7,FALSE)),VLOOKUP($C210,'A4 Investment'!$A$24:$G$33,7,FALSE)*'A4 Investment'!G$18/12,0))</f>
        <v>0</v>
      </c>
      <c r="I210" s="151">
        <f t="shared" si="21"/>
        <v>8904.1666666666661</v>
      </c>
      <c r="J210" s="149">
        <f t="shared" si="19"/>
        <v>8904.1666666666661</v>
      </c>
      <c r="K210" s="150">
        <f>IF($B210="NA","NA",IF($B210&lt;=$D$8,0,MIN(IF($B210=($D$8+1),'Stage (1) Investment'!$I210,K209),'Stage (2) Investment:Stage (10) Investment'!$I210)))</f>
        <v>8904.1666666666661</v>
      </c>
      <c r="L210" s="150">
        <f>IF($B210="NA","NA",IF($B210&lt;=$D$9,0,MIN(IF($B210=($D$9+1),'Stage (2) Investment'!$I210,SUM($K209:L209)),'Stage (3) Investment:Stage (10) Investment'!$I210)-K210))</f>
        <v>0</v>
      </c>
      <c r="M210" s="150">
        <f>IF($B210="NA","NA",IF($B210&lt;=$D$10,0,MIN(IF($B210=($D$10+1),'Stage (3) Investment'!$I210,SUM($K209:M209)),'Stage (4) Investment:Stage (10) Investment'!$I210)-SUM($K210:L210)))</f>
        <v>0</v>
      </c>
      <c r="N210" s="150">
        <f>IF($B210="NA","NA",IF($B210&lt;=$D$11,0,MIN(IF($B210=($D$11+1),'Stage (4) Investment'!$I210,SUM($K209:N209)),'Stage (5) Investment:Stage (10) Investment'!$I210)-SUM($K210:M210)))</f>
        <v>0</v>
      </c>
      <c r="O210" s="150">
        <f>IF($B210="NA","NA",IF($B210&lt;=$D$12,0,MIN(IF($B210=($D$12+1),'Stage (5) Investment'!$I210,SUM($K209:O209)),'Stage (6) Investment:Stage (10) Investment'!$I210)-SUM($K210:N210)))</f>
        <v>0</v>
      </c>
      <c r="P210" s="150">
        <f>IF($B210="NA","NA",IF($B210&lt;=$D$13,0,MIN(IF($B210=($D$13+1),'Stage (6) Investment'!$I210,SUM($K209:P209)),'Stage (7) Investment:Stage (10) Investment'!$I210)-SUM($K210:O210)))</f>
        <v>0</v>
      </c>
      <c r="Q210" s="150">
        <f>IF($B210="NA","NA",IF($B210&lt;=$D$14,0,MIN(IF($B210=($D$14+1),'Stage (7) Investment'!$I210,SUM($K209:Q209)),'Stage (8) Investment:Stage (10) Investment'!$I210)-SUM($K210:P210)))</f>
        <v>0</v>
      </c>
      <c r="R210" s="150">
        <f>IF($B210="NA","NA",IF($B210&lt;=$D$15,0,MIN(IF($B210=($D$15+1),'Stage (8) Investment'!$I210,SUM($K209:R209)),'Stage (9) Investment:Stage (10) Investment'!$I210)-SUM($K210:Q210)))</f>
        <v>0</v>
      </c>
      <c r="S210" s="150">
        <f>IF($B210="NA","NA",IF($B210&lt;=$D$16,0,MIN(IF($B210=($D$16+1),'Stage (9) Investment'!$I210,SUM($K209:S209)),'Stage (10) Investment'!$I210)-SUM($K210:R210)))</f>
        <v>0</v>
      </c>
      <c r="T210" s="151">
        <f>IF($B210="NA","NA",IF($B210&lt;=$D$17,0,IF($B210=($D$17+1),'Stage (10) Investment'!$I210,SUM($K209:T209))-SUM($K210:S210)))</f>
        <v>0</v>
      </c>
    </row>
    <row r="211" spans="1:20" x14ac:dyDescent="0.2">
      <c r="A211" s="86">
        <f t="shared" si="17"/>
        <v>5723</v>
      </c>
      <c r="B211" s="142">
        <f t="shared" si="18"/>
        <v>189</v>
      </c>
      <c r="C211" s="143">
        <f t="shared" ref="C211:C242" si="22">IF(B211="NA","NA",MATCH(B211-1,$D$8:$D$18,1))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50">
        <f>IF(B211="NA","NA",IF(ISNUMBER(VLOOKUP($C211,'A4 Investment'!$A$24:$G$33,7,FALSE)),VLOOKUP($C211,'A4 Investment'!$A$24:$G$33,7,FALSE)*'A4 Investment'!G$18/12,0))</f>
        <v>0</v>
      </c>
      <c r="I211" s="151">
        <f t="shared" ref="I211:I242" si="23">IF(B211="NA","NA",SUM(D211:H211))</f>
        <v>8904.1666666666661</v>
      </c>
      <c r="J211" s="149">
        <f t="shared" si="19"/>
        <v>8904.1666666666661</v>
      </c>
      <c r="K211" s="150">
        <f>IF($B211="NA","NA",IF($B211&lt;=$D$8,0,MIN(IF($B211=($D$8+1),'Stage (1) Investment'!$I211,K210),'Stage (2) Investment:Stage (10) Investment'!$I211)))</f>
        <v>8904.1666666666661</v>
      </c>
      <c r="L211" s="150">
        <f>IF($B211="NA","NA",IF($B211&lt;=$D$9,0,MIN(IF($B211=($D$9+1),'Stage (2) Investment'!$I211,SUM($K210:L210)),'Stage (3) Investment:Stage (10) Investment'!$I211)-K211))</f>
        <v>0</v>
      </c>
      <c r="M211" s="150">
        <f>IF($B211="NA","NA",IF($B211&lt;=$D$10,0,MIN(IF($B211=($D$10+1),'Stage (3) Investment'!$I211,SUM($K210:M210)),'Stage (4) Investment:Stage (10) Investment'!$I211)-SUM($K211:L211)))</f>
        <v>0</v>
      </c>
      <c r="N211" s="150">
        <f>IF($B211="NA","NA",IF($B211&lt;=$D$11,0,MIN(IF($B211=($D$11+1),'Stage (4) Investment'!$I211,SUM($K210:N210)),'Stage (5) Investment:Stage (10) Investment'!$I211)-SUM($K211:M211)))</f>
        <v>0</v>
      </c>
      <c r="O211" s="150">
        <f>IF($B211="NA","NA",IF($B211&lt;=$D$12,0,MIN(IF($B211=($D$12+1),'Stage (5) Investment'!$I211,SUM($K210:O210)),'Stage (6) Investment:Stage (10) Investment'!$I211)-SUM($K211:N211)))</f>
        <v>0</v>
      </c>
      <c r="P211" s="150">
        <f>IF($B211="NA","NA",IF($B211&lt;=$D$13,0,MIN(IF($B211=($D$13+1),'Stage (6) Investment'!$I211,SUM($K210:P210)),'Stage (7) Investment:Stage (10) Investment'!$I211)-SUM($K211:O211)))</f>
        <v>0</v>
      </c>
      <c r="Q211" s="150">
        <f>IF($B211="NA","NA",IF($B211&lt;=$D$14,0,MIN(IF($B211=($D$14+1),'Stage (7) Investment'!$I211,SUM($K210:Q210)),'Stage (8) Investment:Stage (10) Investment'!$I211)-SUM($K211:P211)))</f>
        <v>0</v>
      </c>
      <c r="R211" s="150">
        <f>IF($B211="NA","NA",IF($B211&lt;=$D$15,0,MIN(IF($B211=($D$15+1),'Stage (8) Investment'!$I211,SUM($K210:R210)),'Stage (9) Investment:Stage (10) Investment'!$I211)-SUM($K211:Q211)))</f>
        <v>0</v>
      </c>
      <c r="S211" s="150">
        <f>IF($B211="NA","NA",IF($B211&lt;=$D$16,0,MIN(IF($B211=($D$16+1),'Stage (9) Investment'!$I211,SUM($K210:S210)),'Stage (10) Investment'!$I211)-SUM($K211:R211)))</f>
        <v>0</v>
      </c>
      <c r="T211" s="151">
        <f>IF($B211="NA","NA",IF($B211&lt;=$D$17,0,IF($B211=($D$17+1),'Stage (10) Investment'!$I211,SUM($K210:T210))-SUM($K211:S211)))</f>
        <v>0</v>
      </c>
    </row>
    <row r="212" spans="1:20" x14ac:dyDescent="0.2">
      <c r="A212" s="86">
        <f t="shared" ref="A212:A262" si="24">IF(B212="NA","NA",DATE(YEAR(A211),MONTH(A211)+1,1))</f>
        <v>5753</v>
      </c>
      <c r="B212" s="142">
        <f t="shared" ref="B212:B262" si="25">IF(B211="NA","NA",IF((B211+1)&gt;MAX($D$9:$D$18),"NA",B211+1))</f>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50">
        <f>IF(B212="NA","NA",IF(ISNUMBER(VLOOKUP($C212,'A4 Investment'!$A$24:$G$33,7,FALSE)),VLOOKUP($C212,'A4 Investment'!$A$24:$G$33,7,FALSE)*'A4 Investment'!G$18/12,0))</f>
        <v>0</v>
      </c>
      <c r="I212" s="151">
        <f t="shared" si="23"/>
        <v>8904.1666666666661</v>
      </c>
      <c r="J212" s="149">
        <f t="shared" si="19"/>
        <v>8904.1666666666661</v>
      </c>
      <c r="K212" s="150">
        <f>IF($B212="NA","NA",IF($B212&lt;=$D$8,0,MIN(IF($B212=($D$8+1),'Stage (1) Investment'!$I212,K211),'Stage (2) Investment:Stage (10) Investment'!$I212)))</f>
        <v>8904.1666666666661</v>
      </c>
      <c r="L212" s="150">
        <f>IF($B212="NA","NA",IF($B212&lt;=$D$9,0,MIN(IF($B212=($D$9+1),'Stage (2) Investment'!$I212,SUM($K211:L211)),'Stage (3) Investment:Stage (10) Investment'!$I212)-K212))</f>
        <v>0</v>
      </c>
      <c r="M212" s="150">
        <f>IF($B212="NA","NA",IF($B212&lt;=$D$10,0,MIN(IF($B212=($D$10+1),'Stage (3) Investment'!$I212,SUM($K211:M211)),'Stage (4) Investment:Stage (10) Investment'!$I212)-SUM($K212:L212)))</f>
        <v>0</v>
      </c>
      <c r="N212" s="150">
        <f>IF($B212="NA","NA",IF($B212&lt;=$D$11,0,MIN(IF($B212=($D$11+1),'Stage (4) Investment'!$I212,SUM($K211:N211)),'Stage (5) Investment:Stage (10) Investment'!$I212)-SUM($K212:M212)))</f>
        <v>0</v>
      </c>
      <c r="O212" s="150">
        <f>IF($B212="NA","NA",IF($B212&lt;=$D$12,0,MIN(IF($B212=($D$12+1),'Stage (5) Investment'!$I212,SUM($K211:O211)),'Stage (6) Investment:Stage (10) Investment'!$I212)-SUM($K212:N212)))</f>
        <v>0</v>
      </c>
      <c r="P212" s="150">
        <f>IF($B212="NA","NA",IF($B212&lt;=$D$13,0,MIN(IF($B212=($D$13+1),'Stage (6) Investment'!$I212,SUM($K211:P211)),'Stage (7) Investment:Stage (10) Investment'!$I212)-SUM($K212:O212)))</f>
        <v>0</v>
      </c>
      <c r="Q212" s="150">
        <f>IF($B212="NA","NA",IF($B212&lt;=$D$14,0,MIN(IF($B212=($D$14+1),'Stage (7) Investment'!$I212,SUM($K211:Q211)),'Stage (8) Investment:Stage (10) Investment'!$I212)-SUM($K212:P212)))</f>
        <v>0</v>
      </c>
      <c r="R212" s="150">
        <f>IF($B212="NA","NA",IF($B212&lt;=$D$15,0,MIN(IF($B212=($D$15+1),'Stage (8) Investment'!$I212,SUM($K211:R211)),'Stage (9) Investment:Stage (10) Investment'!$I212)-SUM($K212:Q212)))</f>
        <v>0</v>
      </c>
      <c r="S212" s="150">
        <f>IF($B212="NA","NA",IF($B212&lt;=$D$16,0,MIN(IF($B212=($D$16+1),'Stage (9) Investment'!$I212,SUM($K211:S211)),'Stage (10) Investment'!$I212)-SUM($K212:R212)))</f>
        <v>0</v>
      </c>
      <c r="T212" s="151">
        <f>IF($B212="NA","NA",IF($B212&lt;=$D$17,0,IF($B212=($D$17+1),'Stage (10) Investment'!$I212,SUM($K211:T211))-SUM($K212:S212)))</f>
        <v>0</v>
      </c>
    </row>
    <row r="213" spans="1:20" x14ac:dyDescent="0.2">
      <c r="A213" s="86">
        <f t="shared" si="24"/>
        <v>5784</v>
      </c>
      <c r="B213" s="142">
        <f t="shared" si="25"/>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50">
        <f>IF(B213="NA","NA",IF(ISNUMBER(VLOOKUP($C213,'A4 Investment'!$A$24:$G$33,7,FALSE)),VLOOKUP($C213,'A4 Investment'!$A$24:$G$33,7,FALSE)*'A4 Investment'!G$18/12,0))</f>
        <v>0</v>
      </c>
      <c r="I213" s="151">
        <f t="shared" si="23"/>
        <v>8904.1666666666661</v>
      </c>
      <c r="J213" s="149">
        <f t="shared" si="19"/>
        <v>8904.1666666666661</v>
      </c>
      <c r="K213" s="150">
        <f>IF($B213="NA","NA",IF($B213&lt;=$D$8,0,MIN(IF($B213=($D$8+1),'Stage (1) Investment'!$I213,K212),'Stage (2) Investment:Stage (10) Investment'!$I213)))</f>
        <v>8904.1666666666661</v>
      </c>
      <c r="L213" s="150">
        <f>IF($B213="NA","NA",IF($B213&lt;=$D$9,0,MIN(IF($B213=($D$9+1),'Stage (2) Investment'!$I213,SUM($K212:L212)),'Stage (3) Investment:Stage (10) Investment'!$I213)-K213))</f>
        <v>0</v>
      </c>
      <c r="M213" s="150">
        <f>IF($B213="NA","NA",IF($B213&lt;=$D$10,0,MIN(IF($B213=($D$10+1),'Stage (3) Investment'!$I213,SUM($K212:M212)),'Stage (4) Investment:Stage (10) Investment'!$I213)-SUM($K213:L213)))</f>
        <v>0</v>
      </c>
      <c r="N213" s="150">
        <f>IF($B213="NA","NA",IF($B213&lt;=$D$11,0,MIN(IF($B213=($D$11+1),'Stage (4) Investment'!$I213,SUM($K212:N212)),'Stage (5) Investment:Stage (10) Investment'!$I213)-SUM($K213:M213)))</f>
        <v>0</v>
      </c>
      <c r="O213" s="150">
        <f>IF($B213="NA","NA",IF($B213&lt;=$D$12,0,MIN(IF($B213=($D$12+1),'Stage (5) Investment'!$I213,SUM($K212:O212)),'Stage (6) Investment:Stage (10) Investment'!$I213)-SUM($K213:N213)))</f>
        <v>0</v>
      </c>
      <c r="P213" s="150">
        <f>IF($B213="NA","NA",IF($B213&lt;=$D$13,0,MIN(IF($B213=($D$13+1),'Stage (6) Investment'!$I213,SUM($K212:P212)),'Stage (7) Investment:Stage (10) Investment'!$I213)-SUM($K213:O213)))</f>
        <v>0</v>
      </c>
      <c r="Q213" s="150">
        <f>IF($B213="NA","NA",IF($B213&lt;=$D$14,0,MIN(IF($B213=($D$14+1),'Stage (7) Investment'!$I213,SUM($K212:Q212)),'Stage (8) Investment:Stage (10) Investment'!$I213)-SUM($K213:P213)))</f>
        <v>0</v>
      </c>
      <c r="R213" s="150">
        <f>IF($B213="NA","NA",IF($B213&lt;=$D$15,0,MIN(IF($B213=($D$15+1),'Stage (8) Investment'!$I213,SUM($K212:R212)),'Stage (9) Investment:Stage (10) Investment'!$I213)-SUM($K213:Q213)))</f>
        <v>0</v>
      </c>
      <c r="S213" s="150">
        <f>IF($B213="NA","NA",IF($B213&lt;=$D$16,0,MIN(IF($B213=($D$16+1),'Stage (9) Investment'!$I213,SUM($K212:S212)),'Stage (10) Investment'!$I213)-SUM($K213:R213)))</f>
        <v>0</v>
      </c>
      <c r="T213" s="151">
        <f>IF($B213="NA","NA",IF($B213&lt;=$D$17,0,IF($B213=($D$17+1),'Stage (10) Investment'!$I213,SUM($K212:T212))-SUM($K213:S213)))</f>
        <v>0</v>
      </c>
    </row>
    <row r="214" spans="1:20" x14ac:dyDescent="0.2">
      <c r="A214" s="86">
        <f t="shared" si="24"/>
        <v>5814</v>
      </c>
      <c r="B214" s="142">
        <f t="shared" si="25"/>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50">
        <f>IF(B214="NA","NA",IF(ISNUMBER(VLOOKUP($C214,'A4 Investment'!$A$24:$G$33,7,FALSE)),VLOOKUP($C214,'A4 Investment'!$A$24:$G$33,7,FALSE)*'A4 Investment'!G$18/12,0))</f>
        <v>0</v>
      </c>
      <c r="I214" s="151">
        <f t="shared" si="23"/>
        <v>8904.1666666666661</v>
      </c>
      <c r="J214" s="149">
        <f t="shared" si="19"/>
        <v>8904.1666666666661</v>
      </c>
      <c r="K214" s="150">
        <f>IF($B214="NA","NA",IF($B214&lt;=$D$8,0,MIN(IF($B214=($D$8+1),'Stage (1) Investment'!$I214,K213),'Stage (2) Investment:Stage (10) Investment'!$I214)))</f>
        <v>8904.1666666666661</v>
      </c>
      <c r="L214" s="150">
        <f>IF($B214="NA","NA",IF($B214&lt;=$D$9,0,MIN(IF($B214=($D$9+1),'Stage (2) Investment'!$I214,SUM($K213:L213)),'Stage (3) Investment:Stage (10) Investment'!$I214)-K214))</f>
        <v>0</v>
      </c>
      <c r="M214" s="150">
        <f>IF($B214="NA","NA",IF($B214&lt;=$D$10,0,MIN(IF($B214=($D$10+1),'Stage (3) Investment'!$I214,SUM($K213:M213)),'Stage (4) Investment:Stage (10) Investment'!$I214)-SUM($K214:L214)))</f>
        <v>0</v>
      </c>
      <c r="N214" s="150">
        <f>IF($B214="NA","NA",IF($B214&lt;=$D$11,0,MIN(IF($B214=($D$11+1),'Stage (4) Investment'!$I214,SUM($K213:N213)),'Stage (5) Investment:Stage (10) Investment'!$I214)-SUM($K214:M214)))</f>
        <v>0</v>
      </c>
      <c r="O214" s="150">
        <f>IF($B214="NA","NA",IF($B214&lt;=$D$12,0,MIN(IF($B214=($D$12+1),'Stage (5) Investment'!$I214,SUM($K213:O213)),'Stage (6) Investment:Stage (10) Investment'!$I214)-SUM($K214:N214)))</f>
        <v>0</v>
      </c>
      <c r="P214" s="150">
        <f>IF($B214="NA","NA",IF($B214&lt;=$D$13,0,MIN(IF($B214=($D$13+1),'Stage (6) Investment'!$I214,SUM($K213:P213)),'Stage (7) Investment:Stage (10) Investment'!$I214)-SUM($K214:O214)))</f>
        <v>0</v>
      </c>
      <c r="Q214" s="150">
        <f>IF($B214="NA","NA",IF($B214&lt;=$D$14,0,MIN(IF($B214=($D$14+1),'Stage (7) Investment'!$I214,SUM($K213:Q213)),'Stage (8) Investment:Stage (10) Investment'!$I214)-SUM($K214:P214)))</f>
        <v>0</v>
      </c>
      <c r="R214" s="150">
        <f>IF($B214="NA","NA",IF($B214&lt;=$D$15,0,MIN(IF($B214=($D$15+1),'Stage (8) Investment'!$I214,SUM($K213:R213)),'Stage (9) Investment:Stage (10) Investment'!$I214)-SUM($K214:Q214)))</f>
        <v>0</v>
      </c>
      <c r="S214" s="150">
        <f>IF($B214="NA","NA",IF($B214&lt;=$D$16,0,MIN(IF($B214=($D$16+1),'Stage (9) Investment'!$I214,SUM($K213:S213)),'Stage (10) Investment'!$I214)-SUM($K214:R214)))</f>
        <v>0</v>
      </c>
      <c r="T214" s="151">
        <f>IF($B214="NA","NA",IF($B214&lt;=$D$17,0,IF($B214=($D$17+1),'Stage (10) Investment'!$I214,SUM($K213:T213))-SUM($K214:S214)))</f>
        <v>0</v>
      </c>
    </row>
    <row r="215" spans="1:20" x14ac:dyDescent="0.2">
      <c r="A215" s="86">
        <f t="shared" si="24"/>
        <v>5845</v>
      </c>
      <c r="B215" s="142">
        <f t="shared" si="25"/>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50">
        <f>IF(B215="NA","NA",IF(ISNUMBER(VLOOKUP($C215,'A4 Investment'!$A$24:$G$33,7,FALSE)),VLOOKUP($C215,'A4 Investment'!$A$24:$G$33,7,FALSE)*'A4 Investment'!G$18/12,0))</f>
        <v>0</v>
      </c>
      <c r="I215" s="151">
        <f t="shared" si="23"/>
        <v>8904.1666666666661</v>
      </c>
      <c r="J215" s="149">
        <f t="shared" ref="J215:J262" si="26">IF($B215="NA","NA",SUM(K215:T215))</f>
        <v>8904.1666666666661</v>
      </c>
      <c r="K215" s="150">
        <f>IF($B215="NA","NA",IF($B215&lt;=$D$8,0,MIN(IF($B215=($D$8+1),'Stage (1) Investment'!$I215,K214),'Stage (2) Investment:Stage (10) Investment'!$I215)))</f>
        <v>8904.1666666666661</v>
      </c>
      <c r="L215" s="150">
        <f>IF($B215="NA","NA",IF($B215&lt;=$D$9,0,MIN(IF($B215=($D$9+1),'Stage (2) Investment'!$I215,SUM($K214:L214)),'Stage (3) Investment:Stage (10) Investment'!$I215)-K215))</f>
        <v>0</v>
      </c>
      <c r="M215" s="150">
        <f>IF($B215="NA","NA",IF($B215&lt;=$D$10,0,MIN(IF($B215=($D$10+1),'Stage (3) Investment'!$I215,SUM($K214:M214)),'Stage (4) Investment:Stage (10) Investment'!$I215)-SUM($K215:L215)))</f>
        <v>0</v>
      </c>
      <c r="N215" s="150">
        <f>IF($B215="NA","NA",IF($B215&lt;=$D$11,0,MIN(IF($B215=($D$11+1),'Stage (4) Investment'!$I215,SUM($K214:N214)),'Stage (5) Investment:Stage (10) Investment'!$I215)-SUM($K215:M215)))</f>
        <v>0</v>
      </c>
      <c r="O215" s="150">
        <f>IF($B215="NA","NA",IF($B215&lt;=$D$12,0,MIN(IF($B215=($D$12+1),'Stage (5) Investment'!$I215,SUM($K214:O214)),'Stage (6) Investment:Stage (10) Investment'!$I215)-SUM($K215:N215)))</f>
        <v>0</v>
      </c>
      <c r="P215" s="150">
        <f>IF($B215="NA","NA",IF($B215&lt;=$D$13,0,MIN(IF($B215=($D$13+1),'Stage (6) Investment'!$I215,SUM($K214:P214)),'Stage (7) Investment:Stage (10) Investment'!$I215)-SUM($K215:O215)))</f>
        <v>0</v>
      </c>
      <c r="Q215" s="150">
        <f>IF($B215="NA","NA",IF($B215&lt;=$D$14,0,MIN(IF($B215=($D$14+1),'Stage (7) Investment'!$I215,SUM($K214:Q214)),'Stage (8) Investment:Stage (10) Investment'!$I215)-SUM($K215:P215)))</f>
        <v>0</v>
      </c>
      <c r="R215" s="150">
        <f>IF($B215="NA","NA",IF($B215&lt;=$D$15,0,MIN(IF($B215=($D$15+1),'Stage (8) Investment'!$I215,SUM($K214:R214)),'Stage (9) Investment:Stage (10) Investment'!$I215)-SUM($K215:Q215)))</f>
        <v>0</v>
      </c>
      <c r="S215" s="150">
        <f>IF($B215="NA","NA",IF($B215&lt;=$D$16,0,MIN(IF($B215=($D$16+1),'Stage (9) Investment'!$I215,SUM($K214:S214)),'Stage (10) Investment'!$I215)-SUM($K215:R215)))</f>
        <v>0</v>
      </c>
      <c r="T215" s="151">
        <f>IF($B215="NA","NA",IF($B215&lt;=$D$17,0,IF($B215=($D$17+1),'Stage (10) Investment'!$I215,SUM($K214:T214))-SUM($K215:S215)))</f>
        <v>0</v>
      </c>
    </row>
    <row r="216" spans="1:20" x14ac:dyDescent="0.2">
      <c r="A216" s="86">
        <f t="shared" si="24"/>
        <v>5876</v>
      </c>
      <c r="B216" s="142">
        <f t="shared" si="25"/>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50">
        <f>IF(B216="NA","NA",IF(ISNUMBER(VLOOKUP($C216,'A4 Investment'!$A$24:$G$33,7,FALSE)),VLOOKUP($C216,'A4 Investment'!$A$24:$G$33,7,FALSE)*'A4 Investment'!G$18/12,0))</f>
        <v>0</v>
      </c>
      <c r="I216" s="151">
        <f t="shared" si="23"/>
        <v>8904.1666666666661</v>
      </c>
      <c r="J216" s="149">
        <f t="shared" si="26"/>
        <v>8904.1666666666661</v>
      </c>
      <c r="K216" s="150">
        <f>IF($B216="NA","NA",IF($B216&lt;=$D$8,0,MIN(IF($B216=($D$8+1),'Stage (1) Investment'!$I216,K215),'Stage (2) Investment:Stage (10) Investment'!$I216)))</f>
        <v>8904.1666666666661</v>
      </c>
      <c r="L216" s="150">
        <f>IF($B216="NA","NA",IF($B216&lt;=$D$9,0,MIN(IF($B216=($D$9+1),'Stage (2) Investment'!$I216,SUM($K215:L215)),'Stage (3) Investment:Stage (10) Investment'!$I216)-K216))</f>
        <v>0</v>
      </c>
      <c r="M216" s="150">
        <f>IF($B216="NA","NA",IF($B216&lt;=$D$10,0,MIN(IF($B216=($D$10+1),'Stage (3) Investment'!$I216,SUM($K215:M215)),'Stage (4) Investment:Stage (10) Investment'!$I216)-SUM($K216:L216)))</f>
        <v>0</v>
      </c>
      <c r="N216" s="150">
        <f>IF($B216="NA","NA",IF($B216&lt;=$D$11,0,MIN(IF($B216=($D$11+1),'Stage (4) Investment'!$I216,SUM($K215:N215)),'Stage (5) Investment:Stage (10) Investment'!$I216)-SUM($K216:M216)))</f>
        <v>0</v>
      </c>
      <c r="O216" s="150">
        <f>IF($B216="NA","NA",IF($B216&lt;=$D$12,0,MIN(IF($B216=($D$12+1),'Stage (5) Investment'!$I216,SUM($K215:O215)),'Stage (6) Investment:Stage (10) Investment'!$I216)-SUM($K216:N216)))</f>
        <v>0</v>
      </c>
      <c r="P216" s="150">
        <f>IF($B216="NA","NA",IF($B216&lt;=$D$13,0,MIN(IF($B216=($D$13+1),'Stage (6) Investment'!$I216,SUM($K215:P215)),'Stage (7) Investment:Stage (10) Investment'!$I216)-SUM($K216:O216)))</f>
        <v>0</v>
      </c>
      <c r="Q216" s="150">
        <f>IF($B216="NA","NA",IF($B216&lt;=$D$14,0,MIN(IF($B216=($D$14+1),'Stage (7) Investment'!$I216,SUM($K215:Q215)),'Stage (8) Investment:Stage (10) Investment'!$I216)-SUM($K216:P216)))</f>
        <v>0</v>
      </c>
      <c r="R216" s="150">
        <f>IF($B216="NA","NA",IF($B216&lt;=$D$15,0,MIN(IF($B216=($D$15+1),'Stage (8) Investment'!$I216,SUM($K215:R215)),'Stage (9) Investment:Stage (10) Investment'!$I216)-SUM($K216:Q216)))</f>
        <v>0</v>
      </c>
      <c r="S216" s="150">
        <f>IF($B216="NA","NA",IF($B216&lt;=$D$16,0,MIN(IF($B216=($D$16+1),'Stage (9) Investment'!$I216,SUM($K215:S215)),'Stage (10) Investment'!$I216)-SUM($K216:R216)))</f>
        <v>0</v>
      </c>
      <c r="T216" s="151">
        <f>IF($B216="NA","NA",IF($B216&lt;=$D$17,0,IF($B216=($D$17+1),'Stage (10) Investment'!$I216,SUM($K215:T215))-SUM($K216:S216)))</f>
        <v>0</v>
      </c>
    </row>
    <row r="217" spans="1:20" x14ac:dyDescent="0.2">
      <c r="A217" s="86">
        <f t="shared" si="24"/>
        <v>5905</v>
      </c>
      <c r="B217" s="142">
        <f t="shared" si="25"/>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50">
        <f>IF(B217="NA","NA",IF(ISNUMBER(VLOOKUP($C217,'A4 Investment'!$A$24:$G$33,7,FALSE)),VLOOKUP($C217,'A4 Investment'!$A$24:$G$33,7,FALSE)*'A4 Investment'!G$18/12,0))</f>
        <v>0</v>
      </c>
      <c r="I217" s="151">
        <f t="shared" si="23"/>
        <v>8904.1666666666661</v>
      </c>
      <c r="J217" s="149">
        <f t="shared" si="26"/>
        <v>8904.1666666666661</v>
      </c>
      <c r="K217" s="150">
        <f>IF($B217="NA","NA",IF($B217&lt;=$D$8,0,MIN(IF($B217=($D$8+1),'Stage (1) Investment'!$I217,K216),'Stage (2) Investment:Stage (10) Investment'!$I217)))</f>
        <v>8904.1666666666661</v>
      </c>
      <c r="L217" s="150">
        <f>IF($B217="NA","NA",IF($B217&lt;=$D$9,0,MIN(IF($B217=($D$9+1),'Stage (2) Investment'!$I217,SUM($K216:L216)),'Stage (3) Investment:Stage (10) Investment'!$I217)-K217))</f>
        <v>0</v>
      </c>
      <c r="M217" s="150">
        <f>IF($B217="NA","NA",IF($B217&lt;=$D$10,0,MIN(IF($B217=($D$10+1),'Stage (3) Investment'!$I217,SUM($K216:M216)),'Stage (4) Investment:Stage (10) Investment'!$I217)-SUM($K217:L217)))</f>
        <v>0</v>
      </c>
      <c r="N217" s="150">
        <f>IF($B217="NA","NA",IF($B217&lt;=$D$11,0,MIN(IF($B217=($D$11+1),'Stage (4) Investment'!$I217,SUM($K216:N216)),'Stage (5) Investment:Stage (10) Investment'!$I217)-SUM($K217:M217)))</f>
        <v>0</v>
      </c>
      <c r="O217" s="150">
        <f>IF($B217="NA","NA",IF($B217&lt;=$D$12,0,MIN(IF($B217=($D$12+1),'Stage (5) Investment'!$I217,SUM($K216:O216)),'Stage (6) Investment:Stage (10) Investment'!$I217)-SUM($K217:N217)))</f>
        <v>0</v>
      </c>
      <c r="P217" s="150">
        <f>IF($B217="NA","NA",IF($B217&lt;=$D$13,0,MIN(IF($B217=($D$13+1),'Stage (6) Investment'!$I217,SUM($K216:P216)),'Stage (7) Investment:Stage (10) Investment'!$I217)-SUM($K217:O217)))</f>
        <v>0</v>
      </c>
      <c r="Q217" s="150">
        <f>IF($B217="NA","NA",IF($B217&lt;=$D$14,0,MIN(IF($B217=($D$14+1),'Stage (7) Investment'!$I217,SUM($K216:Q216)),'Stage (8) Investment:Stage (10) Investment'!$I217)-SUM($K217:P217)))</f>
        <v>0</v>
      </c>
      <c r="R217" s="150">
        <f>IF($B217="NA","NA",IF($B217&lt;=$D$15,0,MIN(IF($B217=($D$15+1),'Stage (8) Investment'!$I217,SUM($K216:R216)),'Stage (9) Investment:Stage (10) Investment'!$I217)-SUM($K217:Q217)))</f>
        <v>0</v>
      </c>
      <c r="S217" s="150">
        <f>IF($B217="NA","NA",IF($B217&lt;=$D$16,0,MIN(IF($B217=($D$16+1),'Stage (9) Investment'!$I217,SUM($K216:S216)),'Stage (10) Investment'!$I217)-SUM($K217:R217)))</f>
        <v>0</v>
      </c>
      <c r="T217" s="151">
        <f>IF($B217="NA","NA",IF($B217&lt;=$D$17,0,IF($B217=($D$17+1),'Stage (10) Investment'!$I217,SUM($K216:T216))-SUM($K217:S217)))</f>
        <v>0</v>
      </c>
    </row>
    <row r="218" spans="1:20" x14ac:dyDescent="0.2">
      <c r="A218" s="86">
        <f t="shared" si="24"/>
        <v>5936</v>
      </c>
      <c r="B218" s="142">
        <f t="shared" si="25"/>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50">
        <f>IF(B218="NA","NA",IF(ISNUMBER(VLOOKUP($C218,'A4 Investment'!$A$24:$G$33,7,FALSE)),VLOOKUP($C218,'A4 Investment'!$A$24:$G$33,7,FALSE)*'A4 Investment'!G$18/12,0))</f>
        <v>0</v>
      </c>
      <c r="I218" s="151">
        <f t="shared" si="23"/>
        <v>8904.1666666666661</v>
      </c>
      <c r="J218" s="149">
        <f t="shared" si="26"/>
        <v>8904.1666666666661</v>
      </c>
      <c r="K218" s="150">
        <f>IF($B218="NA","NA",IF($B218&lt;=$D$8,0,MIN(IF($B218=($D$8+1),'Stage (1) Investment'!$I218,K217),'Stage (2) Investment:Stage (10) Investment'!$I218)))</f>
        <v>8904.1666666666661</v>
      </c>
      <c r="L218" s="150">
        <f>IF($B218="NA","NA",IF($B218&lt;=$D$9,0,MIN(IF($B218=($D$9+1),'Stage (2) Investment'!$I218,SUM($K217:L217)),'Stage (3) Investment:Stage (10) Investment'!$I218)-K218))</f>
        <v>0</v>
      </c>
      <c r="M218" s="150">
        <f>IF($B218="NA","NA",IF($B218&lt;=$D$10,0,MIN(IF($B218=($D$10+1),'Stage (3) Investment'!$I218,SUM($K217:M217)),'Stage (4) Investment:Stage (10) Investment'!$I218)-SUM($K218:L218)))</f>
        <v>0</v>
      </c>
      <c r="N218" s="150">
        <f>IF($B218="NA","NA",IF($B218&lt;=$D$11,0,MIN(IF($B218=($D$11+1),'Stage (4) Investment'!$I218,SUM($K217:N217)),'Stage (5) Investment:Stage (10) Investment'!$I218)-SUM($K218:M218)))</f>
        <v>0</v>
      </c>
      <c r="O218" s="150">
        <f>IF($B218="NA","NA",IF($B218&lt;=$D$12,0,MIN(IF($B218=($D$12+1),'Stage (5) Investment'!$I218,SUM($K217:O217)),'Stage (6) Investment:Stage (10) Investment'!$I218)-SUM($K218:N218)))</f>
        <v>0</v>
      </c>
      <c r="P218" s="150">
        <f>IF($B218="NA","NA",IF($B218&lt;=$D$13,0,MIN(IF($B218=($D$13+1),'Stage (6) Investment'!$I218,SUM($K217:P217)),'Stage (7) Investment:Stage (10) Investment'!$I218)-SUM($K218:O218)))</f>
        <v>0</v>
      </c>
      <c r="Q218" s="150">
        <f>IF($B218="NA","NA",IF($B218&lt;=$D$14,0,MIN(IF($B218=($D$14+1),'Stage (7) Investment'!$I218,SUM($K217:Q217)),'Stage (8) Investment:Stage (10) Investment'!$I218)-SUM($K218:P218)))</f>
        <v>0</v>
      </c>
      <c r="R218" s="150">
        <f>IF($B218="NA","NA",IF($B218&lt;=$D$15,0,MIN(IF($B218=($D$15+1),'Stage (8) Investment'!$I218,SUM($K217:R217)),'Stage (9) Investment:Stage (10) Investment'!$I218)-SUM($K218:Q218)))</f>
        <v>0</v>
      </c>
      <c r="S218" s="150">
        <f>IF($B218="NA","NA",IF($B218&lt;=$D$16,0,MIN(IF($B218=($D$16+1),'Stage (9) Investment'!$I218,SUM($K217:S217)),'Stage (10) Investment'!$I218)-SUM($K218:R218)))</f>
        <v>0</v>
      </c>
      <c r="T218" s="151">
        <f>IF($B218="NA","NA",IF($B218&lt;=$D$17,0,IF($B218=($D$17+1),'Stage (10) Investment'!$I218,SUM($K217:T217))-SUM($K218:S218)))</f>
        <v>0</v>
      </c>
    </row>
    <row r="219" spans="1:20" x14ac:dyDescent="0.2">
      <c r="A219" s="86">
        <f t="shared" si="24"/>
        <v>5966</v>
      </c>
      <c r="B219" s="142">
        <f t="shared" si="25"/>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50">
        <f>IF(B219="NA","NA",IF(ISNUMBER(VLOOKUP($C219,'A4 Investment'!$A$24:$G$33,7,FALSE)),VLOOKUP($C219,'A4 Investment'!$A$24:$G$33,7,FALSE)*'A4 Investment'!G$18/12,0))</f>
        <v>0</v>
      </c>
      <c r="I219" s="151">
        <f t="shared" si="23"/>
        <v>8904.1666666666661</v>
      </c>
      <c r="J219" s="149">
        <f t="shared" si="26"/>
        <v>8904.1666666666661</v>
      </c>
      <c r="K219" s="150">
        <f>IF($B219="NA","NA",IF($B219&lt;=$D$8,0,MIN(IF($B219=($D$8+1),'Stage (1) Investment'!$I219,K218),'Stage (2) Investment:Stage (10) Investment'!$I219)))</f>
        <v>8904.1666666666661</v>
      </c>
      <c r="L219" s="150">
        <f>IF($B219="NA","NA",IF($B219&lt;=$D$9,0,MIN(IF($B219=($D$9+1),'Stage (2) Investment'!$I219,SUM($K218:L218)),'Stage (3) Investment:Stage (10) Investment'!$I219)-K219))</f>
        <v>0</v>
      </c>
      <c r="M219" s="150">
        <f>IF($B219="NA","NA",IF($B219&lt;=$D$10,0,MIN(IF($B219=($D$10+1),'Stage (3) Investment'!$I219,SUM($K218:M218)),'Stage (4) Investment:Stage (10) Investment'!$I219)-SUM($K219:L219)))</f>
        <v>0</v>
      </c>
      <c r="N219" s="150">
        <f>IF($B219="NA","NA",IF($B219&lt;=$D$11,0,MIN(IF($B219=($D$11+1),'Stage (4) Investment'!$I219,SUM($K218:N218)),'Stage (5) Investment:Stage (10) Investment'!$I219)-SUM($K219:M219)))</f>
        <v>0</v>
      </c>
      <c r="O219" s="150">
        <f>IF($B219="NA","NA",IF($B219&lt;=$D$12,0,MIN(IF($B219=($D$12+1),'Stage (5) Investment'!$I219,SUM($K218:O218)),'Stage (6) Investment:Stage (10) Investment'!$I219)-SUM($K219:N219)))</f>
        <v>0</v>
      </c>
      <c r="P219" s="150">
        <f>IF($B219="NA","NA",IF($B219&lt;=$D$13,0,MIN(IF($B219=($D$13+1),'Stage (6) Investment'!$I219,SUM($K218:P218)),'Stage (7) Investment:Stage (10) Investment'!$I219)-SUM($K219:O219)))</f>
        <v>0</v>
      </c>
      <c r="Q219" s="150">
        <f>IF($B219="NA","NA",IF($B219&lt;=$D$14,0,MIN(IF($B219=($D$14+1),'Stage (7) Investment'!$I219,SUM($K218:Q218)),'Stage (8) Investment:Stage (10) Investment'!$I219)-SUM($K219:P219)))</f>
        <v>0</v>
      </c>
      <c r="R219" s="150">
        <f>IF($B219="NA","NA",IF($B219&lt;=$D$15,0,MIN(IF($B219=($D$15+1),'Stage (8) Investment'!$I219,SUM($K218:R218)),'Stage (9) Investment:Stage (10) Investment'!$I219)-SUM($K219:Q219)))</f>
        <v>0</v>
      </c>
      <c r="S219" s="150">
        <f>IF($B219="NA","NA",IF($B219&lt;=$D$16,0,MIN(IF($B219=($D$16+1),'Stage (9) Investment'!$I219,SUM($K218:S218)),'Stage (10) Investment'!$I219)-SUM($K219:R219)))</f>
        <v>0</v>
      </c>
      <c r="T219" s="151">
        <f>IF($B219="NA","NA",IF($B219&lt;=$D$17,0,IF($B219=($D$17+1),'Stage (10) Investment'!$I219,SUM($K218:T218))-SUM($K219:S219)))</f>
        <v>0</v>
      </c>
    </row>
    <row r="220" spans="1:20" x14ac:dyDescent="0.2">
      <c r="A220" s="86">
        <f t="shared" si="24"/>
        <v>5997</v>
      </c>
      <c r="B220" s="142">
        <f t="shared" si="25"/>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50">
        <f>IF(B220="NA","NA",IF(ISNUMBER(VLOOKUP($C220,'A4 Investment'!$A$24:$G$33,7,FALSE)),VLOOKUP($C220,'A4 Investment'!$A$24:$G$33,7,FALSE)*'A4 Investment'!G$18/12,0))</f>
        <v>0</v>
      </c>
      <c r="I220" s="151">
        <f t="shared" si="23"/>
        <v>8904.1666666666661</v>
      </c>
      <c r="J220" s="149">
        <f t="shared" si="26"/>
        <v>8904.1666666666661</v>
      </c>
      <c r="K220" s="150">
        <f>IF($B220="NA","NA",IF($B220&lt;=$D$8,0,MIN(IF($B220=($D$8+1),'Stage (1) Investment'!$I220,K219),'Stage (2) Investment:Stage (10) Investment'!$I220)))</f>
        <v>8904.1666666666661</v>
      </c>
      <c r="L220" s="150">
        <f>IF($B220="NA","NA",IF($B220&lt;=$D$9,0,MIN(IF($B220=($D$9+1),'Stage (2) Investment'!$I220,SUM($K219:L219)),'Stage (3) Investment:Stage (10) Investment'!$I220)-K220))</f>
        <v>0</v>
      </c>
      <c r="M220" s="150">
        <f>IF($B220="NA","NA",IF($B220&lt;=$D$10,0,MIN(IF($B220=($D$10+1),'Stage (3) Investment'!$I220,SUM($K219:M219)),'Stage (4) Investment:Stage (10) Investment'!$I220)-SUM($K220:L220)))</f>
        <v>0</v>
      </c>
      <c r="N220" s="150">
        <f>IF($B220="NA","NA",IF($B220&lt;=$D$11,0,MIN(IF($B220=($D$11+1),'Stage (4) Investment'!$I220,SUM($K219:N219)),'Stage (5) Investment:Stage (10) Investment'!$I220)-SUM($K220:M220)))</f>
        <v>0</v>
      </c>
      <c r="O220" s="150">
        <f>IF($B220="NA","NA",IF($B220&lt;=$D$12,0,MIN(IF($B220=($D$12+1),'Stage (5) Investment'!$I220,SUM($K219:O219)),'Stage (6) Investment:Stage (10) Investment'!$I220)-SUM($K220:N220)))</f>
        <v>0</v>
      </c>
      <c r="P220" s="150">
        <f>IF($B220="NA","NA",IF($B220&lt;=$D$13,0,MIN(IF($B220=($D$13+1),'Stage (6) Investment'!$I220,SUM($K219:P219)),'Stage (7) Investment:Stage (10) Investment'!$I220)-SUM($K220:O220)))</f>
        <v>0</v>
      </c>
      <c r="Q220" s="150">
        <f>IF($B220="NA","NA",IF($B220&lt;=$D$14,0,MIN(IF($B220=($D$14+1),'Stage (7) Investment'!$I220,SUM($K219:Q219)),'Stage (8) Investment:Stage (10) Investment'!$I220)-SUM($K220:P220)))</f>
        <v>0</v>
      </c>
      <c r="R220" s="150">
        <f>IF($B220="NA","NA",IF($B220&lt;=$D$15,0,MIN(IF($B220=($D$15+1),'Stage (8) Investment'!$I220,SUM($K219:R219)),'Stage (9) Investment:Stage (10) Investment'!$I220)-SUM($K220:Q220)))</f>
        <v>0</v>
      </c>
      <c r="S220" s="150">
        <f>IF($B220="NA","NA",IF($B220&lt;=$D$16,0,MIN(IF($B220=($D$16+1),'Stage (9) Investment'!$I220,SUM($K219:S219)),'Stage (10) Investment'!$I220)-SUM($K220:R220)))</f>
        <v>0</v>
      </c>
      <c r="T220" s="151">
        <f>IF($B220="NA","NA",IF($B220&lt;=$D$17,0,IF($B220=($D$17+1),'Stage (10) Investment'!$I220,SUM($K219:T219))-SUM($K220:S220)))</f>
        <v>0</v>
      </c>
    </row>
    <row r="221" spans="1:20" x14ac:dyDescent="0.2">
      <c r="A221" s="86">
        <f t="shared" si="24"/>
        <v>6027</v>
      </c>
      <c r="B221" s="142">
        <f t="shared" si="25"/>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50">
        <f>IF(B221="NA","NA",IF(ISNUMBER(VLOOKUP($C221,'A4 Investment'!$A$24:$G$33,7,FALSE)),VLOOKUP($C221,'A4 Investment'!$A$24:$G$33,7,FALSE)*'A4 Investment'!G$18/12,0))</f>
        <v>0</v>
      </c>
      <c r="I221" s="151">
        <f t="shared" si="23"/>
        <v>8904.1666666666661</v>
      </c>
      <c r="J221" s="149">
        <f t="shared" si="26"/>
        <v>8904.1666666666661</v>
      </c>
      <c r="K221" s="150">
        <f>IF($B221="NA","NA",IF($B221&lt;=$D$8,0,MIN(IF($B221=($D$8+1),'Stage (1) Investment'!$I221,K220),'Stage (2) Investment:Stage (10) Investment'!$I221)))</f>
        <v>8904.1666666666661</v>
      </c>
      <c r="L221" s="150">
        <f>IF($B221="NA","NA",IF($B221&lt;=$D$9,0,MIN(IF($B221=($D$9+1),'Stage (2) Investment'!$I221,SUM($K220:L220)),'Stage (3) Investment:Stage (10) Investment'!$I221)-K221))</f>
        <v>0</v>
      </c>
      <c r="M221" s="150">
        <f>IF($B221="NA","NA",IF($B221&lt;=$D$10,0,MIN(IF($B221=($D$10+1),'Stage (3) Investment'!$I221,SUM($K220:M220)),'Stage (4) Investment:Stage (10) Investment'!$I221)-SUM($K221:L221)))</f>
        <v>0</v>
      </c>
      <c r="N221" s="150">
        <f>IF($B221="NA","NA",IF($B221&lt;=$D$11,0,MIN(IF($B221=($D$11+1),'Stage (4) Investment'!$I221,SUM($K220:N220)),'Stage (5) Investment:Stage (10) Investment'!$I221)-SUM($K221:M221)))</f>
        <v>0</v>
      </c>
      <c r="O221" s="150">
        <f>IF($B221="NA","NA",IF($B221&lt;=$D$12,0,MIN(IF($B221=($D$12+1),'Stage (5) Investment'!$I221,SUM($K220:O220)),'Stage (6) Investment:Stage (10) Investment'!$I221)-SUM($K221:N221)))</f>
        <v>0</v>
      </c>
      <c r="P221" s="150">
        <f>IF($B221="NA","NA",IF($B221&lt;=$D$13,0,MIN(IF($B221=($D$13+1),'Stage (6) Investment'!$I221,SUM($K220:P220)),'Stage (7) Investment:Stage (10) Investment'!$I221)-SUM($K221:O221)))</f>
        <v>0</v>
      </c>
      <c r="Q221" s="150">
        <f>IF($B221="NA","NA",IF($B221&lt;=$D$14,0,MIN(IF($B221=($D$14+1),'Stage (7) Investment'!$I221,SUM($K220:Q220)),'Stage (8) Investment:Stage (10) Investment'!$I221)-SUM($K221:P221)))</f>
        <v>0</v>
      </c>
      <c r="R221" s="150">
        <f>IF($B221="NA","NA",IF($B221&lt;=$D$15,0,MIN(IF($B221=($D$15+1),'Stage (8) Investment'!$I221,SUM($K220:R220)),'Stage (9) Investment:Stage (10) Investment'!$I221)-SUM($K221:Q221)))</f>
        <v>0</v>
      </c>
      <c r="S221" s="150">
        <f>IF($B221="NA","NA",IF($B221&lt;=$D$16,0,MIN(IF($B221=($D$16+1),'Stage (9) Investment'!$I221,SUM($K220:S220)),'Stage (10) Investment'!$I221)-SUM($K221:R221)))</f>
        <v>0</v>
      </c>
      <c r="T221" s="151">
        <f>IF($B221="NA","NA",IF($B221&lt;=$D$17,0,IF($B221=($D$17+1),'Stage (10) Investment'!$I221,SUM($K220:T220))-SUM($K221:S221)))</f>
        <v>0</v>
      </c>
    </row>
    <row r="222" spans="1:20" x14ac:dyDescent="0.2">
      <c r="A222" s="86">
        <f t="shared" si="24"/>
        <v>6058</v>
      </c>
      <c r="B222" s="142">
        <f t="shared" si="25"/>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50">
        <f>IF(B222="NA","NA",IF(ISNUMBER(VLOOKUP($C222,'A4 Investment'!$A$24:$G$33,7,FALSE)),VLOOKUP($C222,'A4 Investment'!$A$24:$G$33,7,FALSE)*'A4 Investment'!G$18/12,0))</f>
        <v>0</v>
      </c>
      <c r="I222" s="151">
        <f t="shared" si="23"/>
        <v>8904.1666666666661</v>
      </c>
      <c r="J222" s="149">
        <f t="shared" si="26"/>
        <v>8904.1666666666661</v>
      </c>
      <c r="K222" s="150">
        <f>IF($B222="NA","NA",IF($B222&lt;=$D$8,0,MIN(IF($B222=($D$8+1),'Stage (1) Investment'!$I222,K221),'Stage (2) Investment:Stage (10) Investment'!$I222)))</f>
        <v>8904.1666666666661</v>
      </c>
      <c r="L222" s="150">
        <f>IF($B222="NA","NA",IF($B222&lt;=$D$9,0,MIN(IF($B222=($D$9+1),'Stage (2) Investment'!$I222,SUM($K221:L221)),'Stage (3) Investment:Stage (10) Investment'!$I222)-K222))</f>
        <v>0</v>
      </c>
      <c r="M222" s="150">
        <f>IF($B222="NA","NA",IF($B222&lt;=$D$10,0,MIN(IF($B222=($D$10+1),'Stage (3) Investment'!$I222,SUM($K221:M221)),'Stage (4) Investment:Stage (10) Investment'!$I222)-SUM($K222:L222)))</f>
        <v>0</v>
      </c>
      <c r="N222" s="150">
        <f>IF($B222="NA","NA",IF($B222&lt;=$D$11,0,MIN(IF($B222=($D$11+1),'Stage (4) Investment'!$I222,SUM($K221:N221)),'Stage (5) Investment:Stage (10) Investment'!$I222)-SUM($K222:M222)))</f>
        <v>0</v>
      </c>
      <c r="O222" s="150">
        <f>IF($B222="NA","NA",IF($B222&lt;=$D$12,0,MIN(IF($B222=($D$12+1),'Stage (5) Investment'!$I222,SUM($K221:O221)),'Stage (6) Investment:Stage (10) Investment'!$I222)-SUM($K222:N222)))</f>
        <v>0</v>
      </c>
      <c r="P222" s="150">
        <f>IF($B222="NA","NA",IF($B222&lt;=$D$13,0,MIN(IF($B222=($D$13+1),'Stage (6) Investment'!$I222,SUM($K221:P221)),'Stage (7) Investment:Stage (10) Investment'!$I222)-SUM($K222:O222)))</f>
        <v>0</v>
      </c>
      <c r="Q222" s="150">
        <f>IF($B222="NA","NA",IF($B222&lt;=$D$14,0,MIN(IF($B222=($D$14+1),'Stage (7) Investment'!$I222,SUM($K221:Q221)),'Stage (8) Investment:Stage (10) Investment'!$I222)-SUM($K222:P222)))</f>
        <v>0</v>
      </c>
      <c r="R222" s="150">
        <f>IF($B222="NA","NA",IF($B222&lt;=$D$15,0,MIN(IF($B222=($D$15+1),'Stage (8) Investment'!$I222,SUM($K221:R221)),'Stage (9) Investment:Stage (10) Investment'!$I222)-SUM($K222:Q222)))</f>
        <v>0</v>
      </c>
      <c r="S222" s="150">
        <f>IF($B222="NA","NA",IF($B222&lt;=$D$16,0,MIN(IF($B222=($D$16+1),'Stage (9) Investment'!$I222,SUM($K221:S221)),'Stage (10) Investment'!$I222)-SUM($K222:R222)))</f>
        <v>0</v>
      </c>
      <c r="T222" s="151">
        <f>IF($B222="NA","NA",IF($B222&lt;=$D$17,0,IF($B222=($D$17+1),'Stage (10) Investment'!$I222,SUM($K221:T221))-SUM($K222:S222)))</f>
        <v>0</v>
      </c>
    </row>
    <row r="223" spans="1:20" x14ac:dyDescent="0.2">
      <c r="A223" s="86">
        <f t="shared" si="24"/>
        <v>6089</v>
      </c>
      <c r="B223" s="142">
        <f t="shared" si="25"/>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50">
        <f>IF(B223="NA","NA",IF(ISNUMBER(VLOOKUP($C223,'A4 Investment'!$A$24:$G$33,7,FALSE)),VLOOKUP($C223,'A4 Investment'!$A$24:$G$33,7,FALSE)*'A4 Investment'!G$18/12,0))</f>
        <v>0</v>
      </c>
      <c r="I223" s="151">
        <f t="shared" si="23"/>
        <v>8904.1666666666661</v>
      </c>
      <c r="J223" s="149">
        <f t="shared" si="26"/>
        <v>8904.1666666666661</v>
      </c>
      <c r="K223" s="150">
        <f>IF($B223="NA","NA",IF($B223&lt;=$D$8,0,MIN(IF($B223=($D$8+1),'Stage (1) Investment'!$I223,K222),'Stage (2) Investment:Stage (10) Investment'!$I223)))</f>
        <v>8904.1666666666661</v>
      </c>
      <c r="L223" s="150">
        <f>IF($B223="NA","NA",IF($B223&lt;=$D$9,0,MIN(IF($B223=($D$9+1),'Stage (2) Investment'!$I223,SUM($K222:L222)),'Stage (3) Investment:Stage (10) Investment'!$I223)-K223))</f>
        <v>0</v>
      </c>
      <c r="M223" s="150">
        <f>IF($B223="NA","NA",IF($B223&lt;=$D$10,0,MIN(IF($B223=($D$10+1),'Stage (3) Investment'!$I223,SUM($K222:M222)),'Stage (4) Investment:Stage (10) Investment'!$I223)-SUM($K223:L223)))</f>
        <v>0</v>
      </c>
      <c r="N223" s="150">
        <f>IF($B223="NA","NA",IF($B223&lt;=$D$11,0,MIN(IF($B223=($D$11+1),'Stage (4) Investment'!$I223,SUM($K222:N222)),'Stage (5) Investment:Stage (10) Investment'!$I223)-SUM($K223:M223)))</f>
        <v>0</v>
      </c>
      <c r="O223" s="150">
        <f>IF($B223="NA","NA",IF($B223&lt;=$D$12,0,MIN(IF($B223=($D$12+1),'Stage (5) Investment'!$I223,SUM($K222:O222)),'Stage (6) Investment:Stage (10) Investment'!$I223)-SUM($K223:N223)))</f>
        <v>0</v>
      </c>
      <c r="P223" s="150">
        <f>IF($B223="NA","NA",IF($B223&lt;=$D$13,0,MIN(IF($B223=($D$13+1),'Stage (6) Investment'!$I223,SUM($K222:P222)),'Stage (7) Investment:Stage (10) Investment'!$I223)-SUM($K223:O223)))</f>
        <v>0</v>
      </c>
      <c r="Q223" s="150">
        <f>IF($B223="NA","NA",IF($B223&lt;=$D$14,0,MIN(IF($B223=($D$14+1),'Stage (7) Investment'!$I223,SUM($K222:Q222)),'Stage (8) Investment:Stage (10) Investment'!$I223)-SUM($K223:P223)))</f>
        <v>0</v>
      </c>
      <c r="R223" s="150">
        <f>IF($B223="NA","NA",IF($B223&lt;=$D$15,0,MIN(IF($B223=($D$15+1),'Stage (8) Investment'!$I223,SUM($K222:R222)),'Stage (9) Investment:Stage (10) Investment'!$I223)-SUM($K223:Q223)))</f>
        <v>0</v>
      </c>
      <c r="S223" s="150">
        <f>IF($B223="NA","NA",IF($B223&lt;=$D$16,0,MIN(IF($B223=($D$16+1),'Stage (9) Investment'!$I223,SUM($K222:S222)),'Stage (10) Investment'!$I223)-SUM($K223:R223)))</f>
        <v>0</v>
      </c>
      <c r="T223" s="151">
        <f>IF($B223="NA","NA",IF($B223&lt;=$D$17,0,IF($B223=($D$17+1),'Stage (10) Investment'!$I223,SUM($K222:T222))-SUM($K223:S223)))</f>
        <v>0</v>
      </c>
    </row>
    <row r="224" spans="1:20" x14ac:dyDescent="0.2">
      <c r="A224" s="86">
        <f t="shared" si="24"/>
        <v>6119</v>
      </c>
      <c r="B224" s="142">
        <f t="shared" si="25"/>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50">
        <f>IF(B224="NA","NA",IF(ISNUMBER(VLOOKUP($C224,'A4 Investment'!$A$24:$G$33,7,FALSE)),VLOOKUP($C224,'A4 Investment'!$A$24:$G$33,7,FALSE)*'A4 Investment'!G$18/12,0))</f>
        <v>0</v>
      </c>
      <c r="I224" s="151">
        <f t="shared" si="23"/>
        <v>8904.1666666666661</v>
      </c>
      <c r="J224" s="149">
        <f t="shared" si="26"/>
        <v>8904.1666666666661</v>
      </c>
      <c r="K224" s="150">
        <f>IF($B224="NA","NA",IF($B224&lt;=$D$8,0,MIN(IF($B224=($D$8+1),'Stage (1) Investment'!$I224,K223),'Stage (2) Investment:Stage (10) Investment'!$I224)))</f>
        <v>8904.1666666666661</v>
      </c>
      <c r="L224" s="150">
        <f>IF($B224="NA","NA",IF($B224&lt;=$D$9,0,MIN(IF($B224=($D$9+1),'Stage (2) Investment'!$I224,SUM($K223:L223)),'Stage (3) Investment:Stage (10) Investment'!$I224)-K224))</f>
        <v>0</v>
      </c>
      <c r="M224" s="150">
        <f>IF($B224="NA","NA",IF($B224&lt;=$D$10,0,MIN(IF($B224=($D$10+1),'Stage (3) Investment'!$I224,SUM($K223:M223)),'Stage (4) Investment:Stage (10) Investment'!$I224)-SUM($K224:L224)))</f>
        <v>0</v>
      </c>
      <c r="N224" s="150">
        <f>IF($B224="NA","NA",IF($B224&lt;=$D$11,0,MIN(IF($B224=($D$11+1),'Stage (4) Investment'!$I224,SUM($K223:N223)),'Stage (5) Investment:Stage (10) Investment'!$I224)-SUM($K224:M224)))</f>
        <v>0</v>
      </c>
      <c r="O224" s="150">
        <f>IF($B224="NA","NA",IF($B224&lt;=$D$12,0,MIN(IF($B224=($D$12+1),'Stage (5) Investment'!$I224,SUM($K223:O223)),'Stage (6) Investment:Stage (10) Investment'!$I224)-SUM($K224:N224)))</f>
        <v>0</v>
      </c>
      <c r="P224" s="150">
        <f>IF($B224="NA","NA",IF($B224&lt;=$D$13,0,MIN(IF($B224=($D$13+1),'Stage (6) Investment'!$I224,SUM($K223:P223)),'Stage (7) Investment:Stage (10) Investment'!$I224)-SUM($K224:O224)))</f>
        <v>0</v>
      </c>
      <c r="Q224" s="150">
        <f>IF($B224="NA","NA",IF($B224&lt;=$D$14,0,MIN(IF($B224=($D$14+1),'Stage (7) Investment'!$I224,SUM($K223:Q223)),'Stage (8) Investment:Stage (10) Investment'!$I224)-SUM($K224:P224)))</f>
        <v>0</v>
      </c>
      <c r="R224" s="150">
        <f>IF($B224="NA","NA",IF($B224&lt;=$D$15,0,MIN(IF($B224=($D$15+1),'Stage (8) Investment'!$I224,SUM($K223:R223)),'Stage (9) Investment:Stage (10) Investment'!$I224)-SUM($K224:Q224)))</f>
        <v>0</v>
      </c>
      <c r="S224" s="150">
        <f>IF($B224="NA","NA",IF($B224&lt;=$D$16,0,MIN(IF($B224=($D$16+1),'Stage (9) Investment'!$I224,SUM($K223:S223)),'Stage (10) Investment'!$I224)-SUM($K224:R224)))</f>
        <v>0</v>
      </c>
      <c r="T224" s="151">
        <f>IF($B224="NA","NA",IF($B224&lt;=$D$17,0,IF($B224=($D$17+1),'Stage (10) Investment'!$I224,SUM($K223:T223))-SUM($K224:S224)))</f>
        <v>0</v>
      </c>
    </row>
    <row r="225" spans="1:20" x14ac:dyDescent="0.2">
      <c r="A225" s="86">
        <f t="shared" si="24"/>
        <v>6150</v>
      </c>
      <c r="B225" s="142">
        <f t="shared" si="25"/>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50">
        <f>IF(B225="NA","NA",IF(ISNUMBER(VLOOKUP($C225,'A4 Investment'!$A$24:$G$33,7,FALSE)),VLOOKUP($C225,'A4 Investment'!$A$24:$G$33,7,FALSE)*'A4 Investment'!G$18/12,0))</f>
        <v>0</v>
      </c>
      <c r="I225" s="151">
        <f t="shared" si="23"/>
        <v>8904.1666666666661</v>
      </c>
      <c r="J225" s="149">
        <f t="shared" si="26"/>
        <v>8904.1666666666661</v>
      </c>
      <c r="K225" s="150">
        <f>IF($B225="NA","NA",IF($B225&lt;=$D$8,0,MIN(IF($B225=($D$8+1),'Stage (1) Investment'!$I225,K224),'Stage (2) Investment:Stage (10) Investment'!$I225)))</f>
        <v>8904.1666666666661</v>
      </c>
      <c r="L225" s="150">
        <f>IF($B225="NA","NA",IF($B225&lt;=$D$9,0,MIN(IF($B225=($D$9+1),'Stage (2) Investment'!$I225,SUM($K224:L224)),'Stage (3) Investment:Stage (10) Investment'!$I225)-K225))</f>
        <v>0</v>
      </c>
      <c r="M225" s="150">
        <f>IF($B225="NA","NA",IF($B225&lt;=$D$10,0,MIN(IF($B225=($D$10+1),'Stage (3) Investment'!$I225,SUM($K224:M224)),'Stage (4) Investment:Stage (10) Investment'!$I225)-SUM($K225:L225)))</f>
        <v>0</v>
      </c>
      <c r="N225" s="150">
        <f>IF($B225="NA","NA",IF($B225&lt;=$D$11,0,MIN(IF($B225=($D$11+1),'Stage (4) Investment'!$I225,SUM($K224:N224)),'Stage (5) Investment:Stage (10) Investment'!$I225)-SUM($K225:M225)))</f>
        <v>0</v>
      </c>
      <c r="O225" s="150">
        <f>IF($B225="NA","NA",IF($B225&lt;=$D$12,0,MIN(IF($B225=($D$12+1),'Stage (5) Investment'!$I225,SUM($K224:O224)),'Stage (6) Investment:Stage (10) Investment'!$I225)-SUM($K225:N225)))</f>
        <v>0</v>
      </c>
      <c r="P225" s="150">
        <f>IF($B225="NA","NA",IF($B225&lt;=$D$13,0,MIN(IF($B225=($D$13+1),'Stage (6) Investment'!$I225,SUM($K224:P224)),'Stage (7) Investment:Stage (10) Investment'!$I225)-SUM($K225:O225)))</f>
        <v>0</v>
      </c>
      <c r="Q225" s="150">
        <f>IF($B225="NA","NA",IF($B225&lt;=$D$14,0,MIN(IF($B225=($D$14+1),'Stage (7) Investment'!$I225,SUM($K224:Q224)),'Stage (8) Investment:Stage (10) Investment'!$I225)-SUM($K225:P225)))</f>
        <v>0</v>
      </c>
      <c r="R225" s="150">
        <f>IF($B225="NA","NA",IF($B225&lt;=$D$15,0,MIN(IF($B225=($D$15+1),'Stage (8) Investment'!$I225,SUM($K224:R224)),'Stage (9) Investment:Stage (10) Investment'!$I225)-SUM($K225:Q225)))</f>
        <v>0</v>
      </c>
      <c r="S225" s="150">
        <f>IF($B225="NA","NA",IF($B225&lt;=$D$16,0,MIN(IF($B225=($D$16+1),'Stage (9) Investment'!$I225,SUM($K224:S224)),'Stage (10) Investment'!$I225)-SUM($K225:R225)))</f>
        <v>0</v>
      </c>
      <c r="T225" s="151">
        <f>IF($B225="NA","NA",IF($B225&lt;=$D$17,0,IF($B225=($D$17+1),'Stage (10) Investment'!$I225,SUM($K224:T224))-SUM($K225:S225)))</f>
        <v>0</v>
      </c>
    </row>
    <row r="226" spans="1:20" x14ac:dyDescent="0.2">
      <c r="A226" s="86">
        <f t="shared" si="24"/>
        <v>6180</v>
      </c>
      <c r="B226" s="142">
        <f t="shared" si="25"/>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50">
        <f>IF(B226="NA","NA",IF(ISNUMBER(VLOOKUP($C226,'A4 Investment'!$A$24:$G$33,7,FALSE)),VLOOKUP($C226,'A4 Investment'!$A$24:$G$33,7,FALSE)*'A4 Investment'!G$18/12,0))</f>
        <v>0</v>
      </c>
      <c r="I226" s="151">
        <f t="shared" si="23"/>
        <v>8904.1666666666661</v>
      </c>
      <c r="J226" s="149">
        <f t="shared" si="26"/>
        <v>8904.1666666666661</v>
      </c>
      <c r="K226" s="150">
        <f>IF($B226="NA","NA",IF($B226&lt;=$D$8,0,MIN(IF($B226=($D$8+1),'Stage (1) Investment'!$I226,K225),'Stage (2) Investment:Stage (10) Investment'!$I226)))</f>
        <v>8904.1666666666661</v>
      </c>
      <c r="L226" s="150">
        <f>IF($B226="NA","NA",IF($B226&lt;=$D$9,0,MIN(IF($B226=($D$9+1),'Stage (2) Investment'!$I226,SUM($K225:L225)),'Stage (3) Investment:Stage (10) Investment'!$I226)-K226))</f>
        <v>0</v>
      </c>
      <c r="M226" s="150">
        <f>IF($B226="NA","NA",IF($B226&lt;=$D$10,0,MIN(IF($B226=($D$10+1),'Stage (3) Investment'!$I226,SUM($K225:M225)),'Stage (4) Investment:Stage (10) Investment'!$I226)-SUM($K226:L226)))</f>
        <v>0</v>
      </c>
      <c r="N226" s="150">
        <f>IF($B226="NA","NA",IF($B226&lt;=$D$11,0,MIN(IF($B226=($D$11+1),'Stage (4) Investment'!$I226,SUM($K225:N225)),'Stage (5) Investment:Stage (10) Investment'!$I226)-SUM($K226:M226)))</f>
        <v>0</v>
      </c>
      <c r="O226" s="150">
        <f>IF($B226="NA","NA",IF($B226&lt;=$D$12,0,MIN(IF($B226=($D$12+1),'Stage (5) Investment'!$I226,SUM($K225:O225)),'Stage (6) Investment:Stage (10) Investment'!$I226)-SUM($K226:N226)))</f>
        <v>0</v>
      </c>
      <c r="P226" s="150">
        <f>IF($B226="NA","NA",IF($B226&lt;=$D$13,0,MIN(IF($B226=($D$13+1),'Stage (6) Investment'!$I226,SUM($K225:P225)),'Stage (7) Investment:Stage (10) Investment'!$I226)-SUM($K226:O226)))</f>
        <v>0</v>
      </c>
      <c r="Q226" s="150">
        <f>IF($B226="NA","NA",IF($B226&lt;=$D$14,0,MIN(IF($B226=($D$14+1),'Stage (7) Investment'!$I226,SUM($K225:Q225)),'Stage (8) Investment:Stage (10) Investment'!$I226)-SUM($K226:P226)))</f>
        <v>0</v>
      </c>
      <c r="R226" s="150">
        <f>IF($B226="NA","NA",IF($B226&lt;=$D$15,0,MIN(IF($B226=($D$15+1),'Stage (8) Investment'!$I226,SUM($K225:R225)),'Stage (9) Investment:Stage (10) Investment'!$I226)-SUM($K226:Q226)))</f>
        <v>0</v>
      </c>
      <c r="S226" s="150">
        <f>IF($B226="NA","NA",IF($B226&lt;=$D$16,0,MIN(IF($B226=($D$16+1),'Stage (9) Investment'!$I226,SUM($K225:S225)),'Stage (10) Investment'!$I226)-SUM($K226:R226)))</f>
        <v>0</v>
      </c>
      <c r="T226" s="151">
        <f>IF($B226="NA","NA",IF($B226&lt;=$D$17,0,IF($B226=($D$17+1),'Stage (10) Investment'!$I226,SUM($K225:T225))-SUM($K226:S226)))</f>
        <v>0</v>
      </c>
    </row>
    <row r="227" spans="1:20" x14ac:dyDescent="0.2">
      <c r="A227" s="86">
        <f t="shared" si="24"/>
        <v>6211</v>
      </c>
      <c r="B227" s="142">
        <f t="shared" si="25"/>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50">
        <f>IF(B227="NA","NA",IF(ISNUMBER(VLOOKUP($C227,'A4 Investment'!$A$24:$G$33,7,FALSE)),VLOOKUP($C227,'A4 Investment'!$A$24:$G$33,7,FALSE)*'A4 Investment'!G$18/12,0))</f>
        <v>0</v>
      </c>
      <c r="I227" s="151">
        <f t="shared" si="23"/>
        <v>8904.1666666666661</v>
      </c>
      <c r="J227" s="149">
        <f t="shared" si="26"/>
        <v>8904.1666666666661</v>
      </c>
      <c r="K227" s="150">
        <f>IF($B227="NA","NA",IF($B227&lt;=$D$8,0,MIN(IF($B227=($D$8+1),'Stage (1) Investment'!$I227,K226),'Stage (2) Investment:Stage (10) Investment'!$I227)))</f>
        <v>8904.1666666666661</v>
      </c>
      <c r="L227" s="150">
        <f>IF($B227="NA","NA",IF($B227&lt;=$D$9,0,MIN(IF($B227=($D$9+1),'Stage (2) Investment'!$I227,SUM($K226:L226)),'Stage (3) Investment:Stage (10) Investment'!$I227)-K227))</f>
        <v>0</v>
      </c>
      <c r="M227" s="150">
        <f>IF($B227="NA","NA",IF($B227&lt;=$D$10,0,MIN(IF($B227=($D$10+1),'Stage (3) Investment'!$I227,SUM($K226:M226)),'Stage (4) Investment:Stage (10) Investment'!$I227)-SUM($K227:L227)))</f>
        <v>0</v>
      </c>
      <c r="N227" s="150">
        <f>IF($B227="NA","NA",IF($B227&lt;=$D$11,0,MIN(IF($B227=($D$11+1),'Stage (4) Investment'!$I227,SUM($K226:N226)),'Stage (5) Investment:Stage (10) Investment'!$I227)-SUM($K227:M227)))</f>
        <v>0</v>
      </c>
      <c r="O227" s="150">
        <f>IF($B227="NA","NA",IF($B227&lt;=$D$12,0,MIN(IF($B227=($D$12+1),'Stage (5) Investment'!$I227,SUM($K226:O226)),'Stage (6) Investment:Stage (10) Investment'!$I227)-SUM($K227:N227)))</f>
        <v>0</v>
      </c>
      <c r="P227" s="150">
        <f>IF($B227="NA","NA",IF($B227&lt;=$D$13,0,MIN(IF($B227=($D$13+1),'Stage (6) Investment'!$I227,SUM($K226:P226)),'Stage (7) Investment:Stage (10) Investment'!$I227)-SUM($K227:O227)))</f>
        <v>0</v>
      </c>
      <c r="Q227" s="150">
        <f>IF($B227="NA","NA",IF($B227&lt;=$D$14,0,MIN(IF($B227=($D$14+1),'Stage (7) Investment'!$I227,SUM($K226:Q226)),'Stage (8) Investment:Stage (10) Investment'!$I227)-SUM($K227:P227)))</f>
        <v>0</v>
      </c>
      <c r="R227" s="150">
        <f>IF($B227="NA","NA",IF($B227&lt;=$D$15,0,MIN(IF($B227=($D$15+1),'Stage (8) Investment'!$I227,SUM($K226:R226)),'Stage (9) Investment:Stage (10) Investment'!$I227)-SUM($K227:Q227)))</f>
        <v>0</v>
      </c>
      <c r="S227" s="150">
        <f>IF($B227="NA","NA",IF($B227&lt;=$D$16,0,MIN(IF($B227=($D$16+1),'Stage (9) Investment'!$I227,SUM($K226:S226)),'Stage (10) Investment'!$I227)-SUM($K227:R227)))</f>
        <v>0</v>
      </c>
      <c r="T227" s="151">
        <f>IF($B227="NA","NA",IF($B227&lt;=$D$17,0,IF($B227=($D$17+1),'Stage (10) Investment'!$I227,SUM($K226:T226))-SUM($K227:S227)))</f>
        <v>0</v>
      </c>
    </row>
    <row r="228" spans="1:20" x14ac:dyDescent="0.2">
      <c r="A228" s="86">
        <f t="shared" si="24"/>
        <v>6242</v>
      </c>
      <c r="B228" s="142">
        <f t="shared" si="25"/>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50">
        <f>IF(B228="NA","NA",IF(ISNUMBER(VLOOKUP($C228,'A4 Investment'!$A$24:$G$33,7,FALSE)),VLOOKUP($C228,'A4 Investment'!$A$24:$G$33,7,FALSE)*'A4 Investment'!G$18/12,0))</f>
        <v>0</v>
      </c>
      <c r="I228" s="151">
        <f t="shared" si="23"/>
        <v>8904.1666666666661</v>
      </c>
      <c r="J228" s="149">
        <f t="shared" si="26"/>
        <v>8904.1666666666661</v>
      </c>
      <c r="K228" s="150">
        <f>IF($B228="NA","NA",IF($B228&lt;=$D$8,0,MIN(IF($B228=($D$8+1),'Stage (1) Investment'!$I228,K227),'Stage (2) Investment:Stage (10) Investment'!$I228)))</f>
        <v>8904.1666666666661</v>
      </c>
      <c r="L228" s="150">
        <f>IF($B228="NA","NA",IF($B228&lt;=$D$9,0,MIN(IF($B228=($D$9+1),'Stage (2) Investment'!$I228,SUM($K227:L227)),'Stage (3) Investment:Stage (10) Investment'!$I228)-K228))</f>
        <v>0</v>
      </c>
      <c r="M228" s="150">
        <f>IF($B228="NA","NA",IF($B228&lt;=$D$10,0,MIN(IF($B228=($D$10+1),'Stage (3) Investment'!$I228,SUM($K227:M227)),'Stage (4) Investment:Stage (10) Investment'!$I228)-SUM($K228:L228)))</f>
        <v>0</v>
      </c>
      <c r="N228" s="150">
        <f>IF($B228="NA","NA",IF($B228&lt;=$D$11,0,MIN(IF($B228=($D$11+1),'Stage (4) Investment'!$I228,SUM($K227:N227)),'Stage (5) Investment:Stage (10) Investment'!$I228)-SUM($K228:M228)))</f>
        <v>0</v>
      </c>
      <c r="O228" s="150">
        <f>IF($B228="NA","NA",IF($B228&lt;=$D$12,0,MIN(IF($B228=($D$12+1),'Stage (5) Investment'!$I228,SUM($K227:O227)),'Stage (6) Investment:Stage (10) Investment'!$I228)-SUM($K228:N228)))</f>
        <v>0</v>
      </c>
      <c r="P228" s="150">
        <f>IF($B228="NA","NA",IF($B228&lt;=$D$13,0,MIN(IF($B228=($D$13+1),'Stage (6) Investment'!$I228,SUM($K227:P227)),'Stage (7) Investment:Stage (10) Investment'!$I228)-SUM($K228:O228)))</f>
        <v>0</v>
      </c>
      <c r="Q228" s="150">
        <f>IF($B228="NA","NA",IF($B228&lt;=$D$14,0,MIN(IF($B228=($D$14+1),'Stage (7) Investment'!$I228,SUM($K227:Q227)),'Stage (8) Investment:Stage (10) Investment'!$I228)-SUM($K228:P228)))</f>
        <v>0</v>
      </c>
      <c r="R228" s="150">
        <f>IF($B228="NA","NA",IF($B228&lt;=$D$15,0,MIN(IF($B228=($D$15+1),'Stage (8) Investment'!$I228,SUM($K227:R227)),'Stage (9) Investment:Stage (10) Investment'!$I228)-SUM($K228:Q228)))</f>
        <v>0</v>
      </c>
      <c r="S228" s="150">
        <f>IF($B228="NA","NA",IF($B228&lt;=$D$16,0,MIN(IF($B228=($D$16+1),'Stage (9) Investment'!$I228,SUM($K227:S227)),'Stage (10) Investment'!$I228)-SUM($K228:R228)))</f>
        <v>0</v>
      </c>
      <c r="T228" s="151">
        <f>IF($B228="NA","NA",IF($B228&lt;=$D$17,0,IF($B228=($D$17+1),'Stage (10) Investment'!$I228,SUM($K227:T227))-SUM($K228:S228)))</f>
        <v>0</v>
      </c>
    </row>
    <row r="229" spans="1:20" x14ac:dyDescent="0.2">
      <c r="A229" s="86">
        <f t="shared" si="24"/>
        <v>6270</v>
      </c>
      <c r="B229" s="142">
        <f t="shared" si="25"/>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50">
        <f>IF(B229="NA","NA",IF(ISNUMBER(VLOOKUP($C229,'A4 Investment'!$A$24:$G$33,7,FALSE)),VLOOKUP($C229,'A4 Investment'!$A$24:$G$33,7,FALSE)*'A4 Investment'!G$18/12,0))</f>
        <v>0</v>
      </c>
      <c r="I229" s="151">
        <f t="shared" si="23"/>
        <v>8904.1666666666661</v>
      </c>
      <c r="J229" s="149">
        <f t="shared" si="26"/>
        <v>8904.1666666666661</v>
      </c>
      <c r="K229" s="150">
        <f>IF($B229="NA","NA",IF($B229&lt;=$D$8,0,MIN(IF($B229=($D$8+1),'Stage (1) Investment'!$I229,K228),'Stage (2) Investment:Stage (10) Investment'!$I229)))</f>
        <v>8904.1666666666661</v>
      </c>
      <c r="L229" s="150">
        <f>IF($B229="NA","NA",IF($B229&lt;=$D$9,0,MIN(IF($B229=($D$9+1),'Stage (2) Investment'!$I229,SUM($K228:L228)),'Stage (3) Investment:Stage (10) Investment'!$I229)-K229))</f>
        <v>0</v>
      </c>
      <c r="M229" s="150">
        <f>IF($B229="NA","NA",IF($B229&lt;=$D$10,0,MIN(IF($B229=($D$10+1),'Stage (3) Investment'!$I229,SUM($K228:M228)),'Stage (4) Investment:Stage (10) Investment'!$I229)-SUM($K229:L229)))</f>
        <v>0</v>
      </c>
      <c r="N229" s="150">
        <f>IF($B229="NA","NA",IF($B229&lt;=$D$11,0,MIN(IF($B229=($D$11+1),'Stage (4) Investment'!$I229,SUM($K228:N228)),'Stage (5) Investment:Stage (10) Investment'!$I229)-SUM($K229:M229)))</f>
        <v>0</v>
      </c>
      <c r="O229" s="150">
        <f>IF($B229="NA","NA",IF($B229&lt;=$D$12,0,MIN(IF($B229=($D$12+1),'Stage (5) Investment'!$I229,SUM($K228:O228)),'Stage (6) Investment:Stage (10) Investment'!$I229)-SUM($K229:N229)))</f>
        <v>0</v>
      </c>
      <c r="P229" s="150">
        <f>IF($B229="NA","NA",IF($B229&lt;=$D$13,0,MIN(IF($B229=($D$13+1),'Stage (6) Investment'!$I229,SUM($K228:P228)),'Stage (7) Investment:Stage (10) Investment'!$I229)-SUM($K229:O229)))</f>
        <v>0</v>
      </c>
      <c r="Q229" s="150">
        <f>IF($B229="NA","NA",IF($B229&lt;=$D$14,0,MIN(IF($B229=($D$14+1),'Stage (7) Investment'!$I229,SUM($K228:Q228)),'Stage (8) Investment:Stage (10) Investment'!$I229)-SUM($K229:P229)))</f>
        <v>0</v>
      </c>
      <c r="R229" s="150">
        <f>IF($B229="NA","NA",IF($B229&lt;=$D$15,0,MIN(IF($B229=($D$15+1),'Stage (8) Investment'!$I229,SUM($K228:R228)),'Stage (9) Investment:Stage (10) Investment'!$I229)-SUM($K229:Q229)))</f>
        <v>0</v>
      </c>
      <c r="S229" s="150">
        <f>IF($B229="NA","NA",IF($B229&lt;=$D$16,0,MIN(IF($B229=($D$16+1),'Stage (9) Investment'!$I229,SUM($K228:S228)),'Stage (10) Investment'!$I229)-SUM($K229:R229)))</f>
        <v>0</v>
      </c>
      <c r="T229" s="151">
        <f>IF($B229="NA","NA",IF($B229&lt;=$D$17,0,IF($B229=($D$17+1),'Stage (10) Investment'!$I229,SUM($K228:T228))-SUM($K229:S229)))</f>
        <v>0</v>
      </c>
    </row>
    <row r="230" spans="1:20" x14ac:dyDescent="0.2">
      <c r="A230" s="86">
        <f t="shared" si="24"/>
        <v>6301</v>
      </c>
      <c r="B230" s="142">
        <f t="shared" si="25"/>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50">
        <f>IF(B230="NA","NA",IF(ISNUMBER(VLOOKUP($C230,'A4 Investment'!$A$24:$G$33,7,FALSE)),VLOOKUP($C230,'A4 Investment'!$A$24:$G$33,7,FALSE)*'A4 Investment'!G$18/12,0))</f>
        <v>0</v>
      </c>
      <c r="I230" s="151">
        <f t="shared" si="23"/>
        <v>8904.1666666666661</v>
      </c>
      <c r="J230" s="149">
        <f t="shared" si="26"/>
        <v>8904.1666666666661</v>
      </c>
      <c r="K230" s="150">
        <f>IF($B230="NA","NA",IF($B230&lt;=$D$8,0,MIN(IF($B230=($D$8+1),'Stage (1) Investment'!$I230,K229),'Stage (2) Investment:Stage (10) Investment'!$I230)))</f>
        <v>8904.1666666666661</v>
      </c>
      <c r="L230" s="150">
        <f>IF($B230="NA","NA",IF($B230&lt;=$D$9,0,MIN(IF($B230=($D$9+1),'Stage (2) Investment'!$I230,SUM($K229:L229)),'Stage (3) Investment:Stage (10) Investment'!$I230)-K230))</f>
        <v>0</v>
      </c>
      <c r="M230" s="150">
        <f>IF($B230="NA","NA",IF($B230&lt;=$D$10,0,MIN(IF($B230=($D$10+1),'Stage (3) Investment'!$I230,SUM($K229:M229)),'Stage (4) Investment:Stage (10) Investment'!$I230)-SUM($K230:L230)))</f>
        <v>0</v>
      </c>
      <c r="N230" s="150">
        <f>IF($B230="NA","NA",IF($B230&lt;=$D$11,0,MIN(IF($B230=($D$11+1),'Stage (4) Investment'!$I230,SUM($K229:N229)),'Stage (5) Investment:Stage (10) Investment'!$I230)-SUM($K230:M230)))</f>
        <v>0</v>
      </c>
      <c r="O230" s="150">
        <f>IF($B230="NA","NA",IF($B230&lt;=$D$12,0,MIN(IF($B230=($D$12+1),'Stage (5) Investment'!$I230,SUM($K229:O229)),'Stage (6) Investment:Stage (10) Investment'!$I230)-SUM($K230:N230)))</f>
        <v>0</v>
      </c>
      <c r="P230" s="150">
        <f>IF($B230="NA","NA",IF($B230&lt;=$D$13,0,MIN(IF($B230=($D$13+1),'Stage (6) Investment'!$I230,SUM($K229:P229)),'Stage (7) Investment:Stage (10) Investment'!$I230)-SUM($K230:O230)))</f>
        <v>0</v>
      </c>
      <c r="Q230" s="150">
        <f>IF($B230="NA","NA",IF($B230&lt;=$D$14,0,MIN(IF($B230=($D$14+1),'Stage (7) Investment'!$I230,SUM($K229:Q229)),'Stage (8) Investment:Stage (10) Investment'!$I230)-SUM($K230:P230)))</f>
        <v>0</v>
      </c>
      <c r="R230" s="150">
        <f>IF($B230="NA","NA",IF($B230&lt;=$D$15,0,MIN(IF($B230=($D$15+1),'Stage (8) Investment'!$I230,SUM($K229:R229)),'Stage (9) Investment:Stage (10) Investment'!$I230)-SUM($K230:Q230)))</f>
        <v>0</v>
      </c>
      <c r="S230" s="150">
        <f>IF($B230="NA","NA",IF($B230&lt;=$D$16,0,MIN(IF($B230=($D$16+1),'Stage (9) Investment'!$I230,SUM($K229:S229)),'Stage (10) Investment'!$I230)-SUM($K230:R230)))</f>
        <v>0</v>
      </c>
      <c r="T230" s="151">
        <f>IF($B230="NA","NA",IF($B230&lt;=$D$17,0,IF($B230=($D$17+1),'Stage (10) Investment'!$I230,SUM($K229:T229))-SUM($K230:S230)))</f>
        <v>0</v>
      </c>
    </row>
    <row r="231" spans="1:20" x14ac:dyDescent="0.2">
      <c r="A231" s="86">
        <f t="shared" si="24"/>
        <v>6331</v>
      </c>
      <c r="B231" s="142">
        <f t="shared" si="25"/>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50">
        <f>IF(B231="NA","NA",IF(ISNUMBER(VLOOKUP($C231,'A4 Investment'!$A$24:$G$33,7,FALSE)),VLOOKUP($C231,'A4 Investment'!$A$24:$G$33,7,FALSE)*'A4 Investment'!G$18/12,0))</f>
        <v>0</v>
      </c>
      <c r="I231" s="151">
        <f t="shared" si="23"/>
        <v>8904.1666666666661</v>
      </c>
      <c r="J231" s="149">
        <f t="shared" si="26"/>
        <v>8904.1666666666661</v>
      </c>
      <c r="K231" s="150">
        <f>IF($B231="NA","NA",IF($B231&lt;=$D$8,0,MIN(IF($B231=($D$8+1),'Stage (1) Investment'!$I231,K230),'Stage (2) Investment:Stage (10) Investment'!$I231)))</f>
        <v>8904.1666666666661</v>
      </c>
      <c r="L231" s="150">
        <f>IF($B231="NA","NA",IF($B231&lt;=$D$9,0,MIN(IF($B231=($D$9+1),'Stage (2) Investment'!$I231,SUM($K230:L230)),'Stage (3) Investment:Stage (10) Investment'!$I231)-K231))</f>
        <v>0</v>
      </c>
      <c r="M231" s="150">
        <f>IF($B231="NA","NA",IF($B231&lt;=$D$10,0,MIN(IF($B231=($D$10+1),'Stage (3) Investment'!$I231,SUM($K230:M230)),'Stage (4) Investment:Stage (10) Investment'!$I231)-SUM($K231:L231)))</f>
        <v>0</v>
      </c>
      <c r="N231" s="150">
        <f>IF($B231="NA","NA",IF($B231&lt;=$D$11,0,MIN(IF($B231=($D$11+1),'Stage (4) Investment'!$I231,SUM($K230:N230)),'Stage (5) Investment:Stage (10) Investment'!$I231)-SUM($K231:M231)))</f>
        <v>0</v>
      </c>
      <c r="O231" s="150">
        <f>IF($B231="NA","NA",IF($B231&lt;=$D$12,0,MIN(IF($B231=($D$12+1),'Stage (5) Investment'!$I231,SUM($K230:O230)),'Stage (6) Investment:Stage (10) Investment'!$I231)-SUM($K231:N231)))</f>
        <v>0</v>
      </c>
      <c r="P231" s="150">
        <f>IF($B231="NA","NA",IF($B231&lt;=$D$13,0,MIN(IF($B231=($D$13+1),'Stage (6) Investment'!$I231,SUM($K230:P230)),'Stage (7) Investment:Stage (10) Investment'!$I231)-SUM($K231:O231)))</f>
        <v>0</v>
      </c>
      <c r="Q231" s="150">
        <f>IF($B231="NA","NA",IF($B231&lt;=$D$14,0,MIN(IF($B231=($D$14+1),'Stage (7) Investment'!$I231,SUM($K230:Q230)),'Stage (8) Investment:Stage (10) Investment'!$I231)-SUM($K231:P231)))</f>
        <v>0</v>
      </c>
      <c r="R231" s="150">
        <f>IF($B231="NA","NA",IF($B231&lt;=$D$15,0,MIN(IF($B231=($D$15+1),'Stage (8) Investment'!$I231,SUM($K230:R230)),'Stage (9) Investment:Stage (10) Investment'!$I231)-SUM($K231:Q231)))</f>
        <v>0</v>
      </c>
      <c r="S231" s="150">
        <f>IF($B231="NA","NA",IF($B231&lt;=$D$16,0,MIN(IF($B231=($D$16+1),'Stage (9) Investment'!$I231,SUM($K230:S230)),'Stage (10) Investment'!$I231)-SUM($K231:R231)))</f>
        <v>0</v>
      </c>
      <c r="T231" s="151">
        <f>IF($B231="NA","NA",IF($B231&lt;=$D$17,0,IF($B231=($D$17+1),'Stage (10) Investment'!$I231,SUM($K230:T230))-SUM($K231:S231)))</f>
        <v>0</v>
      </c>
    </row>
    <row r="232" spans="1:20" x14ac:dyDescent="0.2">
      <c r="A232" s="86">
        <f t="shared" si="24"/>
        <v>6362</v>
      </c>
      <c r="B232" s="142">
        <f t="shared" si="25"/>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50">
        <f>IF(B232="NA","NA",IF(ISNUMBER(VLOOKUP($C232,'A4 Investment'!$A$24:$G$33,7,FALSE)),VLOOKUP($C232,'A4 Investment'!$A$24:$G$33,7,FALSE)*'A4 Investment'!G$18/12,0))</f>
        <v>0</v>
      </c>
      <c r="I232" s="151">
        <f t="shared" si="23"/>
        <v>8904.1666666666661</v>
      </c>
      <c r="J232" s="149">
        <f t="shared" si="26"/>
        <v>8904.1666666666661</v>
      </c>
      <c r="K232" s="150">
        <f>IF($B232="NA","NA",IF($B232&lt;=$D$8,0,MIN(IF($B232=($D$8+1),'Stage (1) Investment'!$I232,K231),'Stage (2) Investment:Stage (10) Investment'!$I232)))</f>
        <v>8904.1666666666661</v>
      </c>
      <c r="L232" s="150">
        <f>IF($B232="NA","NA",IF($B232&lt;=$D$9,0,MIN(IF($B232=($D$9+1),'Stage (2) Investment'!$I232,SUM($K231:L231)),'Stage (3) Investment:Stage (10) Investment'!$I232)-K232))</f>
        <v>0</v>
      </c>
      <c r="M232" s="150">
        <f>IF($B232="NA","NA",IF($B232&lt;=$D$10,0,MIN(IF($B232=($D$10+1),'Stage (3) Investment'!$I232,SUM($K231:M231)),'Stage (4) Investment:Stage (10) Investment'!$I232)-SUM($K232:L232)))</f>
        <v>0</v>
      </c>
      <c r="N232" s="150">
        <f>IF($B232="NA","NA",IF($B232&lt;=$D$11,0,MIN(IF($B232=($D$11+1),'Stage (4) Investment'!$I232,SUM($K231:N231)),'Stage (5) Investment:Stage (10) Investment'!$I232)-SUM($K232:M232)))</f>
        <v>0</v>
      </c>
      <c r="O232" s="150">
        <f>IF($B232="NA","NA",IF($B232&lt;=$D$12,0,MIN(IF($B232=($D$12+1),'Stage (5) Investment'!$I232,SUM($K231:O231)),'Stage (6) Investment:Stage (10) Investment'!$I232)-SUM($K232:N232)))</f>
        <v>0</v>
      </c>
      <c r="P232" s="150">
        <f>IF($B232="NA","NA",IF($B232&lt;=$D$13,0,MIN(IF($B232=($D$13+1),'Stage (6) Investment'!$I232,SUM($K231:P231)),'Stage (7) Investment:Stage (10) Investment'!$I232)-SUM($K232:O232)))</f>
        <v>0</v>
      </c>
      <c r="Q232" s="150">
        <f>IF($B232="NA","NA",IF($B232&lt;=$D$14,0,MIN(IF($B232=($D$14+1),'Stage (7) Investment'!$I232,SUM($K231:Q231)),'Stage (8) Investment:Stage (10) Investment'!$I232)-SUM($K232:P232)))</f>
        <v>0</v>
      </c>
      <c r="R232" s="150">
        <f>IF($B232="NA","NA",IF($B232&lt;=$D$15,0,MIN(IF($B232=($D$15+1),'Stage (8) Investment'!$I232,SUM($K231:R231)),'Stage (9) Investment:Stage (10) Investment'!$I232)-SUM($K232:Q232)))</f>
        <v>0</v>
      </c>
      <c r="S232" s="150">
        <f>IF($B232="NA","NA",IF($B232&lt;=$D$16,0,MIN(IF($B232=($D$16+1),'Stage (9) Investment'!$I232,SUM($K231:S231)),'Stage (10) Investment'!$I232)-SUM($K232:R232)))</f>
        <v>0</v>
      </c>
      <c r="T232" s="151">
        <f>IF($B232="NA","NA",IF($B232&lt;=$D$17,0,IF($B232=($D$17+1),'Stage (10) Investment'!$I232,SUM($K231:T231))-SUM($K232:S232)))</f>
        <v>0</v>
      </c>
    </row>
    <row r="233" spans="1:20" x14ac:dyDescent="0.2">
      <c r="A233" s="86">
        <f t="shared" si="24"/>
        <v>6392</v>
      </c>
      <c r="B233" s="142">
        <f t="shared" si="25"/>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50">
        <f>IF(B233="NA","NA",IF(ISNUMBER(VLOOKUP($C233,'A4 Investment'!$A$24:$G$33,7,FALSE)),VLOOKUP($C233,'A4 Investment'!$A$24:$G$33,7,FALSE)*'A4 Investment'!G$18/12,0))</f>
        <v>0</v>
      </c>
      <c r="I233" s="151">
        <f t="shared" si="23"/>
        <v>8904.1666666666661</v>
      </c>
      <c r="J233" s="149">
        <f t="shared" si="26"/>
        <v>8904.1666666666661</v>
      </c>
      <c r="K233" s="150">
        <f>IF($B233="NA","NA",IF($B233&lt;=$D$8,0,MIN(IF($B233=($D$8+1),'Stage (1) Investment'!$I233,K232),'Stage (2) Investment:Stage (10) Investment'!$I233)))</f>
        <v>8904.1666666666661</v>
      </c>
      <c r="L233" s="150">
        <f>IF($B233="NA","NA",IF($B233&lt;=$D$9,0,MIN(IF($B233=($D$9+1),'Stage (2) Investment'!$I233,SUM($K232:L232)),'Stage (3) Investment:Stage (10) Investment'!$I233)-K233))</f>
        <v>0</v>
      </c>
      <c r="M233" s="150">
        <f>IF($B233="NA","NA",IF($B233&lt;=$D$10,0,MIN(IF($B233=($D$10+1),'Stage (3) Investment'!$I233,SUM($K232:M232)),'Stage (4) Investment:Stage (10) Investment'!$I233)-SUM($K233:L233)))</f>
        <v>0</v>
      </c>
      <c r="N233" s="150">
        <f>IF($B233="NA","NA",IF($B233&lt;=$D$11,0,MIN(IF($B233=($D$11+1),'Stage (4) Investment'!$I233,SUM($K232:N232)),'Stage (5) Investment:Stage (10) Investment'!$I233)-SUM($K233:M233)))</f>
        <v>0</v>
      </c>
      <c r="O233" s="150">
        <f>IF($B233="NA","NA",IF($B233&lt;=$D$12,0,MIN(IF($B233=($D$12+1),'Stage (5) Investment'!$I233,SUM($K232:O232)),'Stage (6) Investment:Stage (10) Investment'!$I233)-SUM($K233:N233)))</f>
        <v>0</v>
      </c>
      <c r="P233" s="150">
        <f>IF($B233="NA","NA",IF($B233&lt;=$D$13,0,MIN(IF($B233=($D$13+1),'Stage (6) Investment'!$I233,SUM($K232:P232)),'Stage (7) Investment:Stage (10) Investment'!$I233)-SUM($K233:O233)))</f>
        <v>0</v>
      </c>
      <c r="Q233" s="150">
        <f>IF($B233="NA","NA",IF($B233&lt;=$D$14,0,MIN(IF($B233=($D$14+1),'Stage (7) Investment'!$I233,SUM($K232:Q232)),'Stage (8) Investment:Stage (10) Investment'!$I233)-SUM($K233:P233)))</f>
        <v>0</v>
      </c>
      <c r="R233" s="150">
        <f>IF($B233="NA","NA",IF($B233&lt;=$D$15,0,MIN(IF($B233=($D$15+1),'Stage (8) Investment'!$I233,SUM($K232:R232)),'Stage (9) Investment:Stage (10) Investment'!$I233)-SUM($K233:Q233)))</f>
        <v>0</v>
      </c>
      <c r="S233" s="150">
        <f>IF($B233="NA","NA",IF($B233&lt;=$D$16,0,MIN(IF($B233=($D$16+1),'Stage (9) Investment'!$I233,SUM($K232:S232)),'Stage (10) Investment'!$I233)-SUM($K233:R233)))</f>
        <v>0</v>
      </c>
      <c r="T233" s="151">
        <f>IF($B233="NA","NA",IF($B233&lt;=$D$17,0,IF($B233=($D$17+1),'Stage (10) Investment'!$I233,SUM($K232:T232))-SUM($K233:S233)))</f>
        <v>0</v>
      </c>
    </row>
    <row r="234" spans="1:20" x14ac:dyDescent="0.2">
      <c r="A234" s="86">
        <f t="shared" si="24"/>
        <v>6423</v>
      </c>
      <c r="B234" s="142">
        <f t="shared" si="25"/>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50">
        <f>IF(B234="NA","NA",IF(ISNUMBER(VLOOKUP($C234,'A4 Investment'!$A$24:$G$33,7,FALSE)),VLOOKUP($C234,'A4 Investment'!$A$24:$G$33,7,FALSE)*'A4 Investment'!G$18/12,0))</f>
        <v>0</v>
      </c>
      <c r="I234" s="151">
        <f t="shared" si="23"/>
        <v>8904.1666666666661</v>
      </c>
      <c r="J234" s="149">
        <f t="shared" si="26"/>
        <v>8904.1666666666661</v>
      </c>
      <c r="K234" s="150">
        <f>IF($B234="NA","NA",IF($B234&lt;=$D$8,0,MIN(IF($B234=($D$8+1),'Stage (1) Investment'!$I234,K233),'Stage (2) Investment:Stage (10) Investment'!$I234)))</f>
        <v>8904.1666666666661</v>
      </c>
      <c r="L234" s="150">
        <f>IF($B234="NA","NA",IF($B234&lt;=$D$9,0,MIN(IF($B234=($D$9+1),'Stage (2) Investment'!$I234,SUM($K233:L233)),'Stage (3) Investment:Stage (10) Investment'!$I234)-K234))</f>
        <v>0</v>
      </c>
      <c r="M234" s="150">
        <f>IF($B234="NA","NA",IF($B234&lt;=$D$10,0,MIN(IF($B234=($D$10+1),'Stage (3) Investment'!$I234,SUM($K233:M233)),'Stage (4) Investment:Stage (10) Investment'!$I234)-SUM($K234:L234)))</f>
        <v>0</v>
      </c>
      <c r="N234" s="150">
        <f>IF($B234="NA","NA",IF($B234&lt;=$D$11,0,MIN(IF($B234=($D$11+1),'Stage (4) Investment'!$I234,SUM($K233:N233)),'Stage (5) Investment:Stage (10) Investment'!$I234)-SUM($K234:M234)))</f>
        <v>0</v>
      </c>
      <c r="O234" s="150">
        <f>IF($B234="NA","NA",IF($B234&lt;=$D$12,0,MIN(IF($B234=($D$12+1),'Stage (5) Investment'!$I234,SUM($K233:O233)),'Stage (6) Investment:Stage (10) Investment'!$I234)-SUM($K234:N234)))</f>
        <v>0</v>
      </c>
      <c r="P234" s="150">
        <f>IF($B234="NA","NA",IF($B234&lt;=$D$13,0,MIN(IF($B234=($D$13+1),'Stage (6) Investment'!$I234,SUM($K233:P233)),'Stage (7) Investment:Stage (10) Investment'!$I234)-SUM($K234:O234)))</f>
        <v>0</v>
      </c>
      <c r="Q234" s="150">
        <f>IF($B234="NA","NA",IF($B234&lt;=$D$14,0,MIN(IF($B234=($D$14+1),'Stage (7) Investment'!$I234,SUM($K233:Q233)),'Stage (8) Investment:Stage (10) Investment'!$I234)-SUM($K234:P234)))</f>
        <v>0</v>
      </c>
      <c r="R234" s="150">
        <f>IF($B234="NA","NA",IF($B234&lt;=$D$15,0,MIN(IF($B234=($D$15+1),'Stage (8) Investment'!$I234,SUM($K233:R233)),'Stage (9) Investment:Stage (10) Investment'!$I234)-SUM($K234:Q234)))</f>
        <v>0</v>
      </c>
      <c r="S234" s="150">
        <f>IF($B234="NA","NA",IF($B234&lt;=$D$16,0,MIN(IF($B234=($D$16+1),'Stage (9) Investment'!$I234,SUM($K233:S233)),'Stage (10) Investment'!$I234)-SUM($K234:R234)))</f>
        <v>0</v>
      </c>
      <c r="T234" s="151">
        <f>IF($B234="NA","NA",IF($B234&lt;=$D$17,0,IF($B234=($D$17+1),'Stage (10) Investment'!$I234,SUM($K233:T233))-SUM($K234:S234)))</f>
        <v>0</v>
      </c>
    </row>
    <row r="235" spans="1:20" x14ac:dyDescent="0.2">
      <c r="A235" s="86">
        <f t="shared" si="24"/>
        <v>6454</v>
      </c>
      <c r="B235" s="142">
        <f t="shared" si="25"/>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50">
        <f>IF(B235="NA","NA",IF(ISNUMBER(VLOOKUP($C235,'A4 Investment'!$A$24:$G$33,7,FALSE)),VLOOKUP($C235,'A4 Investment'!$A$24:$G$33,7,FALSE)*'A4 Investment'!G$18/12,0))</f>
        <v>0</v>
      </c>
      <c r="I235" s="151">
        <f t="shared" si="23"/>
        <v>8904.1666666666661</v>
      </c>
      <c r="J235" s="149">
        <f t="shared" si="26"/>
        <v>8904.1666666666661</v>
      </c>
      <c r="K235" s="150">
        <f>IF($B235="NA","NA",IF($B235&lt;=$D$8,0,MIN(IF($B235=($D$8+1),'Stage (1) Investment'!$I235,K234),'Stage (2) Investment:Stage (10) Investment'!$I235)))</f>
        <v>8904.1666666666661</v>
      </c>
      <c r="L235" s="150">
        <f>IF($B235="NA","NA",IF($B235&lt;=$D$9,0,MIN(IF($B235=($D$9+1),'Stage (2) Investment'!$I235,SUM($K234:L234)),'Stage (3) Investment:Stage (10) Investment'!$I235)-K235))</f>
        <v>0</v>
      </c>
      <c r="M235" s="150">
        <f>IF($B235="NA","NA",IF($B235&lt;=$D$10,0,MIN(IF($B235=($D$10+1),'Stage (3) Investment'!$I235,SUM($K234:M234)),'Stage (4) Investment:Stage (10) Investment'!$I235)-SUM($K235:L235)))</f>
        <v>0</v>
      </c>
      <c r="N235" s="150">
        <f>IF($B235="NA","NA",IF($B235&lt;=$D$11,0,MIN(IF($B235=($D$11+1),'Stage (4) Investment'!$I235,SUM($K234:N234)),'Stage (5) Investment:Stage (10) Investment'!$I235)-SUM($K235:M235)))</f>
        <v>0</v>
      </c>
      <c r="O235" s="150">
        <f>IF($B235="NA","NA",IF($B235&lt;=$D$12,0,MIN(IF($B235=($D$12+1),'Stage (5) Investment'!$I235,SUM($K234:O234)),'Stage (6) Investment:Stage (10) Investment'!$I235)-SUM($K235:N235)))</f>
        <v>0</v>
      </c>
      <c r="P235" s="150">
        <f>IF($B235="NA","NA",IF($B235&lt;=$D$13,0,MIN(IF($B235=($D$13+1),'Stage (6) Investment'!$I235,SUM($K234:P234)),'Stage (7) Investment:Stage (10) Investment'!$I235)-SUM($K235:O235)))</f>
        <v>0</v>
      </c>
      <c r="Q235" s="150">
        <f>IF($B235="NA","NA",IF($B235&lt;=$D$14,0,MIN(IF($B235=($D$14+1),'Stage (7) Investment'!$I235,SUM($K234:Q234)),'Stage (8) Investment:Stage (10) Investment'!$I235)-SUM($K235:P235)))</f>
        <v>0</v>
      </c>
      <c r="R235" s="150">
        <f>IF($B235="NA","NA",IF($B235&lt;=$D$15,0,MIN(IF($B235=($D$15+1),'Stage (8) Investment'!$I235,SUM($K234:R234)),'Stage (9) Investment:Stage (10) Investment'!$I235)-SUM($K235:Q235)))</f>
        <v>0</v>
      </c>
      <c r="S235" s="150">
        <f>IF($B235="NA","NA",IF($B235&lt;=$D$16,0,MIN(IF($B235=($D$16+1),'Stage (9) Investment'!$I235,SUM($K234:S234)),'Stage (10) Investment'!$I235)-SUM($K235:R235)))</f>
        <v>0</v>
      </c>
      <c r="T235" s="151">
        <f>IF($B235="NA","NA",IF($B235&lt;=$D$17,0,IF($B235=($D$17+1),'Stage (10) Investment'!$I235,SUM($K234:T234))-SUM($K235:S235)))</f>
        <v>0</v>
      </c>
    </row>
    <row r="236" spans="1:20" x14ac:dyDescent="0.2">
      <c r="A236" s="86">
        <f t="shared" si="24"/>
        <v>6484</v>
      </c>
      <c r="B236" s="142">
        <f t="shared" si="25"/>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50">
        <f>IF(B236="NA","NA",IF(ISNUMBER(VLOOKUP($C236,'A4 Investment'!$A$24:$G$33,7,FALSE)),VLOOKUP($C236,'A4 Investment'!$A$24:$G$33,7,FALSE)*'A4 Investment'!G$18/12,0))</f>
        <v>0</v>
      </c>
      <c r="I236" s="151">
        <f t="shared" si="23"/>
        <v>8904.1666666666661</v>
      </c>
      <c r="J236" s="149">
        <f t="shared" si="26"/>
        <v>8904.1666666666661</v>
      </c>
      <c r="K236" s="150">
        <f>IF($B236="NA","NA",IF($B236&lt;=$D$8,0,MIN(IF($B236=($D$8+1),'Stage (1) Investment'!$I236,K235),'Stage (2) Investment:Stage (10) Investment'!$I236)))</f>
        <v>8904.1666666666661</v>
      </c>
      <c r="L236" s="150">
        <f>IF($B236="NA","NA",IF($B236&lt;=$D$9,0,MIN(IF($B236=($D$9+1),'Stage (2) Investment'!$I236,SUM($K235:L235)),'Stage (3) Investment:Stage (10) Investment'!$I236)-K236))</f>
        <v>0</v>
      </c>
      <c r="M236" s="150">
        <f>IF($B236="NA","NA",IF($B236&lt;=$D$10,0,MIN(IF($B236=($D$10+1),'Stage (3) Investment'!$I236,SUM($K235:M235)),'Stage (4) Investment:Stage (10) Investment'!$I236)-SUM($K236:L236)))</f>
        <v>0</v>
      </c>
      <c r="N236" s="150">
        <f>IF($B236="NA","NA",IF($B236&lt;=$D$11,0,MIN(IF($B236=($D$11+1),'Stage (4) Investment'!$I236,SUM($K235:N235)),'Stage (5) Investment:Stage (10) Investment'!$I236)-SUM($K236:M236)))</f>
        <v>0</v>
      </c>
      <c r="O236" s="150">
        <f>IF($B236="NA","NA",IF($B236&lt;=$D$12,0,MIN(IF($B236=($D$12+1),'Stage (5) Investment'!$I236,SUM($K235:O235)),'Stage (6) Investment:Stage (10) Investment'!$I236)-SUM($K236:N236)))</f>
        <v>0</v>
      </c>
      <c r="P236" s="150">
        <f>IF($B236="NA","NA",IF($B236&lt;=$D$13,0,MIN(IF($B236=($D$13+1),'Stage (6) Investment'!$I236,SUM($K235:P235)),'Stage (7) Investment:Stage (10) Investment'!$I236)-SUM($K236:O236)))</f>
        <v>0</v>
      </c>
      <c r="Q236" s="150">
        <f>IF($B236="NA","NA",IF($B236&lt;=$D$14,0,MIN(IF($B236=($D$14+1),'Stage (7) Investment'!$I236,SUM($K235:Q235)),'Stage (8) Investment:Stage (10) Investment'!$I236)-SUM($K236:P236)))</f>
        <v>0</v>
      </c>
      <c r="R236" s="150">
        <f>IF($B236="NA","NA",IF($B236&lt;=$D$15,0,MIN(IF($B236=($D$15+1),'Stage (8) Investment'!$I236,SUM($K235:R235)),'Stage (9) Investment:Stage (10) Investment'!$I236)-SUM($K236:Q236)))</f>
        <v>0</v>
      </c>
      <c r="S236" s="150">
        <f>IF($B236="NA","NA",IF($B236&lt;=$D$16,0,MIN(IF($B236=($D$16+1),'Stage (9) Investment'!$I236,SUM($K235:S235)),'Stage (10) Investment'!$I236)-SUM($K236:R236)))</f>
        <v>0</v>
      </c>
      <c r="T236" s="151">
        <f>IF($B236="NA","NA",IF($B236&lt;=$D$17,0,IF($B236=($D$17+1),'Stage (10) Investment'!$I236,SUM($K235:T235))-SUM($K236:S236)))</f>
        <v>0</v>
      </c>
    </row>
    <row r="237" spans="1:20" x14ac:dyDescent="0.2">
      <c r="A237" s="86">
        <f t="shared" si="24"/>
        <v>6515</v>
      </c>
      <c r="B237" s="142">
        <f t="shared" si="25"/>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50">
        <f>IF(B237="NA","NA",IF(ISNUMBER(VLOOKUP($C237,'A4 Investment'!$A$24:$G$33,7,FALSE)),VLOOKUP($C237,'A4 Investment'!$A$24:$G$33,7,FALSE)*'A4 Investment'!G$18/12,0))</f>
        <v>0</v>
      </c>
      <c r="I237" s="151">
        <f t="shared" si="23"/>
        <v>8904.1666666666661</v>
      </c>
      <c r="J237" s="149">
        <f t="shared" si="26"/>
        <v>8904.1666666666661</v>
      </c>
      <c r="K237" s="150">
        <f>IF($B237="NA","NA",IF($B237&lt;=$D$8,0,MIN(IF($B237=($D$8+1),'Stage (1) Investment'!$I237,K236),'Stage (2) Investment:Stage (10) Investment'!$I237)))</f>
        <v>8904.1666666666661</v>
      </c>
      <c r="L237" s="150">
        <f>IF($B237="NA","NA",IF($B237&lt;=$D$9,0,MIN(IF($B237=($D$9+1),'Stage (2) Investment'!$I237,SUM($K236:L236)),'Stage (3) Investment:Stage (10) Investment'!$I237)-K237))</f>
        <v>0</v>
      </c>
      <c r="M237" s="150">
        <f>IF($B237="NA","NA",IF($B237&lt;=$D$10,0,MIN(IF($B237=($D$10+1),'Stage (3) Investment'!$I237,SUM($K236:M236)),'Stage (4) Investment:Stage (10) Investment'!$I237)-SUM($K237:L237)))</f>
        <v>0</v>
      </c>
      <c r="N237" s="150">
        <f>IF($B237="NA","NA",IF($B237&lt;=$D$11,0,MIN(IF($B237=($D$11+1),'Stage (4) Investment'!$I237,SUM($K236:N236)),'Stage (5) Investment:Stage (10) Investment'!$I237)-SUM($K237:M237)))</f>
        <v>0</v>
      </c>
      <c r="O237" s="150">
        <f>IF($B237="NA","NA",IF($B237&lt;=$D$12,0,MIN(IF($B237=($D$12+1),'Stage (5) Investment'!$I237,SUM($K236:O236)),'Stage (6) Investment:Stage (10) Investment'!$I237)-SUM($K237:N237)))</f>
        <v>0</v>
      </c>
      <c r="P237" s="150">
        <f>IF($B237="NA","NA",IF($B237&lt;=$D$13,0,MIN(IF($B237=($D$13+1),'Stage (6) Investment'!$I237,SUM($K236:P236)),'Stage (7) Investment:Stage (10) Investment'!$I237)-SUM($K237:O237)))</f>
        <v>0</v>
      </c>
      <c r="Q237" s="150">
        <f>IF($B237="NA","NA",IF($B237&lt;=$D$14,0,MIN(IF($B237=($D$14+1),'Stage (7) Investment'!$I237,SUM($K236:Q236)),'Stage (8) Investment:Stage (10) Investment'!$I237)-SUM($K237:P237)))</f>
        <v>0</v>
      </c>
      <c r="R237" s="150">
        <f>IF($B237="NA","NA",IF($B237&lt;=$D$15,0,MIN(IF($B237=($D$15+1),'Stage (8) Investment'!$I237,SUM($K236:R236)),'Stage (9) Investment:Stage (10) Investment'!$I237)-SUM($K237:Q237)))</f>
        <v>0</v>
      </c>
      <c r="S237" s="150">
        <f>IF($B237="NA","NA",IF($B237&lt;=$D$16,0,MIN(IF($B237=($D$16+1),'Stage (9) Investment'!$I237,SUM($K236:S236)),'Stage (10) Investment'!$I237)-SUM($K237:R237)))</f>
        <v>0</v>
      </c>
      <c r="T237" s="151">
        <f>IF($B237="NA","NA",IF($B237&lt;=$D$17,0,IF($B237=($D$17+1),'Stage (10) Investment'!$I237,SUM($K236:T236))-SUM($K237:S237)))</f>
        <v>0</v>
      </c>
    </row>
    <row r="238" spans="1:20" x14ac:dyDescent="0.2">
      <c r="A238" s="86">
        <f t="shared" si="24"/>
        <v>6545</v>
      </c>
      <c r="B238" s="142">
        <f t="shared" si="25"/>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50">
        <f>IF(B238="NA","NA",IF(ISNUMBER(VLOOKUP($C238,'A4 Investment'!$A$24:$G$33,7,FALSE)),VLOOKUP($C238,'A4 Investment'!$A$24:$G$33,7,FALSE)*'A4 Investment'!G$18/12,0))</f>
        <v>0</v>
      </c>
      <c r="I238" s="151">
        <f t="shared" si="23"/>
        <v>8904.1666666666661</v>
      </c>
      <c r="J238" s="149">
        <f t="shared" si="26"/>
        <v>8904.1666666666661</v>
      </c>
      <c r="K238" s="150">
        <f>IF($B238="NA","NA",IF($B238&lt;=$D$8,0,MIN(IF($B238=($D$8+1),'Stage (1) Investment'!$I238,K237),'Stage (2) Investment:Stage (10) Investment'!$I238)))</f>
        <v>8904.1666666666661</v>
      </c>
      <c r="L238" s="150">
        <f>IF($B238="NA","NA",IF($B238&lt;=$D$9,0,MIN(IF($B238=($D$9+1),'Stage (2) Investment'!$I238,SUM($K237:L237)),'Stage (3) Investment:Stage (10) Investment'!$I238)-K238))</f>
        <v>0</v>
      </c>
      <c r="M238" s="150">
        <f>IF($B238="NA","NA",IF($B238&lt;=$D$10,0,MIN(IF($B238=($D$10+1),'Stage (3) Investment'!$I238,SUM($K237:M237)),'Stage (4) Investment:Stage (10) Investment'!$I238)-SUM($K238:L238)))</f>
        <v>0</v>
      </c>
      <c r="N238" s="150">
        <f>IF($B238="NA","NA",IF($B238&lt;=$D$11,0,MIN(IF($B238=($D$11+1),'Stage (4) Investment'!$I238,SUM($K237:N237)),'Stage (5) Investment:Stage (10) Investment'!$I238)-SUM($K238:M238)))</f>
        <v>0</v>
      </c>
      <c r="O238" s="150">
        <f>IF($B238="NA","NA",IF($B238&lt;=$D$12,0,MIN(IF($B238=($D$12+1),'Stage (5) Investment'!$I238,SUM($K237:O237)),'Stage (6) Investment:Stage (10) Investment'!$I238)-SUM($K238:N238)))</f>
        <v>0</v>
      </c>
      <c r="P238" s="150">
        <f>IF($B238="NA","NA",IF($B238&lt;=$D$13,0,MIN(IF($B238=($D$13+1),'Stage (6) Investment'!$I238,SUM($K237:P237)),'Stage (7) Investment:Stage (10) Investment'!$I238)-SUM($K238:O238)))</f>
        <v>0</v>
      </c>
      <c r="Q238" s="150">
        <f>IF($B238="NA","NA",IF($B238&lt;=$D$14,0,MIN(IF($B238=($D$14+1),'Stage (7) Investment'!$I238,SUM($K237:Q237)),'Stage (8) Investment:Stage (10) Investment'!$I238)-SUM($K238:P238)))</f>
        <v>0</v>
      </c>
      <c r="R238" s="150">
        <f>IF($B238="NA","NA",IF($B238&lt;=$D$15,0,MIN(IF($B238=($D$15+1),'Stage (8) Investment'!$I238,SUM($K237:R237)),'Stage (9) Investment:Stage (10) Investment'!$I238)-SUM($K238:Q238)))</f>
        <v>0</v>
      </c>
      <c r="S238" s="150">
        <f>IF($B238="NA","NA",IF($B238&lt;=$D$16,0,MIN(IF($B238=($D$16+1),'Stage (9) Investment'!$I238,SUM($K237:S237)),'Stage (10) Investment'!$I238)-SUM($K238:R238)))</f>
        <v>0</v>
      </c>
      <c r="T238" s="151">
        <f>IF($B238="NA","NA",IF($B238&lt;=$D$17,0,IF($B238=($D$17+1),'Stage (10) Investment'!$I238,SUM($K237:T237))-SUM($K238:S238)))</f>
        <v>0</v>
      </c>
    </row>
    <row r="239" spans="1:20" x14ac:dyDescent="0.2">
      <c r="A239" s="86">
        <f t="shared" si="24"/>
        <v>6576</v>
      </c>
      <c r="B239" s="142">
        <f t="shared" si="25"/>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50">
        <f>IF(B239="NA","NA",IF(ISNUMBER(VLOOKUP($C239,'A4 Investment'!$A$24:$G$33,7,FALSE)),VLOOKUP($C239,'A4 Investment'!$A$24:$G$33,7,FALSE)*'A4 Investment'!G$18/12,0))</f>
        <v>0</v>
      </c>
      <c r="I239" s="151">
        <f t="shared" si="23"/>
        <v>8904.1666666666661</v>
      </c>
      <c r="J239" s="149">
        <f t="shared" si="26"/>
        <v>8904.1666666666661</v>
      </c>
      <c r="K239" s="150">
        <f>IF($B239="NA","NA",IF($B239&lt;=$D$8,0,MIN(IF($B239=($D$8+1),'Stage (1) Investment'!$I239,K238),'Stage (2) Investment:Stage (10) Investment'!$I239)))</f>
        <v>8904.1666666666661</v>
      </c>
      <c r="L239" s="150">
        <f>IF($B239="NA","NA",IF($B239&lt;=$D$9,0,MIN(IF($B239=($D$9+1),'Stage (2) Investment'!$I239,SUM($K238:L238)),'Stage (3) Investment:Stage (10) Investment'!$I239)-K239))</f>
        <v>0</v>
      </c>
      <c r="M239" s="150">
        <f>IF($B239="NA","NA",IF($B239&lt;=$D$10,0,MIN(IF($B239=($D$10+1),'Stage (3) Investment'!$I239,SUM($K238:M238)),'Stage (4) Investment:Stage (10) Investment'!$I239)-SUM($K239:L239)))</f>
        <v>0</v>
      </c>
      <c r="N239" s="150">
        <f>IF($B239="NA","NA",IF($B239&lt;=$D$11,0,MIN(IF($B239=($D$11+1),'Stage (4) Investment'!$I239,SUM($K238:N238)),'Stage (5) Investment:Stage (10) Investment'!$I239)-SUM($K239:M239)))</f>
        <v>0</v>
      </c>
      <c r="O239" s="150">
        <f>IF($B239="NA","NA",IF($B239&lt;=$D$12,0,MIN(IF($B239=($D$12+1),'Stage (5) Investment'!$I239,SUM($K238:O238)),'Stage (6) Investment:Stage (10) Investment'!$I239)-SUM($K239:N239)))</f>
        <v>0</v>
      </c>
      <c r="P239" s="150">
        <f>IF($B239="NA","NA",IF($B239&lt;=$D$13,0,MIN(IF($B239=($D$13+1),'Stage (6) Investment'!$I239,SUM($K238:P238)),'Stage (7) Investment:Stage (10) Investment'!$I239)-SUM($K239:O239)))</f>
        <v>0</v>
      </c>
      <c r="Q239" s="150">
        <f>IF($B239="NA","NA",IF($B239&lt;=$D$14,0,MIN(IF($B239=($D$14+1),'Stage (7) Investment'!$I239,SUM($K238:Q238)),'Stage (8) Investment:Stage (10) Investment'!$I239)-SUM($K239:P239)))</f>
        <v>0</v>
      </c>
      <c r="R239" s="150">
        <f>IF($B239="NA","NA",IF($B239&lt;=$D$15,0,MIN(IF($B239=($D$15+1),'Stage (8) Investment'!$I239,SUM($K238:R238)),'Stage (9) Investment:Stage (10) Investment'!$I239)-SUM($K239:Q239)))</f>
        <v>0</v>
      </c>
      <c r="S239" s="150">
        <f>IF($B239="NA","NA",IF($B239&lt;=$D$16,0,MIN(IF($B239=($D$16+1),'Stage (9) Investment'!$I239,SUM($K238:S238)),'Stage (10) Investment'!$I239)-SUM($K239:R239)))</f>
        <v>0</v>
      </c>
      <c r="T239" s="151">
        <f>IF($B239="NA","NA",IF($B239&lt;=$D$17,0,IF($B239=($D$17+1),'Stage (10) Investment'!$I239,SUM($K238:T238))-SUM($K239:S239)))</f>
        <v>0</v>
      </c>
    </row>
    <row r="240" spans="1:20" x14ac:dyDescent="0.2">
      <c r="A240" s="86">
        <f t="shared" si="24"/>
        <v>6607</v>
      </c>
      <c r="B240" s="142">
        <f t="shared" si="25"/>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50">
        <f>IF(B240="NA","NA",IF(ISNUMBER(VLOOKUP($C240,'A4 Investment'!$A$24:$G$33,7,FALSE)),VLOOKUP($C240,'A4 Investment'!$A$24:$G$33,7,FALSE)*'A4 Investment'!G$18/12,0))</f>
        <v>0</v>
      </c>
      <c r="I240" s="151">
        <f t="shared" si="23"/>
        <v>8904.1666666666661</v>
      </c>
      <c r="J240" s="149">
        <f t="shared" si="26"/>
        <v>8904.1666666666661</v>
      </c>
      <c r="K240" s="150">
        <f>IF($B240="NA","NA",IF($B240&lt;=$D$8,0,MIN(IF($B240=($D$8+1),'Stage (1) Investment'!$I240,K239),'Stage (2) Investment:Stage (10) Investment'!$I240)))</f>
        <v>8904.1666666666661</v>
      </c>
      <c r="L240" s="150">
        <f>IF($B240="NA","NA",IF($B240&lt;=$D$9,0,MIN(IF($B240=($D$9+1),'Stage (2) Investment'!$I240,SUM($K239:L239)),'Stage (3) Investment:Stage (10) Investment'!$I240)-K240))</f>
        <v>0</v>
      </c>
      <c r="M240" s="150">
        <f>IF($B240="NA","NA",IF($B240&lt;=$D$10,0,MIN(IF($B240=($D$10+1),'Stage (3) Investment'!$I240,SUM($K239:M239)),'Stage (4) Investment:Stage (10) Investment'!$I240)-SUM($K240:L240)))</f>
        <v>0</v>
      </c>
      <c r="N240" s="150">
        <f>IF($B240="NA","NA",IF($B240&lt;=$D$11,0,MIN(IF($B240=($D$11+1),'Stage (4) Investment'!$I240,SUM($K239:N239)),'Stage (5) Investment:Stage (10) Investment'!$I240)-SUM($K240:M240)))</f>
        <v>0</v>
      </c>
      <c r="O240" s="150">
        <f>IF($B240="NA","NA",IF($B240&lt;=$D$12,0,MIN(IF($B240=($D$12+1),'Stage (5) Investment'!$I240,SUM($K239:O239)),'Stage (6) Investment:Stage (10) Investment'!$I240)-SUM($K240:N240)))</f>
        <v>0</v>
      </c>
      <c r="P240" s="150">
        <f>IF($B240="NA","NA",IF($B240&lt;=$D$13,0,MIN(IF($B240=($D$13+1),'Stage (6) Investment'!$I240,SUM($K239:P239)),'Stage (7) Investment:Stage (10) Investment'!$I240)-SUM($K240:O240)))</f>
        <v>0</v>
      </c>
      <c r="Q240" s="150">
        <f>IF($B240="NA","NA",IF($B240&lt;=$D$14,0,MIN(IF($B240=($D$14+1),'Stage (7) Investment'!$I240,SUM($K239:Q239)),'Stage (8) Investment:Stage (10) Investment'!$I240)-SUM($K240:P240)))</f>
        <v>0</v>
      </c>
      <c r="R240" s="150">
        <f>IF($B240="NA","NA",IF($B240&lt;=$D$15,0,MIN(IF($B240=($D$15+1),'Stage (8) Investment'!$I240,SUM($K239:R239)),'Stage (9) Investment:Stage (10) Investment'!$I240)-SUM($K240:Q240)))</f>
        <v>0</v>
      </c>
      <c r="S240" s="150">
        <f>IF($B240="NA","NA",IF($B240&lt;=$D$16,0,MIN(IF($B240=($D$16+1),'Stage (9) Investment'!$I240,SUM($K239:S239)),'Stage (10) Investment'!$I240)-SUM($K240:R240)))</f>
        <v>0</v>
      </c>
      <c r="T240" s="151">
        <f>IF($B240="NA","NA",IF($B240&lt;=$D$17,0,IF($B240=($D$17+1),'Stage (10) Investment'!$I240,SUM($K239:T239))-SUM($K240:S240)))</f>
        <v>0</v>
      </c>
    </row>
    <row r="241" spans="1:20" x14ac:dyDescent="0.2">
      <c r="A241" s="86">
        <f t="shared" si="24"/>
        <v>6635</v>
      </c>
      <c r="B241" s="142">
        <f t="shared" si="25"/>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50">
        <f>IF(B241="NA","NA",IF(ISNUMBER(VLOOKUP($C241,'A4 Investment'!$A$24:$G$33,7,FALSE)),VLOOKUP($C241,'A4 Investment'!$A$24:$G$33,7,FALSE)*'A4 Investment'!G$18/12,0))</f>
        <v>0</v>
      </c>
      <c r="I241" s="151">
        <f t="shared" si="23"/>
        <v>8904.1666666666661</v>
      </c>
      <c r="J241" s="149">
        <f t="shared" si="26"/>
        <v>8904.1666666666661</v>
      </c>
      <c r="K241" s="150">
        <f>IF($B241="NA","NA",IF($B241&lt;=$D$8,0,MIN(IF($B241=($D$8+1),'Stage (1) Investment'!$I241,K240),'Stage (2) Investment:Stage (10) Investment'!$I241)))</f>
        <v>8904.1666666666661</v>
      </c>
      <c r="L241" s="150">
        <f>IF($B241="NA","NA",IF($B241&lt;=$D$9,0,MIN(IF($B241=($D$9+1),'Stage (2) Investment'!$I241,SUM($K240:L240)),'Stage (3) Investment:Stage (10) Investment'!$I241)-K241))</f>
        <v>0</v>
      </c>
      <c r="M241" s="150">
        <f>IF($B241="NA","NA",IF($B241&lt;=$D$10,0,MIN(IF($B241=($D$10+1),'Stage (3) Investment'!$I241,SUM($K240:M240)),'Stage (4) Investment:Stage (10) Investment'!$I241)-SUM($K241:L241)))</f>
        <v>0</v>
      </c>
      <c r="N241" s="150">
        <f>IF($B241="NA","NA",IF($B241&lt;=$D$11,0,MIN(IF($B241=($D$11+1),'Stage (4) Investment'!$I241,SUM($K240:N240)),'Stage (5) Investment:Stage (10) Investment'!$I241)-SUM($K241:M241)))</f>
        <v>0</v>
      </c>
      <c r="O241" s="150">
        <f>IF($B241="NA","NA",IF($B241&lt;=$D$12,0,MIN(IF($B241=($D$12+1),'Stage (5) Investment'!$I241,SUM($K240:O240)),'Stage (6) Investment:Stage (10) Investment'!$I241)-SUM($K241:N241)))</f>
        <v>0</v>
      </c>
      <c r="P241" s="150">
        <f>IF($B241="NA","NA",IF($B241&lt;=$D$13,0,MIN(IF($B241=($D$13+1),'Stage (6) Investment'!$I241,SUM($K240:P240)),'Stage (7) Investment:Stage (10) Investment'!$I241)-SUM($K241:O241)))</f>
        <v>0</v>
      </c>
      <c r="Q241" s="150">
        <f>IF($B241="NA","NA",IF($B241&lt;=$D$14,0,MIN(IF($B241=($D$14+1),'Stage (7) Investment'!$I241,SUM($K240:Q240)),'Stage (8) Investment:Stage (10) Investment'!$I241)-SUM($K241:P241)))</f>
        <v>0</v>
      </c>
      <c r="R241" s="150">
        <f>IF($B241="NA","NA",IF($B241&lt;=$D$15,0,MIN(IF($B241=($D$15+1),'Stage (8) Investment'!$I241,SUM($K240:R240)),'Stage (9) Investment:Stage (10) Investment'!$I241)-SUM($K241:Q241)))</f>
        <v>0</v>
      </c>
      <c r="S241" s="150">
        <f>IF($B241="NA","NA",IF($B241&lt;=$D$16,0,MIN(IF($B241=($D$16+1),'Stage (9) Investment'!$I241,SUM($K240:S240)),'Stage (10) Investment'!$I241)-SUM($K241:R241)))</f>
        <v>0</v>
      </c>
      <c r="T241" s="151">
        <f>IF($B241="NA","NA",IF($B241&lt;=$D$17,0,IF($B241=($D$17+1),'Stage (10) Investment'!$I241,SUM($K240:T240))-SUM($K241:S241)))</f>
        <v>0</v>
      </c>
    </row>
    <row r="242" spans="1:20" x14ac:dyDescent="0.2">
      <c r="A242" s="86">
        <f t="shared" si="24"/>
        <v>6666</v>
      </c>
      <c r="B242" s="142">
        <f t="shared" si="25"/>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50">
        <f>IF(B242="NA","NA",IF(ISNUMBER(VLOOKUP($C242,'A4 Investment'!$A$24:$G$33,7,FALSE)),VLOOKUP($C242,'A4 Investment'!$A$24:$G$33,7,FALSE)*'A4 Investment'!G$18/12,0))</f>
        <v>0</v>
      </c>
      <c r="I242" s="151">
        <f t="shared" si="23"/>
        <v>8904.1666666666661</v>
      </c>
      <c r="J242" s="149">
        <f t="shared" si="26"/>
        <v>8904.1666666666661</v>
      </c>
      <c r="K242" s="150">
        <f>IF($B242="NA","NA",IF($B242&lt;=$D$8,0,MIN(IF($B242=($D$8+1),'Stage (1) Investment'!$I242,K241),'Stage (2) Investment:Stage (10) Investment'!$I242)))</f>
        <v>8904.1666666666661</v>
      </c>
      <c r="L242" s="150">
        <f>IF($B242="NA","NA",IF($B242&lt;=$D$9,0,MIN(IF($B242=($D$9+1),'Stage (2) Investment'!$I242,SUM($K241:L241)),'Stage (3) Investment:Stage (10) Investment'!$I242)-K242))</f>
        <v>0</v>
      </c>
      <c r="M242" s="150">
        <f>IF($B242="NA","NA",IF($B242&lt;=$D$10,0,MIN(IF($B242=($D$10+1),'Stage (3) Investment'!$I242,SUM($K241:M241)),'Stage (4) Investment:Stage (10) Investment'!$I242)-SUM($K242:L242)))</f>
        <v>0</v>
      </c>
      <c r="N242" s="150">
        <f>IF($B242="NA","NA",IF($B242&lt;=$D$11,0,MIN(IF($B242=($D$11+1),'Stage (4) Investment'!$I242,SUM($K241:N241)),'Stage (5) Investment:Stage (10) Investment'!$I242)-SUM($K242:M242)))</f>
        <v>0</v>
      </c>
      <c r="O242" s="150">
        <f>IF($B242="NA","NA",IF($B242&lt;=$D$12,0,MIN(IF($B242=($D$12+1),'Stage (5) Investment'!$I242,SUM($K241:O241)),'Stage (6) Investment:Stage (10) Investment'!$I242)-SUM($K242:N242)))</f>
        <v>0</v>
      </c>
      <c r="P242" s="150">
        <f>IF($B242="NA","NA",IF($B242&lt;=$D$13,0,MIN(IF($B242=($D$13+1),'Stage (6) Investment'!$I242,SUM($K241:P241)),'Stage (7) Investment:Stage (10) Investment'!$I242)-SUM($K242:O242)))</f>
        <v>0</v>
      </c>
      <c r="Q242" s="150">
        <f>IF($B242="NA","NA",IF($B242&lt;=$D$14,0,MIN(IF($B242=($D$14+1),'Stage (7) Investment'!$I242,SUM($K241:Q241)),'Stage (8) Investment:Stage (10) Investment'!$I242)-SUM($K242:P242)))</f>
        <v>0</v>
      </c>
      <c r="R242" s="150">
        <f>IF($B242="NA","NA",IF($B242&lt;=$D$15,0,MIN(IF($B242=($D$15+1),'Stage (8) Investment'!$I242,SUM($K241:R241)),'Stage (9) Investment:Stage (10) Investment'!$I242)-SUM($K242:Q242)))</f>
        <v>0</v>
      </c>
      <c r="S242" s="150">
        <f>IF($B242="NA","NA",IF($B242&lt;=$D$16,0,MIN(IF($B242=($D$16+1),'Stage (9) Investment'!$I242,SUM($K241:S241)),'Stage (10) Investment'!$I242)-SUM($K242:R242)))</f>
        <v>0</v>
      </c>
      <c r="T242" s="151">
        <f>IF($B242="NA","NA",IF($B242&lt;=$D$17,0,IF($B242=($D$17+1),'Stage (10) Investment'!$I242,SUM($K241:T241))-SUM($K242:S242)))</f>
        <v>0</v>
      </c>
    </row>
    <row r="243" spans="1:20" x14ac:dyDescent="0.2">
      <c r="A243" s="86">
        <f t="shared" si="24"/>
        <v>6696</v>
      </c>
      <c r="B243" s="142">
        <f t="shared" si="25"/>
        <v>221</v>
      </c>
      <c r="C243" s="143">
        <f t="shared" ref="C243:C262" si="27">IF(B243="NA","NA",MATCH(B243-1,$D$8:$D$18,1))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50">
        <f>IF(B243="NA","NA",IF(ISNUMBER(VLOOKUP($C243,'A4 Investment'!$A$24:$G$33,7,FALSE)),VLOOKUP($C243,'A4 Investment'!$A$24:$G$33,7,FALSE)*'A4 Investment'!G$18/12,0))</f>
        <v>0</v>
      </c>
      <c r="I243" s="151">
        <f t="shared" ref="I243:I262" si="28">IF(B243="NA","NA",SUM(D243:H243))</f>
        <v>8904.1666666666661</v>
      </c>
      <c r="J243" s="149">
        <f t="shared" si="26"/>
        <v>8904.1666666666661</v>
      </c>
      <c r="K243" s="150">
        <f>IF($B243="NA","NA",IF($B243&lt;=$D$8,0,MIN(IF($B243=($D$8+1),'Stage (1) Investment'!$I243,K242),'Stage (2) Investment:Stage (10) Investment'!$I243)))</f>
        <v>8904.1666666666661</v>
      </c>
      <c r="L243" s="150">
        <f>IF($B243="NA","NA",IF($B243&lt;=$D$9,0,MIN(IF($B243=($D$9+1),'Stage (2) Investment'!$I243,SUM($K242:L242)),'Stage (3) Investment:Stage (10) Investment'!$I243)-K243))</f>
        <v>0</v>
      </c>
      <c r="M243" s="150">
        <f>IF($B243="NA","NA",IF($B243&lt;=$D$10,0,MIN(IF($B243=($D$10+1),'Stage (3) Investment'!$I243,SUM($K242:M242)),'Stage (4) Investment:Stage (10) Investment'!$I243)-SUM($K243:L243)))</f>
        <v>0</v>
      </c>
      <c r="N243" s="150">
        <f>IF($B243="NA","NA",IF($B243&lt;=$D$11,0,MIN(IF($B243=($D$11+1),'Stage (4) Investment'!$I243,SUM($K242:N242)),'Stage (5) Investment:Stage (10) Investment'!$I243)-SUM($K243:M243)))</f>
        <v>0</v>
      </c>
      <c r="O243" s="150">
        <f>IF($B243="NA","NA",IF($B243&lt;=$D$12,0,MIN(IF($B243=($D$12+1),'Stage (5) Investment'!$I243,SUM($K242:O242)),'Stage (6) Investment:Stage (10) Investment'!$I243)-SUM($K243:N243)))</f>
        <v>0</v>
      </c>
      <c r="P243" s="150">
        <f>IF($B243="NA","NA",IF($B243&lt;=$D$13,0,MIN(IF($B243=($D$13+1),'Stage (6) Investment'!$I243,SUM($K242:P242)),'Stage (7) Investment:Stage (10) Investment'!$I243)-SUM($K243:O243)))</f>
        <v>0</v>
      </c>
      <c r="Q243" s="150">
        <f>IF($B243="NA","NA",IF($B243&lt;=$D$14,0,MIN(IF($B243=($D$14+1),'Stage (7) Investment'!$I243,SUM($K242:Q242)),'Stage (8) Investment:Stage (10) Investment'!$I243)-SUM($K243:P243)))</f>
        <v>0</v>
      </c>
      <c r="R243" s="150">
        <f>IF($B243="NA","NA",IF($B243&lt;=$D$15,0,MIN(IF($B243=($D$15+1),'Stage (8) Investment'!$I243,SUM($K242:R242)),'Stage (9) Investment:Stage (10) Investment'!$I243)-SUM($K243:Q243)))</f>
        <v>0</v>
      </c>
      <c r="S243" s="150">
        <f>IF($B243="NA","NA",IF($B243&lt;=$D$16,0,MIN(IF($B243=($D$16+1),'Stage (9) Investment'!$I243,SUM($K242:S242)),'Stage (10) Investment'!$I243)-SUM($K243:R243)))</f>
        <v>0</v>
      </c>
      <c r="T243" s="151">
        <f>IF($B243="NA","NA",IF($B243&lt;=$D$17,0,IF($B243=($D$17+1),'Stage (10) Investment'!$I243,SUM($K242:T242))-SUM($K243:S243)))</f>
        <v>0</v>
      </c>
    </row>
    <row r="244" spans="1:20" x14ac:dyDescent="0.2">
      <c r="A244" s="86">
        <f t="shared" si="24"/>
        <v>6727</v>
      </c>
      <c r="B244" s="142">
        <f t="shared" si="25"/>
        <v>222</v>
      </c>
      <c r="C244" s="143">
        <f t="shared" si="27"/>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50">
        <f>IF(B244="NA","NA",IF(ISNUMBER(VLOOKUP($C244,'A4 Investment'!$A$24:$G$33,7,FALSE)),VLOOKUP($C244,'A4 Investment'!$A$24:$G$33,7,FALSE)*'A4 Investment'!G$18/12,0))</f>
        <v>0</v>
      </c>
      <c r="I244" s="151">
        <f t="shared" si="28"/>
        <v>8904.1666666666661</v>
      </c>
      <c r="J244" s="149">
        <f t="shared" si="26"/>
        <v>8904.1666666666661</v>
      </c>
      <c r="K244" s="150">
        <f>IF($B244="NA","NA",IF($B244&lt;=$D$8,0,MIN(IF($B244=($D$8+1),'Stage (1) Investment'!$I244,K243),'Stage (2) Investment:Stage (10) Investment'!$I244)))</f>
        <v>8904.1666666666661</v>
      </c>
      <c r="L244" s="150">
        <f>IF($B244="NA","NA",IF($B244&lt;=$D$9,0,MIN(IF($B244=($D$9+1),'Stage (2) Investment'!$I244,SUM($K243:L243)),'Stage (3) Investment:Stage (10) Investment'!$I244)-K244))</f>
        <v>0</v>
      </c>
      <c r="M244" s="150">
        <f>IF($B244="NA","NA",IF($B244&lt;=$D$10,0,MIN(IF($B244=($D$10+1),'Stage (3) Investment'!$I244,SUM($K243:M243)),'Stage (4) Investment:Stage (10) Investment'!$I244)-SUM($K244:L244)))</f>
        <v>0</v>
      </c>
      <c r="N244" s="150">
        <f>IF($B244="NA","NA",IF($B244&lt;=$D$11,0,MIN(IF($B244=($D$11+1),'Stage (4) Investment'!$I244,SUM($K243:N243)),'Stage (5) Investment:Stage (10) Investment'!$I244)-SUM($K244:M244)))</f>
        <v>0</v>
      </c>
      <c r="O244" s="150">
        <f>IF($B244="NA","NA",IF($B244&lt;=$D$12,0,MIN(IF($B244=($D$12+1),'Stage (5) Investment'!$I244,SUM($K243:O243)),'Stage (6) Investment:Stage (10) Investment'!$I244)-SUM($K244:N244)))</f>
        <v>0</v>
      </c>
      <c r="P244" s="150">
        <f>IF($B244="NA","NA",IF($B244&lt;=$D$13,0,MIN(IF($B244=($D$13+1),'Stage (6) Investment'!$I244,SUM($K243:P243)),'Stage (7) Investment:Stage (10) Investment'!$I244)-SUM($K244:O244)))</f>
        <v>0</v>
      </c>
      <c r="Q244" s="150">
        <f>IF($B244="NA","NA",IF($B244&lt;=$D$14,0,MIN(IF($B244=($D$14+1),'Stage (7) Investment'!$I244,SUM($K243:Q243)),'Stage (8) Investment:Stage (10) Investment'!$I244)-SUM($K244:P244)))</f>
        <v>0</v>
      </c>
      <c r="R244" s="150">
        <f>IF($B244="NA","NA",IF($B244&lt;=$D$15,0,MIN(IF($B244=($D$15+1),'Stage (8) Investment'!$I244,SUM($K243:R243)),'Stage (9) Investment:Stage (10) Investment'!$I244)-SUM($K244:Q244)))</f>
        <v>0</v>
      </c>
      <c r="S244" s="150">
        <f>IF($B244="NA","NA",IF($B244&lt;=$D$16,0,MIN(IF($B244=($D$16+1),'Stage (9) Investment'!$I244,SUM($K243:S243)),'Stage (10) Investment'!$I244)-SUM($K244:R244)))</f>
        <v>0</v>
      </c>
      <c r="T244" s="151">
        <f>IF($B244="NA","NA",IF($B244&lt;=$D$17,0,IF($B244=($D$17+1),'Stage (10) Investment'!$I244,SUM($K243:T243))-SUM($K244:S244)))</f>
        <v>0</v>
      </c>
    </row>
    <row r="245" spans="1:20" x14ac:dyDescent="0.2">
      <c r="A245" s="86">
        <f t="shared" si="24"/>
        <v>6757</v>
      </c>
      <c r="B245" s="142">
        <f t="shared" si="25"/>
        <v>223</v>
      </c>
      <c r="C245" s="143">
        <f t="shared" si="27"/>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50">
        <f>IF(B245="NA","NA",IF(ISNUMBER(VLOOKUP($C245,'A4 Investment'!$A$24:$G$33,7,FALSE)),VLOOKUP($C245,'A4 Investment'!$A$24:$G$33,7,FALSE)*'A4 Investment'!G$18/12,0))</f>
        <v>0</v>
      </c>
      <c r="I245" s="151">
        <f t="shared" si="28"/>
        <v>8904.1666666666661</v>
      </c>
      <c r="J245" s="149">
        <f t="shared" si="26"/>
        <v>8904.1666666666661</v>
      </c>
      <c r="K245" s="150">
        <f>IF($B245="NA","NA",IF($B245&lt;=$D$8,0,MIN(IF($B245=($D$8+1),'Stage (1) Investment'!$I245,K244),'Stage (2) Investment:Stage (10) Investment'!$I245)))</f>
        <v>8904.1666666666661</v>
      </c>
      <c r="L245" s="150">
        <f>IF($B245="NA","NA",IF($B245&lt;=$D$9,0,MIN(IF($B245=($D$9+1),'Stage (2) Investment'!$I245,SUM($K244:L244)),'Stage (3) Investment:Stage (10) Investment'!$I245)-K245))</f>
        <v>0</v>
      </c>
      <c r="M245" s="150">
        <f>IF($B245="NA","NA",IF($B245&lt;=$D$10,0,MIN(IF($B245=($D$10+1),'Stage (3) Investment'!$I245,SUM($K244:M244)),'Stage (4) Investment:Stage (10) Investment'!$I245)-SUM($K245:L245)))</f>
        <v>0</v>
      </c>
      <c r="N245" s="150">
        <f>IF($B245="NA","NA",IF($B245&lt;=$D$11,0,MIN(IF($B245=($D$11+1),'Stage (4) Investment'!$I245,SUM($K244:N244)),'Stage (5) Investment:Stage (10) Investment'!$I245)-SUM($K245:M245)))</f>
        <v>0</v>
      </c>
      <c r="O245" s="150">
        <f>IF($B245="NA","NA",IF($B245&lt;=$D$12,0,MIN(IF($B245=($D$12+1),'Stage (5) Investment'!$I245,SUM($K244:O244)),'Stage (6) Investment:Stage (10) Investment'!$I245)-SUM($K245:N245)))</f>
        <v>0</v>
      </c>
      <c r="P245" s="150">
        <f>IF($B245="NA","NA",IF($B245&lt;=$D$13,0,MIN(IF($B245=($D$13+1),'Stage (6) Investment'!$I245,SUM($K244:P244)),'Stage (7) Investment:Stage (10) Investment'!$I245)-SUM($K245:O245)))</f>
        <v>0</v>
      </c>
      <c r="Q245" s="150">
        <f>IF($B245="NA","NA",IF($B245&lt;=$D$14,0,MIN(IF($B245=($D$14+1),'Stage (7) Investment'!$I245,SUM($K244:Q244)),'Stage (8) Investment:Stage (10) Investment'!$I245)-SUM($K245:P245)))</f>
        <v>0</v>
      </c>
      <c r="R245" s="150">
        <f>IF($B245="NA","NA",IF($B245&lt;=$D$15,0,MIN(IF($B245=($D$15+1),'Stage (8) Investment'!$I245,SUM($K244:R244)),'Stage (9) Investment:Stage (10) Investment'!$I245)-SUM($K245:Q245)))</f>
        <v>0</v>
      </c>
      <c r="S245" s="150">
        <f>IF($B245="NA","NA",IF($B245&lt;=$D$16,0,MIN(IF($B245=($D$16+1),'Stage (9) Investment'!$I245,SUM($K244:S244)),'Stage (10) Investment'!$I245)-SUM($K245:R245)))</f>
        <v>0</v>
      </c>
      <c r="T245" s="151">
        <f>IF($B245="NA","NA",IF($B245&lt;=$D$17,0,IF($B245=($D$17+1),'Stage (10) Investment'!$I245,SUM($K244:T244))-SUM($K245:S245)))</f>
        <v>0</v>
      </c>
    </row>
    <row r="246" spans="1:20" x14ac:dyDescent="0.2">
      <c r="A246" s="86">
        <f t="shared" si="24"/>
        <v>6788</v>
      </c>
      <c r="B246" s="142">
        <f t="shared" si="25"/>
        <v>224</v>
      </c>
      <c r="C246" s="143">
        <f t="shared" si="27"/>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50">
        <f>IF(B246="NA","NA",IF(ISNUMBER(VLOOKUP($C246,'A4 Investment'!$A$24:$G$33,7,FALSE)),VLOOKUP($C246,'A4 Investment'!$A$24:$G$33,7,FALSE)*'A4 Investment'!G$18/12,0))</f>
        <v>0</v>
      </c>
      <c r="I246" s="151">
        <f t="shared" si="28"/>
        <v>8904.1666666666661</v>
      </c>
      <c r="J246" s="149">
        <f t="shared" si="26"/>
        <v>8904.1666666666661</v>
      </c>
      <c r="K246" s="150">
        <f>IF($B246="NA","NA",IF($B246&lt;=$D$8,0,MIN(IF($B246=($D$8+1),'Stage (1) Investment'!$I246,K245),'Stage (2) Investment:Stage (10) Investment'!$I246)))</f>
        <v>8904.1666666666661</v>
      </c>
      <c r="L246" s="150">
        <f>IF($B246="NA","NA",IF($B246&lt;=$D$9,0,MIN(IF($B246=($D$9+1),'Stage (2) Investment'!$I246,SUM($K245:L245)),'Stage (3) Investment:Stage (10) Investment'!$I246)-K246))</f>
        <v>0</v>
      </c>
      <c r="M246" s="150">
        <f>IF($B246="NA","NA",IF($B246&lt;=$D$10,0,MIN(IF($B246=($D$10+1),'Stage (3) Investment'!$I246,SUM($K245:M245)),'Stage (4) Investment:Stage (10) Investment'!$I246)-SUM($K246:L246)))</f>
        <v>0</v>
      </c>
      <c r="N246" s="150">
        <f>IF($B246="NA","NA",IF($B246&lt;=$D$11,0,MIN(IF($B246=($D$11+1),'Stage (4) Investment'!$I246,SUM($K245:N245)),'Stage (5) Investment:Stage (10) Investment'!$I246)-SUM($K246:M246)))</f>
        <v>0</v>
      </c>
      <c r="O246" s="150">
        <f>IF($B246="NA","NA",IF($B246&lt;=$D$12,0,MIN(IF($B246=($D$12+1),'Stage (5) Investment'!$I246,SUM($K245:O245)),'Stage (6) Investment:Stage (10) Investment'!$I246)-SUM($K246:N246)))</f>
        <v>0</v>
      </c>
      <c r="P246" s="150">
        <f>IF($B246="NA","NA",IF($B246&lt;=$D$13,0,MIN(IF($B246=($D$13+1),'Stage (6) Investment'!$I246,SUM($K245:P245)),'Stage (7) Investment:Stage (10) Investment'!$I246)-SUM($K246:O246)))</f>
        <v>0</v>
      </c>
      <c r="Q246" s="150">
        <f>IF($B246="NA","NA",IF($B246&lt;=$D$14,0,MIN(IF($B246=($D$14+1),'Stage (7) Investment'!$I246,SUM($K245:Q245)),'Stage (8) Investment:Stage (10) Investment'!$I246)-SUM($K246:P246)))</f>
        <v>0</v>
      </c>
      <c r="R246" s="150">
        <f>IF($B246="NA","NA",IF($B246&lt;=$D$15,0,MIN(IF($B246=($D$15+1),'Stage (8) Investment'!$I246,SUM($K245:R245)),'Stage (9) Investment:Stage (10) Investment'!$I246)-SUM($K246:Q246)))</f>
        <v>0</v>
      </c>
      <c r="S246" s="150">
        <f>IF($B246="NA","NA",IF($B246&lt;=$D$16,0,MIN(IF($B246=($D$16+1),'Stage (9) Investment'!$I246,SUM($K245:S245)),'Stage (10) Investment'!$I246)-SUM($K246:R246)))</f>
        <v>0</v>
      </c>
      <c r="T246" s="151">
        <f>IF($B246="NA","NA",IF($B246&lt;=$D$17,0,IF($B246=($D$17+1),'Stage (10) Investment'!$I246,SUM($K245:T245))-SUM($K246:S246)))</f>
        <v>0</v>
      </c>
    </row>
    <row r="247" spans="1:20" x14ac:dyDescent="0.2">
      <c r="A247" s="86">
        <f t="shared" si="24"/>
        <v>6819</v>
      </c>
      <c r="B247" s="142">
        <f t="shared" si="25"/>
        <v>225</v>
      </c>
      <c r="C247" s="143">
        <f t="shared" si="27"/>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50">
        <f>IF(B247="NA","NA",IF(ISNUMBER(VLOOKUP($C247,'A4 Investment'!$A$24:$G$33,7,FALSE)),VLOOKUP($C247,'A4 Investment'!$A$24:$G$33,7,FALSE)*'A4 Investment'!G$18/12,0))</f>
        <v>0</v>
      </c>
      <c r="I247" s="151">
        <f t="shared" si="28"/>
        <v>8904.1666666666661</v>
      </c>
      <c r="J247" s="149">
        <f t="shared" si="26"/>
        <v>8904.1666666666661</v>
      </c>
      <c r="K247" s="150">
        <f>IF($B247="NA","NA",IF($B247&lt;=$D$8,0,MIN(IF($B247=($D$8+1),'Stage (1) Investment'!$I247,K246),'Stage (2) Investment:Stage (10) Investment'!$I247)))</f>
        <v>8904.1666666666661</v>
      </c>
      <c r="L247" s="150">
        <f>IF($B247="NA","NA",IF($B247&lt;=$D$9,0,MIN(IF($B247=($D$9+1),'Stage (2) Investment'!$I247,SUM($K246:L246)),'Stage (3) Investment:Stage (10) Investment'!$I247)-K247))</f>
        <v>0</v>
      </c>
      <c r="M247" s="150">
        <f>IF($B247="NA","NA",IF($B247&lt;=$D$10,0,MIN(IF($B247=($D$10+1),'Stage (3) Investment'!$I247,SUM($K246:M246)),'Stage (4) Investment:Stage (10) Investment'!$I247)-SUM($K247:L247)))</f>
        <v>0</v>
      </c>
      <c r="N247" s="150">
        <f>IF($B247="NA","NA",IF($B247&lt;=$D$11,0,MIN(IF($B247=($D$11+1),'Stage (4) Investment'!$I247,SUM($K246:N246)),'Stage (5) Investment:Stage (10) Investment'!$I247)-SUM($K247:M247)))</f>
        <v>0</v>
      </c>
      <c r="O247" s="150">
        <f>IF($B247="NA","NA",IF($B247&lt;=$D$12,0,MIN(IF($B247=($D$12+1),'Stage (5) Investment'!$I247,SUM($K246:O246)),'Stage (6) Investment:Stage (10) Investment'!$I247)-SUM($K247:N247)))</f>
        <v>0</v>
      </c>
      <c r="P247" s="150">
        <f>IF($B247="NA","NA",IF($B247&lt;=$D$13,0,MIN(IF($B247=($D$13+1),'Stage (6) Investment'!$I247,SUM($K246:P246)),'Stage (7) Investment:Stage (10) Investment'!$I247)-SUM($K247:O247)))</f>
        <v>0</v>
      </c>
      <c r="Q247" s="150">
        <f>IF($B247="NA","NA",IF($B247&lt;=$D$14,0,MIN(IF($B247=($D$14+1),'Stage (7) Investment'!$I247,SUM($K246:Q246)),'Stage (8) Investment:Stage (10) Investment'!$I247)-SUM($K247:P247)))</f>
        <v>0</v>
      </c>
      <c r="R247" s="150">
        <f>IF($B247="NA","NA",IF($B247&lt;=$D$15,0,MIN(IF($B247=($D$15+1),'Stage (8) Investment'!$I247,SUM($K246:R246)),'Stage (9) Investment:Stage (10) Investment'!$I247)-SUM($K247:Q247)))</f>
        <v>0</v>
      </c>
      <c r="S247" s="150">
        <f>IF($B247="NA","NA",IF($B247&lt;=$D$16,0,MIN(IF($B247=($D$16+1),'Stage (9) Investment'!$I247,SUM($K246:S246)),'Stage (10) Investment'!$I247)-SUM($K247:R247)))</f>
        <v>0</v>
      </c>
      <c r="T247" s="151">
        <f>IF($B247="NA","NA",IF($B247&lt;=$D$17,0,IF($B247=($D$17+1),'Stage (10) Investment'!$I247,SUM($K246:T246))-SUM($K247:S247)))</f>
        <v>0</v>
      </c>
    </row>
    <row r="248" spans="1:20" x14ac:dyDescent="0.2">
      <c r="A248" s="86">
        <f t="shared" si="24"/>
        <v>6849</v>
      </c>
      <c r="B248" s="142">
        <f t="shared" si="25"/>
        <v>226</v>
      </c>
      <c r="C248" s="143">
        <f t="shared" si="27"/>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50">
        <f>IF(B248="NA","NA",IF(ISNUMBER(VLOOKUP($C248,'A4 Investment'!$A$24:$G$33,7,FALSE)),VLOOKUP($C248,'A4 Investment'!$A$24:$G$33,7,FALSE)*'A4 Investment'!G$18/12,0))</f>
        <v>0</v>
      </c>
      <c r="I248" s="151">
        <f t="shared" si="28"/>
        <v>8904.1666666666661</v>
      </c>
      <c r="J248" s="149">
        <f t="shared" si="26"/>
        <v>8904.1666666666661</v>
      </c>
      <c r="K248" s="150">
        <f>IF($B248="NA","NA",IF($B248&lt;=$D$8,0,MIN(IF($B248=($D$8+1),'Stage (1) Investment'!$I248,K247),'Stage (2) Investment:Stage (10) Investment'!$I248)))</f>
        <v>8904.1666666666661</v>
      </c>
      <c r="L248" s="150">
        <f>IF($B248="NA","NA",IF($B248&lt;=$D$9,0,MIN(IF($B248=($D$9+1),'Stage (2) Investment'!$I248,SUM($K247:L247)),'Stage (3) Investment:Stage (10) Investment'!$I248)-K248))</f>
        <v>0</v>
      </c>
      <c r="M248" s="150">
        <f>IF($B248="NA","NA",IF($B248&lt;=$D$10,0,MIN(IF($B248=($D$10+1),'Stage (3) Investment'!$I248,SUM($K247:M247)),'Stage (4) Investment:Stage (10) Investment'!$I248)-SUM($K248:L248)))</f>
        <v>0</v>
      </c>
      <c r="N248" s="150">
        <f>IF($B248="NA","NA",IF($B248&lt;=$D$11,0,MIN(IF($B248=($D$11+1),'Stage (4) Investment'!$I248,SUM($K247:N247)),'Stage (5) Investment:Stage (10) Investment'!$I248)-SUM($K248:M248)))</f>
        <v>0</v>
      </c>
      <c r="O248" s="150">
        <f>IF($B248="NA","NA",IF($B248&lt;=$D$12,0,MIN(IF($B248=($D$12+1),'Stage (5) Investment'!$I248,SUM($K247:O247)),'Stage (6) Investment:Stage (10) Investment'!$I248)-SUM($K248:N248)))</f>
        <v>0</v>
      </c>
      <c r="P248" s="150">
        <f>IF($B248="NA","NA",IF($B248&lt;=$D$13,0,MIN(IF($B248=($D$13+1),'Stage (6) Investment'!$I248,SUM($K247:P247)),'Stage (7) Investment:Stage (10) Investment'!$I248)-SUM($K248:O248)))</f>
        <v>0</v>
      </c>
      <c r="Q248" s="150">
        <f>IF($B248="NA","NA",IF($B248&lt;=$D$14,0,MIN(IF($B248=($D$14+1),'Stage (7) Investment'!$I248,SUM($K247:Q247)),'Stage (8) Investment:Stage (10) Investment'!$I248)-SUM($K248:P248)))</f>
        <v>0</v>
      </c>
      <c r="R248" s="150">
        <f>IF($B248="NA","NA",IF($B248&lt;=$D$15,0,MIN(IF($B248=($D$15+1),'Stage (8) Investment'!$I248,SUM($K247:R247)),'Stage (9) Investment:Stage (10) Investment'!$I248)-SUM($K248:Q248)))</f>
        <v>0</v>
      </c>
      <c r="S248" s="150">
        <f>IF($B248="NA","NA",IF($B248&lt;=$D$16,0,MIN(IF($B248=($D$16+1),'Stage (9) Investment'!$I248,SUM($K247:S247)),'Stage (10) Investment'!$I248)-SUM($K248:R248)))</f>
        <v>0</v>
      </c>
      <c r="T248" s="151">
        <f>IF($B248="NA","NA",IF($B248&lt;=$D$17,0,IF($B248=($D$17+1),'Stage (10) Investment'!$I248,SUM($K247:T247))-SUM($K248:S248)))</f>
        <v>0</v>
      </c>
    </row>
    <row r="249" spans="1:20" x14ac:dyDescent="0.2">
      <c r="A249" s="86">
        <f t="shared" si="24"/>
        <v>6880</v>
      </c>
      <c r="B249" s="142">
        <f t="shared" si="25"/>
        <v>227</v>
      </c>
      <c r="C249" s="143">
        <f t="shared" si="27"/>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50">
        <f>IF(B249="NA","NA",IF(ISNUMBER(VLOOKUP($C249,'A4 Investment'!$A$24:$G$33,7,FALSE)),VLOOKUP($C249,'A4 Investment'!$A$24:$G$33,7,FALSE)*'A4 Investment'!G$18/12,0))</f>
        <v>0</v>
      </c>
      <c r="I249" s="151">
        <f t="shared" si="28"/>
        <v>8904.1666666666661</v>
      </c>
      <c r="J249" s="149">
        <f t="shared" si="26"/>
        <v>8904.1666666666661</v>
      </c>
      <c r="K249" s="150">
        <f>IF($B249="NA","NA",IF($B249&lt;=$D$8,0,MIN(IF($B249=($D$8+1),'Stage (1) Investment'!$I249,K248),'Stage (2) Investment:Stage (10) Investment'!$I249)))</f>
        <v>8904.1666666666661</v>
      </c>
      <c r="L249" s="150">
        <f>IF($B249="NA","NA",IF($B249&lt;=$D$9,0,MIN(IF($B249=($D$9+1),'Stage (2) Investment'!$I249,SUM($K248:L248)),'Stage (3) Investment:Stage (10) Investment'!$I249)-K249))</f>
        <v>0</v>
      </c>
      <c r="M249" s="150">
        <f>IF($B249="NA","NA",IF($B249&lt;=$D$10,0,MIN(IF($B249=($D$10+1),'Stage (3) Investment'!$I249,SUM($K248:M248)),'Stage (4) Investment:Stage (10) Investment'!$I249)-SUM($K249:L249)))</f>
        <v>0</v>
      </c>
      <c r="N249" s="150">
        <f>IF($B249="NA","NA",IF($B249&lt;=$D$11,0,MIN(IF($B249=($D$11+1),'Stage (4) Investment'!$I249,SUM($K248:N248)),'Stage (5) Investment:Stage (10) Investment'!$I249)-SUM($K249:M249)))</f>
        <v>0</v>
      </c>
      <c r="O249" s="150">
        <f>IF($B249="NA","NA",IF($B249&lt;=$D$12,0,MIN(IF($B249=($D$12+1),'Stage (5) Investment'!$I249,SUM($K248:O248)),'Stage (6) Investment:Stage (10) Investment'!$I249)-SUM($K249:N249)))</f>
        <v>0</v>
      </c>
      <c r="P249" s="150">
        <f>IF($B249="NA","NA",IF($B249&lt;=$D$13,0,MIN(IF($B249=($D$13+1),'Stage (6) Investment'!$I249,SUM($K248:P248)),'Stage (7) Investment:Stage (10) Investment'!$I249)-SUM($K249:O249)))</f>
        <v>0</v>
      </c>
      <c r="Q249" s="150">
        <f>IF($B249="NA","NA",IF($B249&lt;=$D$14,0,MIN(IF($B249=($D$14+1),'Stage (7) Investment'!$I249,SUM($K248:Q248)),'Stage (8) Investment:Stage (10) Investment'!$I249)-SUM($K249:P249)))</f>
        <v>0</v>
      </c>
      <c r="R249" s="150">
        <f>IF($B249="NA","NA",IF($B249&lt;=$D$15,0,MIN(IF($B249=($D$15+1),'Stage (8) Investment'!$I249,SUM($K248:R248)),'Stage (9) Investment:Stage (10) Investment'!$I249)-SUM($K249:Q249)))</f>
        <v>0</v>
      </c>
      <c r="S249" s="150">
        <f>IF($B249="NA","NA",IF($B249&lt;=$D$16,0,MIN(IF($B249=($D$16+1),'Stage (9) Investment'!$I249,SUM($K248:S248)),'Stage (10) Investment'!$I249)-SUM($K249:R249)))</f>
        <v>0</v>
      </c>
      <c r="T249" s="151">
        <f>IF($B249="NA","NA",IF($B249&lt;=$D$17,0,IF($B249=($D$17+1),'Stage (10) Investment'!$I249,SUM($K248:T248))-SUM($K249:S249)))</f>
        <v>0</v>
      </c>
    </row>
    <row r="250" spans="1:20" x14ac:dyDescent="0.2">
      <c r="A250" s="86">
        <f t="shared" si="24"/>
        <v>6910</v>
      </c>
      <c r="B250" s="142">
        <f t="shared" si="25"/>
        <v>228</v>
      </c>
      <c r="C250" s="143">
        <f t="shared" si="27"/>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50">
        <f>IF(B250="NA","NA",IF(ISNUMBER(VLOOKUP($C250,'A4 Investment'!$A$24:$G$33,7,FALSE)),VLOOKUP($C250,'A4 Investment'!$A$24:$G$33,7,FALSE)*'A4 Investment'!G$18/12,0))</f>
        <v>0</v>
      </c>
      <c r="I250" s="151">
        <f t="shared" si="28"/>
        <v>8904.1666666666661</v>
      </c>
      <c r="J250" s="149">
        <f t="shared" si="26"/>
        <v>8904.1666666666661</v>
      </c>
      <c r="K250" s="150">
        <f>IF($B250="NA","NA",IF($B250&lt;=$D$8,0,MIN(IF($B250=($D$8+1),'Stage (1) Investment'!$I250,K249),'Stage (2) Investment:Stage (10) Investment'!$I250)))</f>
        <v>8904.1666666666661</v>
      </c>
      <c r="L250" s="150">
        <f>IF($B250="NA","NA",IF($B250&lt;=$D$9,0,MIN(IF($B250=($D$9+1),'Stage (2) Investment'!$I250,SUM($K249:L249)),'Stage (3) Investment:Stage (10) Investment'!$I250)-K250))</f>
        <v>0</v>
      </c>
      <c r="M250" s="150">
        <f>IF($B250="NA","NA",IF($B250&lt;=$D$10,0,MIN(IF($B250=($D$10+1),'Stage (3) Investment'!$I250,SUM($K249:M249)),'Stage (4) Investment:Stage (10) Investment'!$I250)-SUM($K250:L250)))</f>
        <v>0</v>
      </c>
      <c r="N250" s="150">
        <f>IF($B250="NA","NA",IF($B250&lt;=$D$11,0,MIN(IF($B250=($D$11+1),'Stage (4) Investment'!$I250,SUM($K249:N249)),'Stage (5) Investment:Stage (10) Investment'!$I250)-SUM($K250:M250)))</f>
        <v>0</v>
      </c>
      <c r="O250" s="150">
        <f>IF($B250="NA","NA",IF($B250&lt;=$D$12,0,MIN(IF($B250=($D$12+1),'Stage (5) Investment'!$I250,SUM($K249:O249)),'Stage (6) Investment:Stage (10) Investment'!$I250)-SUM($K250:N250)))</f>
        <v>0</v>
      </c>
      <c r="P250" s="150">
        <f>IF($B250="NA","NA",IF($B250&lt;=$D$13,0,MIN(IF($B250=($D$13+1),'Stage (6) Investment'!$I250,SUM($K249:P249)),'Stage (7) Investment:Stage (10) Investment'!$I250)-SUM($K250:O250)))</f>
        <v>0</v>
      </c>
      <c r="Q250" s="150">
        <f>IF($B250="NA","NA",IF($B250&lt;=$D$14,0,MIN(IF($B250=($D$14+1),'Stage (7) Investment'!$I250,SUM($K249:Q249)),'Stage (8) Investment:Stage (10) Investment'!$I250)-SUM($K250:P250)))</f>
        <v>0</v>
      </c>
      <c r="R250" s="150">
        <f>IF($B250="NA","NA",IF($B250&lt;=$D$15,0,MIN(IF($B250=($D$15+1),'Stage (8) Investment'!$I250,SUM($K249:R249)),'Stage (9) Investment:Stage (10) Investment'!$I250)-SUM($K250:Q250)))</f>
        <v>0</v>
      </c>
      <c r="S250" s="150">
        <f>IF($B250="NA","NA",IF($B250&lt;=$D$16,0,MIN(IF($B250=($D$16+1),'Stage (9) Investment'!$I250,SUM($K249:S249)),'Stage (10) Investment'!$I250)-SUM($K250:R250)))</f>
        <v>0</v>
      </c>
      <c r="T250" s="151">
        <f>IF($B250="NA","NA",IF($B250&lt;=$D$17,0,IF($B250=($D$17+1),'Stage (10) Investment'!$I250,SUM($K249:T249))-SUM($K250:S250)))</f>
        <v>0</v>
      </c>
    </row>
    <row r="251" spans="1:20" x14ac:dyDescent="0.2">
      <c r="A251" s="86">
        <f t="shared" si="24"/>
        <v>6941</v>
      </c>
      <c r="B251" s="142">
        <f t="shared" si="25"/>
        <v>229</v>
      </c>
      <c r="C251" s="143">
        <f t="shared" si="27"/>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50">
        <f>IF(B251="NA","NA",IF(ISNUMBER(VLOOKUP($C251,'A4 Investment'!$A$24:$G$33,7,FALSE)),VLOOKUP($C251,'A4 Investment'!$A$24:$G$33,7,FALSE)*'A4 Investment'!G$18/12,0))</f>
        <v>0</v>
      </c>
      <c r="I251" s="151">
        <f t="shared" si="28"/>
        <v>8904.1666666666661</v>
      </c>
      <c r="J251" s="149">
        <f t="shared" si="26"/>
        <v>8904.1666666666661</v>
      </c>
      <c r="K251" s="150">
        <f>IF($B251="NA","NA",IF($B251&lt;=$D$8,0,MIN(IF($B251=($D$8+1),'Stage (1) Investment'!$I251,K250),'Stage (2) Investment:Stage (10) Investment'!$I251)))</f>
        <v>8904.1666666666661</v>
      </c>
      <c r="L251" s="150">
        <f>IF($B251="NA","NA",IF($B251&lt;=$D$9,0,MIN(IF($B251=($D$9+1),'Stage (2) Investment'!$I251,SUM($K250:L250)),'Stage (3) Investment:Stage (10) Investment'!$I251)-K251))</f>
        <v>0</v>
      </c>
      <c r="M251" s="150">
        <f>IF($B251="NA","NA",IF($B251&lt;=$D$10,0,MIN(IF($B251=($D$10+1),'Stage (3) Investment'!$I251,SUM($K250:M250)),'Stage (4) Investment:Stage (10) Investment'!$I251)-SUM($K251:L251)))</f>
        <v>0</v>
      </c>
      <c r="N251" s="150">
        <f>IF($B251="NA","NA",IF($B251&lt;=$D$11,0,MIN(IF($B251=($D$11+1),'Stage (4) Investment'!$I251,SUM($K250:N250)),'Stage (5) Investment:Stage (10) Investment'!$I251)-SUM($K251:M251)))</f>
        <v>0</v>
      </c>
      <c r="O251" s="150">
        <f>IF($B251="NA","NA",IF($B251&lt;=$D$12,0,MIN(IF($B251=($D$12+1),'Stage (5) Investment'!$I251,SUM($K250:O250)),'Stage (6) Investment:Stage (10) Investment'!$I251)-SUM($K251:N251)))</f>
        <v>0</v>
      </c>
      <c r="P251" s="150">
        <f>IF($B251="NA","NA",IF($B251&lt;=$D$13,0,MIN(IF($B251=($D$13+1),'Stage (6) Investment'!$I251,SUM($K250:P250)),'Stage (7) Investment:Stage (10) Investment'!$I251)-SUM($K251:O251)))</f>
        <v>0</v>
      </c>
      <c r="Q251" s="150">
        <f>IF($B251="NA","NA",IF($B251&lt;=$D$14,0,MIN(IF($B251=($D$14+1),'Stage (7) Investment'!$I251,SUM($K250:Q250)),'Stage (8) Investment:Stage (10) Investment'!$I251)-SUM($K251:P251)))</f>
        <v>0</v>
      </c>
      <c r="R251" s="150">
        <f>IF($B251="NA","NA",IF($B251&lt;=$D$15,0,MIN(IF($B251=($D$15+1),'Stage (8) Investment'!$I251,SUM($K250:R250)),'Stage (9) Investment:Stage (10) Investment'!$I251)-SUM($K251:Q251)))</f>
        <v>0</v>
      </c>
      <c r="S251" s="150">
        <f>IF($B251="NA","NA",IF($B251&lt;=$D$16,0,MIN(IF($B251=($D$16+1),'Stage (9) Investment'!$I251,SUM($K250:S250)),'Stage (10) Investment'!$I251)-SUM($K251:R251)))</f>
        <v>0</v>
      </c>
      <c r="T251" s="151">
        <f>IF($B251="NA","NA",IF($B251&lt;=$D$17,0,IF($B251=($D$17+1),'Stage (10) Investment'!$I251,SUM($K250:T250))-SUM($K251:S251)))</f>
        <v>0</v>
      </c>
    </row>
    <row r="252" spans="1:20" x14ac:dyDescent="0.2">
      <c r="A252" s="86">
        <f t="shared" si="24"/>
        <v>6972</v>
      </c>
      <c r="B252" s="142">
        <f t="shared" si="25"/>
        <v>230</v>
      </c>
      <c r="C252" s="143">
        <f t="shared" si="27"/>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50">
        <f>IF(B252="NA","NA",IF(ISNUMBER(VLOOKUP($C252,'A4 Investment'!$A$24:$G$33,7,FALSE)),VLOOKUP($C252,'A4 Investment'!$A$24:$G$33,7,FALSE)*'A4 Investment'!G$18/12,0))</f>
        <v>0</v>
      </c>
      <c r="I252" s="151">
        <f t="shared" si="28"/>
        <v>8904.1666666666661</v>
      </c>
      <c r="J252" s="149">
        <f t="shared" si="26"/>
        <v>8904.1666666666661</v>
      </c>
      <c r="K252" s="150">
        <f>IF($B252="NA","NA",IF($B252&lt;=$D$8,0,MIN(IF($B252=($D$8+1),'Stage (1) Investment'!$I252,K251),'Stage (2) Investment:Stage (10) Investment'!$I252)))</f>
        <v>8904.1666666666661</v>
      </c>
      <c r="L252" s="150">
        <f>IF($B252="NA","NA",IF($B252&lt;=$D$9,0,MIN(IF($B252=($D$9+1),'Stage (2) Investment'!$I252,SUM($K251:L251)),'Stage (3) Investment:Stage (10) Investment'!$I252)-K252))</f>
        <v>0</v>
      </c>
      <c r="M252" s="150">
        <f>IF($B252="NA","NA",IF($B252&lt;=$D$10,0,MIN(IF($B252=($D$10+1),'Stage (3) Investment'!$I252,SUM($K251:M251)),'Stage (4) Investment:Stage (10) Investment'!$I252)-SUM($K252:L252)))</f>
        <v>0</v>
      </c>
      <c r="N252" s="150">
        <f>IF($B252="NA","NA",IF($B252&lt;=$D$11,0,MIN(IF($B252=($D$11+1),'Stage (4) Investment'!$I252,SUM($K251:N251)),'Stage (5) Investment:Stage (10) Investment'!$I252)-SUM($K252:M252)))</f>
        <v>0</v>
      </c>
      <c r="O252" s="150">
        <f>IF($B252="NA","NA",IF($B252&lt;=$D$12,0,MIN(IF($B252=($D$12+1),'Stage (5) Investment'!$I252,SUM($K251:O251)),'Stage (6) Investment:Stage (10) Investment'!$I252)-SUM($K252:N252)))</f>
        <v>0</v>
      </c>
      <c r="P252" s="150">
        <f>IF($B252="NA","NA",IF($B252&lt;=$D$13,0,MIN(IF($B252=($D$13+1),'Stage (6) Investment'!$I252,SUM($K251:P251)),'Stage (7) Investment:Stage (10) Investment'!$I252)-SUM($K252:O252)))</f>
        <v>0</v>
      </c>
      <c r="Q252" s="150">
        <f>IF($B252="NA","NA",IF($B252&lt;=$D$14,0,MIN(IF($B252=($D$14+1),'Stage (7) Investment'!$I252,SUM($K251:Q251)),'Stage (8) Investment:Stage (10) Investment'!$I252)-SUM($K252:P252)))</f>
        <v>0</v>
      </c>
      <c r="R252" s="150">
        <f>IF($B252="NA","NA",IF($B252&lt;=$D$15,0,MIN(IF($B252=($D$15+1),'Stage (8) Investment'!$I252,SUM($K251:R251)),'Stage (9) Investment:Stage (10) Investment'!$I252)-SUM($K252:Q252)))</f>
        <v>0</v>
      </c>
      <c r="S252" s="150">
        <f>IF($B252="NA","NA",IF($B252&lt;=$D$16,0,MIN(IF($B252=($D$16+1),'Stage (9) Investment'!$I252,SUM($K251:S251)),'Stage (10) Investment'!$I252)-SUM($K252:R252)))</f>
        <v>0</v>
      </c>
      <c r="T252" s="151">
        <f>IF($B252="NA","NA",IF($B252&lt;=$D$17,0,IF($B252=($D$17+1),'Stage (10) Investment'!$I252,SUM($K251:T251))-SUM($K252:S252)))</f>
        <v>0</v>
      </c>
    </row>
    <row r="253" spans="1:20" x14ac:dyDescent="0.2">
      <c r="A253" s="86">
        <f t="shared" si="24"/>
        <v>7000</v>
      </c>
      <c r="B253" s="142">
        <f t="shared" si="25"/>
        <v>231</v>
      </c>
      <c r="C253" s="143">
        <f t="shared" si="27"/>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50">
        <f>IF(B253="NA","NA",IF(ISNUMBER(VLOOKUP($C253,'A4 Investment'!$A$24:$G$33,7,FALSE)),VLOOKUP($C253,'A4 Investment'!$A$24:$G$33,7,FALSE)*'A4 Investment'!G$18/12,0))</f>
        <v>0</v>
      </c>
      <c r="I253" s="151">
        <f t="shared" si="28"/>
        <v>8904.1666666666661</v>
      </c>
      <c r="J253" s="149">
        <f t="shared" si="26"/>
        <v>8904.1666666666661</v>
      </c>
      <c r="K253" s="150">
        <f>IF($B253="NA","NA",IF($B253&lt;=$D$8,0,MIN(IF($B253=($D$8+1),'Stage (1) Investment'!$I253,K252),'Stage (2) Investment:Stage (10) Investment'!$I253)))</f>
        <v>8904.1666666666661</v>
      </c>
      <c r="L253" s="150">
        <f>IF($B253="NA","NA",IF($B253&lt;=$D$9,0,MIN(IF($B253=($D$9+1),'Stage (2) Investment'!$I253,SUM($K252:L252)),'Stage (3) Investment:Stage (10) Investment'!$I253)-K253))</f>
        <v>0</v>
      </c>
      <c r="M253" s="150">
        <f>IF($B253="NA","NA",IF($B253&lt;=$D$10,0,MIN(IF($B253=($D$10+1),'Stage (3) Investment'!$I253,SUM($K252:M252)),'Stage (4) Investment:Stage (10) Investment'!$I253)-SUM($K253:L253)))</f>
        <v>0</v>
      </c>
      <c r="N253" s="150">
        <f>IF($B253="NA","NA",IF($B253&lt;=$D$11,0,MIN(IF($B253=($D$11+1),'Stage (4) Investment'!$I253,SUM($K252:N252)),'Stage (5) Investment:Stage (10) Investment'!$I253)-SUM($K253:M253)))</f>
        <v>0</v>
      </c>
      <c r="O253" s="150">
        <f>IF($B253="NA","NA",IF($B253&lt;=$D$12,0,MIN(IF($B253=($D$12+1),'Stage (5) Investment'!$I253,SUM($K252:O252)),'Stage (6) Investment:Stage (10) Investment'!$I253)-SUM($K253:N253)))</f>
        <v>0</v>
      </c>
      <c r="P253" s="150">
        <f>IF($B253="NA","NA",IF($B253&lt;=$D$13,0,MIN(IF($B253=($D$13+1),'Stage (6) Investment'!$I253,SUM($K252:P252)),'Stage (7) Investment:Stage (10) Investment'!$I253)-SUM($K253:O253)))</f>
        <v>0</v>
      </c>
      <c r="Q253" s="150">
        <f>IF($B253="NA","NA",IF($B253&lt;=$D$14,0,MIN(IF($B253=($D$14+1),'Stage (7) Investment'!$I253,SUM($K252:Q252)),'Stage (8) Investment:Stage (10) Investment'!$I253)-SUM($K253:P253)))</f>
        <v>0</v>
      </c>
      <c r="R253" s="150">
        <f>IF($B253="NA","NA",IF($B253&lt;=$D$15,0,MIN(IF($B253=($D$15+1),'Stage (8) Investment'!$I253,SUM($K252:R252)),'Stage (9) Investment:Stage (10) Investment'!$I253)-SUM($K253:Q253)))</f>
        <v>0</v>
      </c>
      <c r="S253" s="150">
        <f>IF($B253="NA","NA",IF($B253&lt;=$D$16,0,MIN(IF($B253=($D$16+1),'Stage (9) Investment'!$I253,SUM($K252:S252)),'Stage (10) Investment'!$I253)-SUM($K253:R253)))</f>
        <v>0</v>
      </c>
      <c r="T253" s="151">
        <f>IF($B253="NA","NA",IF($B253&lt;=$D$17,0,IF($B253=($D$17+1),'Stage (10) Investment'!$I253,SUM($K252:T252))-SUM($K253:S253)))</f>
        <v>0</v>
      </c>
    </row>
    <row r="254" spans="1:20" x14ac:dyDescent="0.2">
      <c r="A254" s="86">
        <f t="shared" si="24"/>
        <v>7031</v>
      </c>
      <c r="B254" s="142">
        <f t="shared" si="25"/>
        <v>232</v>
      </c>
      <c r="C254" s="143">
        <f t="shared" si="27"/>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50">
        <f>IF(B254="NA","NA",IF(ISNUMBER(VLOOKUP($C254,'A4 Investment'!$A$24:$G$33,7,FALSE)),VLOOKUP($C254,'A4 Investment'!$A$24:$G$33,7,FALSE)*'A4 Investment'!G$18/12,0))</f>
        <v>0</v>
      </c>
      <c r="I254" s="151">
        <f t="shared" si="28"/>
        <v>8904.1666666666661</v>
      </c>
      <c r="J254" s="149">
        <f t="shared" si="26"/>
        <v>8904.1666666666661</v>
      </c>
      <c r="K254" s="150">
        <f>IF($B254="NA","NA",IF($B254&lt;=$D$8,0,MIN(IF($B254=($D$8+1),'Stage (1) Investment'!$I254,K253),'Stage (2) Investment:Stage (10) Investment'!$I254)))</f>
        <v>8904.1666666666661</v>
      </c>
      <c r="L254" s="150">
        <f>IF($B254="NA","NA",IF($B254&lt;=$D$9,0,MIN(IF($B254=($D$9+1),'Stage (2) Investment'!$I254,SUM($K253:L253)),'Stage (3) Investment:Stage (10) Investment'!$I254)-K254))</f>
        <v>0</v>
      </c>
      <c r="M254" s="150">
        <f>IF($B254="NA","NA",IF($B254&lt;=$D$10,0,MIN(IF($B254=($D$10+1),'Stage (3) Investment'!$I254,SUM($K253:M253)),'Stage (4) Investment:Stage (10) Investment'!$I254)-SUM($K254:L254)))</f>
        <v>0</v>
      </c>
      <c r="N254" s="150">
        <f>IF($B254="NA","NA",IF($B254&lt;=$D$11,0,MIN(IF($B254=($D$11+1),'Stage (4) Investment'!$I254,SUM($K253:N253)),'Stage (5) Investment:Stage (10) Investment'!$I254)-SUM($K254:M254)))</f>
        <v>0</v>
      </c>
      <c r="O254" s="150">
        <f>IF($B254="NA","NA",IF($B254&lt;=$D$12,0,MIN(IF($B254=($D$12+1),'Stage (5) Investment'!$I254,SUM($K253:O253)),'Stage (6) Investment:Stage (10) Investment'!$I254)-SUM($K254:N254)))</f>
        <v>0</v>
      </c>
      <c r="P254" s="150">
        <f>IF($B254="NA","NA",IF($B254&lt;=$D$13,0,MIN(IF($B254=($D$13+1),'Stage (6) Investment'!$I254,SUM($K253:P253)),'Stage (7) Investment:Stage (10) Investment'!$I254)-SUM($K254:O254)))</f>
        <v>0</v>
      </c>
      <c r="Q254" s="150">
        <f>IF($B254="NA","NA",IF($B254&lt;=$D$14,0,MIN(IF($B254=($D$14+1),'Stage (7) Investment'!$I254,SUM($K253:Q253)),'Stage (8) Investment:Stage (10) Investment'!$I254)-SUM($K254:P254)))</f>
        <v>0</v>
      </c>
      <c r="R254" s="150">
        <f>IF($B254="NA","NA",IF($B254&lt;=$D$15,0,MIN(IF($B254=($D$15+1),'Stage (8) Investment'!$I254,SUM($K253:R253)),'Stage (9) Investment:Stage (10) Investment'!$I254)-SUM($K254:Q254)))</f>
        <v>0</v>
      </c>
      <c r="S254" s="150">
        <f>IF($B254="NA","NA",IF($B254&lt;=$D$16,0,MIN(IF($B254=($D$16+1),'Stage (9) Investment'!$I254,SUM($K253:S253)),'Stage (10) Investment'!$I254)-SUM($K254:R254)))</f>
        <v>0</v>
      </c>
      <c r="T254" s="151">
        <f>IF($B254="NA","NA",IF($B254&lt;=$D$17,0,IF($B254=($D$17+1),'Stage (10) Investment'!$I254,SUM($K253:T253))-SUM($K254:S254)))</f>
        <v>0</v>
      </c>
    </row>
    <row r="255" spans="1:20" x14ac:dyDescent="0.2">
      <c r="A255" s="86">
        <f t="shared" si="24"/>
        <v>7061</v>
      </c>
      <c r="B255" s="142">
        <f t="shared" si="25"/>
        <v>233</v>
      </c>
      <c r="C255" s="143">
        <f t="shared" si="27"/>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50">
        <f>IF(B255="NA","NA",IF(ISNUMBER(VLOOKUP($C255,'A4 Investment'!$A$24:$G$33,7,FALSE)),VLOOKUP($C255,'A4 Investment'!$A$24:$G$33,7,FALSE)*'A4 Investment'!G$18/12,0))</f>
        <v>0</v>
      </c>
      <c r="I255" s="151">
        <f t="shared" si="28"/>
        <v>8904.1666666666661</v>
      </c>
      <c r="J255" s="149">
        <f t="shared" si="26"/>
        <v>8904.1666666666661</v>
      </c>
      <c r="K255" s="150">
        <f>IF($B255="NA","NA",IF($B255&lt;=$D$8,0,MIN(IF($B255=($D$8+1),'Stage (1) Investment'!$I255,K254),'Stage (2) Investment:Stage (10) Investment'!$I255)))</f>
        <v>8904.1666666666661</v>
      </c>
      <c r="L255" s="150">
        <f>IF($B255="NA","NA",IF($B255&lt;=$D$9,0,MIN(IF($B255=($D$9+1),'Stage (2) Investment'!$I255,SUM($K254:L254)),'Stage (3) Investment:Stage (10) Investment'!$I255)-K255))</f>
        <v>0</v>
      </c>
      <c r="M255" s="150">
        <f>IF($B255="NA","NA",IF($B255&lt;=$D$10,0,MIN(IF($B255=($D$10+1),'Stage (3) Investment'!$I255,SUM($K254:M254)),'Stage (4) Investment:Stage (10) Investment'!$I255)-SUM($K255:L255)))</f>
        <v>0</v>
      </c>
      <c r="N255" s="150">
        <f>IF($B255="NA","NA",IF($B255&lt;=$D$11,0,MIN(IF($B255=($D$11+1),'Stage (4) Investment'!$I255,SUM($K254:N254)),'Stage (5) Investment:Stage (10) Investment'!$I255)-SUM($K255:M255)))</f>
        <v>0</v>
      </c>
      <c r="O255" s="150">
        <f>IF($B255="NA","NA",IF($B255&lt;=$D$12,0,MIN(IF($B255=($D$12+1),'Stage (5) Investment'!$I255,SUM($K254:O254)),'Stage (6) Investment:Stage (10) Investment'!$I255)-SUM($K255:N255)))</f>
        <v>0</v>
      </c>
      <c r="P255" s="150">
        <f>IF($B255="NA","NA",IF($B255&lt;=$D$13,0,MIN(IF($B255=($D$13+1),'Stage (6) Investment'!$I255,SUM($K254:P254)),'Stage (7) Investment:Stage (10) Investment'!$I255)-SUM($K255:O255)))</f>
        <v>0</v>
      </c>
      <c r="Q255" s="150">
        <f>IF($B255="NA","NA",IF($B255&lt;=$D$14,0,MIN(IF($B255=($D$14+1),'Stage (7) Investment'!$I255,SUM($K254:Q254)),'Stage (8) Investment:Stage (10) Investment'!$I255)-SUM($K255:P255)))</f>
        <v>0</v>
      </c>
      <c r="R255" s="150">
        <f>IF($B255="NA","NA",IF($B255&lt;=$D$15,0,MIN(IF($B255=($D$15+1),'Stage (8) Investment'!$I255,SUM($K254:R254)),'Stage (9) Investment:Stage (10) Investment'!$I255)-SUM($K255:Q255)))</f>
        <v>0</v>
      </c>
      <c r="S255" s="150">
        <f>IF($B255="NA","NA",IF($B255&lt;=$D$16,0,MIN(IF($B255=($D$16+1),'Stage (9) Investment'!$I255,SUM($K254:S254)),'Stage (10) Investment'!$I255)-SUM($K255:R255)))</f>
        <v>0</v>
      </c>
      <c r="T255" s="151">
        <f>IF($B255="NA","NA",IF($B255&lt;=$D$17,0,IF($B255=($D$17+1),'Stage (10) Investment'!$I255,SUM($K254:T254))-SUM($K255:S255)))</f>
        <v>0</v>
      </c>
    </row>
    <row r="256" spans="1:20" x14ac:dyDescent="0.2">
      <c r="A256" s="86">
        <f t="shared" si="24"/>
        <v>7092</v>
      </c>
      <c r="B256" s="142">
        <f t="shared" si="25"/>
        <v>234</v>
      </c>
      <c r="C256" s="143">
        <f t="shared" si="27"/>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50">
        <f>IF(B256="NA","NA",IF(ISNUMBER(VLOOKUP($C256,'A4 Investment'!$A$24:$G$33,7,FALSE)),VLOOKUP($C256,'A4 Investment'!$A$24:$G$33,7,FALSE)*'A4 Investment'!G$18/12,0))</f>
        <v>0</v>
      </c>
      <c r="I256" s="151">
        <f t="shared" si="28"/>
        <v>8904.1666666666661</v>
      </c>
      <c r="J256" s="149">
        <f t="shared" si="26"/>
        <v>8904.1666666666661</v>
      </c>
      <c r="K256" s="150">
        <f>IF($B256="NA","NA",IF($B256&lt;=$D$8,0,MIN(IF($B256=($D$8+1),'Stage (1) Investment'!$I256,K255),'Stage (2) Investment:Stage (10) Investment'!$I256)))</f>
        <v>8904.1666666666661</v>
      </c>
      <c r="L256" s="150">
        <f>IF($B256="NA","NA",IF($B256&lt;=$D$9,0,MIN(IF($B256=($D$9+1),'Stage (2) Investment'!$I256,SUM($K255:L255)),'Stage (3) Investment:Stage (10) Investment'!$I256)-K256))</f>
        <v>0</v>
      </c>
      <c r="M256" s="150">
        <f>IF($B256="NA","NA",IF($B256&lt;=$D$10,0,MIN(IF($B256=($D$10+1),'Stage (3) Investment'!$I256,SUM($K255:M255)),'Stage (4) Investment:Stage (10) Investment'!$I256)-SUM($K256:L256)))</f>
        <v>0</v>
      </c>
      <c r="N256" s="150">
        <f>IF($B256="NA","NA",IF($B256&lt;=$D$11,0,MIN(IF($B256=($D$11+1),'Stage (4) Investment'!$I256,SUM($K255:N255)),'Stage (5) Investment:Stage (10) Investment'!$I256)-SUM($K256:M256)))</f>
        <v>0</v>
      </c>
      <c r="O256" s="150">
        <f>IF($B256="NA","NA",IF($B256&lt;=$D$12,0,MIN(IF($B256=($D$12+1),'Stage (5) Investment'!$I256,SUM($K255:O255)),'Stage (6) Investment:Stage (10) Investment'!$I256)-SUM($K256:N256)))</f>
        <v>0</v>
      </c>
      <c r="P256" s="150">
        <f>IF($B256="NA","NA",IF($B256&lt;=$D$13,0,MIN(IF($B256=($D$13+1),'Stage (6) Investment'!$I256,SUM($K255:P255)),'Stage (7) Investment:Stage (10) Investment'!$I256)-SUM($K256:O256)))</f>
        <v>0</v>
      </c>
      <c r="Q256" s="150">
        <f>IF($B256="NA","NA",IF($B256&lt;=$D$14,0,MIN(IF($B256=($D$14+1),'Stage (7) Investment'!$I256,SUM($K255:Q255)),'Stage (8) Investment:Stage (10) Investment'!$I256)-SUM($K256:P256)))</f>
        <v>0</v>
      </c>
      <c r="R256" s="150">
        <f>IF($B256="NA","NA",IF($B256&lt;=$D$15,0,MIN(IF($B256=($D$15+1),'Stage (8) Investment'!$I256,SUM($K255:R255)),'Stage (9) Investment:Stage (10) Investment'!$I256)-SUM($K256:Q256)))</f>
        <v>0</v>
      </c>
      <c r="S256" s="150">
        <f>IF($B256="NA","NA",IF($B256&lt;=$D$16,0,MIN(IF($B256=($D$16+1),'Stage (9) Investment'!$I256,SUM($K255:S255)),'Stage (10) Investment'!$I256)-SUM($K256:R256)))</f>
        <v>0</v>
      </c>
      <c r="T256" s="151">
        <f>IF($B256="NA","NA",IF($B256&lt;=$D$17,0,IF($B256=($D$17+1),'Stage (10) Investment'!$I256,SUM($K255:T255))-SUM($K256:S256)))</f>
        <v>0</v>
      </c>
    </row>
    <row r="257" spans="1:20" x14ac:dyDescent="0.2">
      <c r="A257" s="86">
        <f t="shared" si="24"/>
        <v>7122</v>
      </c>
      <c r="B257" s="142">
        <f t="shared" si="25"/>
        <v>235</v>
      </c>
      <c r="C257" s="143">
        <f t="shared" si="27"/>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50">
        <f>IF(B257="NA","NA",IF(ISNUMBER(VLOOKUP($C257,'A4 Investment'!$A$24:$G$33,7,FALSE)),VLOOKUP($C257,'A4 Investment'!$A$24:$G$33,7,FALSE)*'A4 Investment'!G$18/12,0))</f>
        <v>0</v>
      </c>
      <c r="I257" s="151">
        <f t="shared" si="28"/>
        <v>8904.1666666666661</v>
      </c>
      <c r="J257" s="149">
        <f t="shared" si="26"/>
        <v>8904.1666666666661</v>
      </c>
      <c r="K257" s="150">
        <f>IF($B257="NA","NA",IF($B257&lt;=$D$8,0,MIN(IF($B257=($D$8+1),'Stage (1) Investment'!$I257,K256),'Stage (2) Investment:Stage (10) Investment'!$I257)))</f>
        <v>8904.1666666666661</v>
      </c>
      <c r="L257" s="150">
        <f>IF($B257="NA","NA",IF($B257&lt;=$D$9,0,MIN(IF($B257=($D$9+1),'Stage (2) Investment'!$I257,SUM($K256:L256)),'Stage (3) Investment:Stage (10) Investment'!$I257)-K257))</f>
        <v>0</v>
      </c>
      <c r="M257" s="150">
        <f>IF($B257="NA","NA",IF($B257&lt;=$D$10,0,MIN(IF($B257=($D$10+1),'Stage (3) Investment'!$I257,SUM($K256:M256)),'Stage (4) Investment:Stage (10) Investment'!$I257)-SUM($K257:L257)))</f>
        <v>0</v>
      </c>
      <c r="N257" s="150">
        <f>IF($B257="NA","NA",IF($B257&lt;=$D$11,0,MIN(IF($B257=($D$11+1),'Stage (4) Investment'!$I257,SUM($K256:N256)),'Stage (5) Investment:Stage (10) Investment'!$I257)-SUM($K257:M257)))</f>
        <v>0</v>
      </c>
      <c r="O257" s="150">
        <f>IF($B257="NA","NA",IF($B257&lt;=$D$12,0,MIN(IF($B257=($D$12+1),'Stage (5) Investment'!$I257,SUM($K256:O256)),'Stage (6) Investment:Stage (10) Investment'!$I257)-SUM($K257:N257)))</f>
        <v>0</v>
      </c>
      <c r="P257" s="150">
        <f>IF($B257="NA","NA",IF($B257&lt;=$D$13,0,MIN(IF($B257=($D$13+1),'Stage (6) Investment'!$I257,SUM($K256:P256)),'Stage (7) Investment:Stage (10) Investment'!$I257)-SUM($K257:O257)))</f>
        <v>0</v>
      </c>
      <c r="Q257" s="150">
        <f>IF($B257="NA","NA",IF($B257&lt;=$D$14,0,MIN(IF($B257=($D$14+1),'Stage (7) Investment'!$I257,SUM($K256:Q256)),'Stage (8) Investment:Stage (10) Investment'!$I257)-SUM($K257:P257)))</f>
        <v>0</v>
      </c>
      <c r="R257" s="150">
        <f>IF($B257="NA","NA",IF($B257&lt;=$D$15,0,MIN(IF($B257=($D$15+1),'Stage (8) Investment'!$I257,SUM($K256:R256)),'Stage (9) Investment:Stage (10) Investment'!$I257)-SUM($K257:Q257)))</f>
        <v>0</v>
      </c>
      <c r="S257" s="150">
        <f>IF($B257="NA","NA",IF($B257&lt;=$D$16,0,MIN(IF($B257=($D$16+1),'Stage (9) Investment'!$I257,SUM($K256:S256)),'Stage (10) Investment'!$I257)-SUM($K257:R257)))</f>
        <v>0</v>
      </c>
      <c r="T257" s="151">
        <f>IF($B257="NA","NA",IF($B257&lt;=$D$17,0,IF($B257=($D$17+1),'Stage (10) Investment'!$I257,SUM($K256:T256))-SUM($K257:S257)))</f>
        <v>0</v>
      </c>
    </row>
    <row r="258" spans="1:20" x14ac:dyDescent="0.2">
      <c r="A258" s="86">
        <f t="shared" si="24"/>
        <v>7153</v>
      </c>
      <c r="B258" s="142">
        <f t="shared" si="25"/>
        <v>236</v>
      </c>
      <c r="C258" s="143">
        <f t="shared" si="27"/>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50">
        <f>IF(B258="NA","NA",IF(ISNUMBER(VLOOKUP($C258,'A4 Investment'!$A$24:$G$33,7,FALSE)),VLOOKUP($C258,'A4 Investment'!$A$24:$G$33,7,FALSE)*'A4 Investment'!G$18/12,0))</f>
        <v>0</v>
      </c>
      <c r="I258" s="151">
        <f t="shared" si="28"/>
        <v>8904.1666666666661</v>
      </c>
      <c r="J258" s="149">
        <f t="shared" si="26"/>
        <v>8904.1666666666661</v>
      </c>
      <c r="K258" s="150">
        <f>IF($B258="NA","NA",IF($B258&lt;=$D$8,0,MIN(IF($B258=($D$8+1),'Stage (1) Investment'!$I258,K257),'Stage (2) Investment:Stage (10) Investment'!$I258)))</f>
        <v>8904.1666666666661</v>
      </c>
      <c r="L258" s="150">
        <f>IF($B258="NA","NA",IF($B258&lt;=$D$9,0,MIN(IF($B258=($D$9+1),'Stage (2) Investment'!$I258,SUM($K257:L257)),'Stage (3) Investment:Stage (10) Investment'!$I258)-K258))</f>
        <v>0</v>
      </c>
      <c r="M258" s="150">
        <f>IF($B258="NA","NA",IF($B258&lt;=$D$10,0,MIN(IF($B258=($D$10+1),'Stage (3) Investment'!$I258,SUM($K257:M257)),'Stage (4) Investment:Stage (10) Investment'!$I258)-SUM($K258:L258)))</f>
        <v>0</v>
      </c>
      <c r="N258" s="150">
        <f>IF($B258="NA","NA",IF($B258&lt;=$D$11,0,MIN(IF($B258=($D$11+1),'Stage (4) Investment'!$I258,SUM($K257:N257)),'Stage (5) Investment:Stage (10) Investment'!$I258)-SUM($K258:M258)))</f>
        <v>0</v>
      </c>
      <c r="O258" s="150">
        <f>IF($B258="NA","NA",IF($B258&lt;=$D$12,0,MIN(IF($B258=($D$12+1),'Stage (5) Investment'!$I258,SUM($K257:O257)),'Stage (6) Investment:Stage (10) Investment'!$I258)-SUM($K258:N258)))</f>
        <v>0</v>
      </c>
      <c r="P258" s="150">
        <f>IF($B258="NA","NA",IF($B258&lt;=$D$13,0,MIN(IF($B258=($D$13+1),'Stage (6) Investment'!$I258,SUM($K257:P257)),'Stage (7) Investment:Stage (10) Investment'!$I258)-SUM($K258:O258)))</f>
        <v>0</v>
      </c>
      <c r="Q258" s="150">
        <f>IF($B258="NA","NA",IF($B258&lt;=$D$14,0,MIN(IF($B258=($D$14+1),'Stage (7) Investment'!$I258,SUM($K257:Q257)),'Stage (8) Investment:Stage (10) Investment'!$I258)-SUM($K258:P258)))</f>
        <v>0</v>
      </c>
      <c r="R258" s="150">
        <f>IF($B258="NA","NA",IF($B258&lt;=$D$15,0,MIN(IF($B258=($D$15+1),'Stage (8) Investment'!$I258,SUM($K257:R257)),'Stage (9) Investment:Stage (10) Investment'!$I258)-SUM($K258:Q258)))</f>
        <v>0</v>
      </c>
      <c r="S258" s="150">
        <f>IF($B258="NA","NA",IF($B258&lt;=$D$16,0,MIN(IF($B258=($D$16+1),'Stage (9) Investment'!$I258,SUM($K257:S257)),'Stage (10) Investment'!$I258)-SUM($K258:R258)))</f>
        <v>0</v>
      </c>
      <c r="T258" s="151">
        <f>IF($B258="NA","NA",IF($B258&lt;=$D$17,0,IF($B258=($D$17+1),'Stage (10) Investment'!$I258,SUM($K257:T257))-SUM($K258:S258)))</f>
        <v>0</v>
      </c>
    </row>
    <row r="259" spans="1:20" x14ac:dyDescent="0.2">
      <c r="A259" s="86">
        <f t="shared" si="24"/>
        <v>7184</v>
      </c>
      <c r="B259" s="142">
        <f t="shared" si="25"/>
        <v>237</v>
      </c>
      <c r="C259" s="143">
        <f t="shared" si="27"/>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50">
        <f>IF(B259="NA","NA",IF(ISNUMBER(VLOOKUP($C259,'A4 Investment'!$A$24:$G$33,7,FALSE)),VLOOKUP($C259,'A4 Investment'!$A$24:$G$33,7,FALSE)*'A4 Investment'!G$18/12,0))</f>
        <v>0</v>
      </c>
      <c r="I259" s="151">
        <f t="shared" si="28"/>
        <v>8904.1666666666661</v>
      </c>
      <c r="J259" s="149">
        <f t="shared" si="26"/>
        <v>8904.1666666666661</v>
      </c>
      <c r="K259" s="150">
        <f>IF($B259="NA","NA",IF($B259&lt;=$D$8,0,MIN(IF($B259=($D$8+1),'Stage (1) Investment'!$I259,K258),'Stage (2) Investment:Stage (10) Investment'!$I259)))</f>
        <v>8904.1666666666661</v>
      </c>
      <c r="L259" s="150">
        <f>IF($B259="NA","NA",IF($B259&lt;=$D$9,0,MIN(IF($B259=($D$9+1),'Stage (2) Investment'!$I259,SUM($K258:L258)),'Stage (3) Investment:Stage (10) Investment'!$I259)-K259))</f>
        <v>0</v>
      </c>
      <c r="M259" s="150">
        <f>IF($B259="NA","NA",IF($B259&lt;=$D$10,0,MIN(IF($B259=($D$10+1),'Stage (3) Investment'!$I259,SUM($K258:M258)),'Stage (4) Investment:Stage (10) Investment'!$I259)-SUM($K259:L259)))</f>
        <v>0</v>
      </c>
      <c r="N259" s="150">
        <f>IF($B259="NA","NA",IF($B259&lt;=$D$11,0,MIN(IF($B259=($D$11+1),'Stage (4) Investment'!$I259,SUM($K258:N258)),'Stage (5) Investment:Stage (10) Investment'!$I259)-SUM($K259:M259)))</f>
        <v>0</v>
      </c>
      <c r="O259" s="150">
        <f>IF($B259="NA","NA",IF($B259&lt;=$D$12,0,MIN(IF($B259=($D$12+1),'Stage (5) Investment'!$I259,SUM($K258:O258)),'Stage (6) Investment:Stage (10) Investment'!$I259)-SUM($K259:N259)))</f>
        <v>0</v>
      </c>
      <c r="P259" s="150">
        <f>IF($B259="NA","NA",IF($B259&lt;=$D$13,0,MIN(IF($B259=($D$13+1),'Stage (6) Investment'!$I259,SUM($K258:P258)),'Stage (7) Investment:Stage (10) Investment'!$I259)-SUM($K259:O259)))</f>
        <v>0</v>
      </c>
      <c r="Q259" s="150">
        <f>IF($B259="NA","NA",IF($B259&lt;=$D$14,0,MIN(IF($B259=($D$14+1),'Stage (7) Investment'!$I259,SUM($K258:Q258)),'Stage (8) Investment:Stage (10) Investment'!$I259)-SUM($K259:P259)))</f>
        <v>0</v>
      </c>
      <c r="R259" s="150">
        <f>IF($B259="NA","NA",IF($B259&lt;=$D$15,0,MIN(IF($B259=($D$15+1),'Stage (8) Investment'!$I259,SUM($K258:R258)),'Stage (9) Investment:Stage (10) Investment'!$I259)-SUM($K259:Q259)))</f>
        <v>0</v>
      </c>
      <c r="S259" s="150">
        <f>IF($B259="NA","NA",IF($B259&lt;=$D$16,0,MIN(IF($B259=($D$16+1),'Stage (9) Investment'!$I259,SUM($K258:S258)),'Stage (10) Investment'!$I259)-SUM($K259:R259)))</f>
        <v>0</v>
      </c>
      <c r="T259" s="151">
        <f>IF($B259="NA","NA",IF($B259&lt;=$D$17,0,IF($B259=($D$17+1),'Stage (10) Investment'!$I259,SUM($K258:T258))-SUM($K259:S259)))</f>
        <v>0</v>
      </c>
    </row>
    <row r="260" spans="1:20" x14ac:dyDescent="0.2">
      <c r="A260" s="86">
        <f t="shared" si="24"/>
        <v>7214</v>
      </c>
      <c r="B260" s="142">
        <f t="shared" si="25"/>
        <v>238</v>
      </c>
      <c r="C260" s="143">
        <f t="shared" si="27"/>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50">
        <f>IF(B260="NA","NA",IF(ISNUMBER(VLOOKUP($C260,'A4 Investment'!$A$24:$G$33,7,FALSE)),VLOOKUP($C260,'A4 Investment'!$A$24:$G$33,7,FALSE)*'A4 Investment'!G$18/12,0))</f>
        <v>0</v>
      </c>
      <c r="I260" s="151">
        <f t="shared" si="28"/>
        <v>8904.1666666666661</v>
      </c>
      <c r="J260" s="149">
        <f t="shared" si="26"/>
        <v>8904.1666666666661</v>
      </c>
      <c r="K260" s="150">
        <f>IF($B260="NA","NA",IF($B260&lt;=$D$8,0,MIN(IF($B260=($D$8+1),'Stage (1) Investment'!$I260,K259),'Stage (2) Investment:Stage (10) Investment'!$I260)))</f>
        <v>8904.1666666666661</v>
      </c>
      <c r="L260" s="150">
        <f>IF($B260="NA","NA",IF($B260&lt;=$D$9,0,MIN(IF($B260=($D$9+1),'Stage (2) Investment'!$I260,SUM($K259:L259)),'Stage (3) Investment:Stage (10) Investment'!$I260)-K260))</f>
        <v>0</v>
      </c>
      <c r="M260" s="150">
        <f>IF($B260="NA","NA",IF($B260&lt;=$D$10,0,MIN(IF($B260=($D$10+1),'Stage (3) Investment'!$I260,SUM($K259:M259)),'Stage (4) Investment:Stage (10) Investment'!$I260)-SUM($K260:L260)))</f>
        <v>0</v>
      </c>
      <c r="N260" s="150">
        <f>IF($B260="NA","NA",IF($B260&lt;=$D$11,0,MIN(IF($B260=($D$11+1),'Stage (4) Investment'!$I260,SUM($K259:N259)),'Stage (5) Investment:Stage (10) Investment'!$I260)-SUM($K260:M260)))</f>
        <v>0</v>
      </c>
      <c r="O260" s="150">
        <f>IF($B260="NA","NA",IF($B260&lt;=$D$12,0,MIN(IF($B260=($D$12+1),'Stage (5) Investment'!$I260,SUM($K259:O259)),'Stage (6) Investment:Stage (10) Investment'!$I260)-SUM($K260:N260)))</f>
        <v>0</v>
      </c>
      <c r="P260" s="150">
        <f>IF($B260="NA","NA",IF($B260&lt;=$D$13,0,MIN(IF($B260=($D$13+1),'Stage (6) Investment'!$I260,SUM($K259:P259)),'Stage (7) Investment:Stage (10) Investment'!$I260)-SUM($K260:O260)))</f>
        <v>0</v>
      </c>
      <c r="Q260" s="150">
        <f>IF($B260="NA","NA",IF($B260&lt;=$D$14,0,MIN(IF($B260=($D$14+1),'Stage (7) Investment'!$I260,SUM($K259:Q259)),'Stage (8) Investment:Stage (10) Investment'!$I260)-SUM($K260:P260)))</f>
        <v>0</v>
      </c>
      <c r="R260" s="150">
        <f>IF($B260="NA","NA",IF($B260&lt;=$D$15,0,MIN(IF($B260=($D$15+1),'Stage (8) Investment'!$I260,SUM($K259:R259)),'Stage (9) Investment:Stage (10) Investment'!$I260)-SUM($K260:Q260)))</f>
        <v>0</v>
      </c>
      <c r="S260" s="150">
        <f>IF($B260="NA","NA",IF($B260&lt;=$D$16,0,MIN(IF($B260=($D$16+1),'Stage (9) Investment'!$I260,SUM($K259:S259)),'Stage (10) Investment'!$I260)-SUM($K260:R260)))</f>
        <v>0</v>
      </c>
      <c r="T260" s="151">
        <f>IF($B260="NA","NA",IF($B260&lt;=$D$17,0,IF($B260=($D$17+1),'Stage (10) Investment'!$I260,SUM($K259:T259))-SUM($K260:S260)))</f>
        <v>0</v>
      </c>
    </row>
    <row r="261" spans="1:20" x14ac:dyDescent="0.2">
      <c r="A261" s="86">
        <f t="shared" si="24"/>
        <v>7245</v>
      </c>
      <c r="B261" s="142">
        <f t="shared" si="25"/>
        <v>239</v>
      </c>
      <c r="C261" s="143">
        <f t="shared" si="27"/>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50">
        <f>IF(B261="NA","NA",IF(ISNUMBER(VLOOKUP($C261,'A4 Investment'!$A$24:$G$33,7,FALSE)),VLOOKUP($C261,'A4 Investment'!$A$24:$G$33,7,FALSE)*'A4 Investment'!G$18/12,0))</f>
        <v>0</v>
      </c>
      <c r="I261" s="151">
        <f t="shared" si="28"/>
        <v>8904.1666666666661</v>
      </c>
      <c r="J261" s="149">
        <f t="shared" si="26"/>
        <v>8904.1666666666661</v>
      </c>
      <c r="K261" s="150">
        <f>IF($B261="NA","NA",IF($B261&lt;=$D$8,0,MIN(IF($B261=($D$8+1),'Stage (1) Investment'!$I261,K260),'Stage (2) Investment:Stage (10) Investment'!$I261)))</f>
        <v>8904.1666666666661</v>
      </c>
      <c r="L261" s="150">
        <f>IF($B261="NA","NA",IF($B261&lt;=$D$9,0,MIN(IF($B261=($D$9+1),'Stage (2) Investment'!$I261,SUM($K260:L260)),'Stage (3) Investment:Stage (10) Investment'!$I261)-K261))</f>
        <v>0</v>
      </c>
      <c r="M261" s="150">
        <f>IF($B261="NA","NA",IF($B261&lt;=$D$10,0,MIN(IF($B261=($D$10+1),'Stage (3) Investment'!$I261,SUM($K260:M260)),'Stage (4) Investment:Stage (10) Investment'!$I261)-SUM($K261:L261)))</f>
        <v>0</v>
      </c>
      <c r="N261" s="150">
        <f>IF($B261="NA","NA",IF($B261&lt;=$D$11,0,MIN(IF($B261=($D$11+1),'Stage (4) Investment'!$I261,SUM($K260:N260)),'Stage (5) Investment:Stage (10) Investment'!$I261)-SUM($K261:M261)))</f>
        <v>0</v>
      </c>
      <c r="O261" s="150">
        <f>IF($B261="NA","NA",IF($B261&lt;=$D$12,0,MIN(IF($B261=($D$12+1),'Stage (5) Investment'!$I261,SUM($K260:O260)),'Stage (6) Investment:Stage (10) Investment'!$I261)-SUM($K261:N261)))</f>
        <v>0</v>
      </c>
      <c r="P261" s="150">
        <f>IF($B261="NA","NA",IF($B261&lt;=$D$13,0,MIN(IF($B261=($D$13+1),'Stage (6) Investment'!$I261,SUM($K260:P260)),'Stage (7) Investment:Stage (10) Investment'!$I261)-SUM($K261:O261)))</f>
        <v>0</v>
      </c>
      <c r="Q261" s="150">
        <f>IF($B261="NA","NA",IF($B261&lt;=$D$14,0,MIN(IF($B261=($D$14+1),'Stage (7) Investment'!$I261,SUM($K260:Q260)),'Stage (8) Investment:Stage (10) Investment'!$I261)-SUM($K261:P261)))</f>
        <v>0</v>
      </c>
      <c r="R261" s="150">
        <f>IF($B261="NA","NA",IF($B261&lt;=$D$15,0,MIN(IF($B261=($D$15+1),'Stage (8) Investment'!$I261,SUM($K260:R260)),'Stage (9) Investment:Stage (10) Investment'!$I261)-SUM($K261:Q261)))</f>
        <v>0</v>
      </c>
      <c r="S261" s="150">
        <f>IF($B261="NA","NA",IF($B261&lt;=$D$16,0,MIN(IF($B261=($D$16+1),'Stage (9) Investment'!$I261,SUM($K260:S260)),'Stage (10) Investment'!$I261)-SUM($K261:R261)))</f>
        <v>0</v>
      </c>
      <c r="T261" s="151">
        <f>IF($B261="NA","NA",IF($B261&lt;=$D$17,0,IF($B261=($D$17+1),'Stage (10) Investment'!$I261,SUM($K260:T260))-SUM($K261:S261)))</f>
        <v>0</v>
      </c>
    </row>
    <row r="262" spans="1:20" x14ac:dyDescent="0.2">
      <c r="A262" s="87">
        <f t="shared" si="24"/>
        <v>7275</v>
      </c>
      <c r="B262" s="144">
        <f t="shared" si="25"/>
        <v>240</v>
      </c>
      <c r="C262" s="145">
        <f t="shared" si="27"/>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53">
        <f>IF(B262="NA","NA",IF(ISNUMBER(VLOOKUP($C262,'A4 Investment'!$A$24:$G$33,7,FALSE)),VLOOKUP($C262,'A4 Investment'!$A$24:$G$33,7,FALSE)*'A4 Investment'!G$18/12,0))</f>
        <v>0</v>
      </c>
      <c r="I262" s="154">
        <f t="shared" si="28"/>
        <v>8904.1666666666661</v>
      </c>
      <c r="J262" s="152">
        <f t="shared" si="26"/>
        <v>8904.1666666666661</v>
      </c>
      <c r="K262" s="153">
        <f>IF($B262="NA","NA",IF($B262&lt;=$D$8,0,MIN(IF($B262=($D$8+1),'Stage (1) Investment'!$I262,K261),'Stage (2) Investment:Stage (10) Investment'!$I262)))</f>
        <v>8904.1666666666661</v>
      </c>
      <c r="L262" s="153">
        <f>IF($B262="NA","NA",IF($B262&lt;=$D$9,0,MIN(IF($B262=($D$9+1),'Stage (2) Investment'!$I262,SUM($K261:L261)),'Stage (3) Investment:Stage (10) Investment'!$I262)-K262))</f>
        <v>0</v>
      </c>
      <c r="M262" s="153">
        <f>IF($B262="NA","NA",IF($B262&lt;=$D$10,0,MIN(IF($B262=($D$10+1),'Stage (3) Investment'!$I262,SUM($K261:M261)),'Stage (4) Investment:Stage (10) Investment'!$I262)-SUM($K262:L262)))</f>
        <v>0</v>
      </c>
      <c r="N262" s="153">
        <f>IF($B262="NA","NA",IF($B262&lt;=$D$11,0,MIN(IF($B262=($D$11+1),'Stage (4) Investment'!$I262,SUM($K261:N261)),'Stage (5) Investment:Stage (10) Investment'!$I262)-SUM($K262:M262)))</f>
        <v>0</v>
      </c>
      <c r="O262" s="153">
        <f>IF($B262="NA","NA",IF($B262&lt;=$D$12,0,MIN(IF($B262=($D$12+1),'Stage (5) Investment'!$I262,SUM($K261:O261)),'Stage (6) Investment:Stage (10) Investment'!$I262)-SUM($K262:N262)))</f>
        <v>0</v>
      </c>
      <c r="P262" s="153">
        <f>IF($B262="NA","NA",IF($B262&lt;=$D$13,0,MIN(IF($B262=($D$13+1),'Stage (6) Investment'!$I262,SUM($K261:P261)),'Stage (7) Investment:Stage (10) Investment'!$I262)-SUM($K262:O262)))</f>
        <v>0</v>
      </c>
      <c r="Q262" s="153">
        <f>IF($B262="NA","NA",IF($B262&lt;=$D$14,0,MIN(IF($B262=($D$14+1),'Stage (7) Investment'!$I262,SUM($K261:Q261)),'Stage (8) Investment:Stage (10) Investment'!$I262)-SUM($K262:P262)))</f>
        <v>0</v>
      </c>
      <c r="R262" s="153">
        <f>IF($B262="NA","NA",IF($B262&lt;=$D$15,0,MIN(IF($B262=($D$15+1),'Stage (8) Investment'!$I262,SUM($K261:R261)),'Stage (9) Investment:Stage (10) Investment'!$I262)-SUM($K262:Q262)))</f>
        <v>0</v>
      </c>
      <c r="S262" s="153">
        <f>IF($B262="NA","NA",IF($B262&lt;=$D$16,0,MIN(IF($B262=($D$16+1),'Stage (9) Investment'!$I262,SUM($K261:S261)),'Stage (10) Investment'!$I262)-SUM($K262:R262)))</f>
        <v>0</v>
      </c>
      <c r="T262" s="154">
        <f>IF($B262="NA","NA",IF($B262&lt;=$D$17,0,IF($B262=($D$17+1),'Stage (10) Investment'!$I262,SUM($K261:T261))-SUM($K262:S262)))</f>
        <v>0</v>
      </c>
    </row>
  </sheetData>
  <mergeCells count="21">
    <mergeCell ref="K21:T21"/>
    <mergeCell ref="B17:C17"/>
    <mergeCell ref="B18:C18"/>
    <mergeCell ref="D21:H21"/>
    <mergeCell ref="A20:I20"/>
    <mergeCell ref="A1:J1"/>
    <mergeCell ref="A7:D7"/>
    <mergeCell ref="C3:G3"/>
    <mergeCell ref="C4:G4"/>
    <mergeCell ref="C5:D5"/>
    <mergeCell ref="B10:C10"/>
    <mergeCell ref="B8:C8"/>
    <mergeCell ref="F5:H5"/>
    <mergeCell ref="B9:C9"/>
    <mergeCell ref="J20:T20"/>
    <mergeCell ref="B16:C16"/>
    <mergeCell ref="B15:C15"/>
    <mergeCell ref="B11:C11"/>
    <mergeCell ref="B13:C13"/>
    <mergeCell ref="B12:C12"/>
    <mergeCell ref="B14:C14"/>
  </mergeCells>
  <phoneticPr fontId="5" type="noConversion"/>
  <conditionalFormatting sqref="J23:T262 A83:I262">
    <cfRule type="cellIs" dxfId="10"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2"/>
  <sheetViews>
    <sheetView showGridLines="0" topLeftCell="A280" workbookViewId="0">
      <selection activeCell="H291" sqref="H29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165</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5">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c r="B10" s="514"/>
      <c r="C10" s="514"/>
      <c r="D10" s="165"/>
      <c r="E10" s="166"/>
    </row>
    <row r="11" spans="1:11" x14ac:dyDescent="0.2">
      <c r="A11" s="13"/>
      <c r="B11" s="514"/>
      <c r="C11" s="514"/>
      <c r="D11" s="165"/>
      <c r="E11" s="166"/>
    </row>
    <row r="12" spans="1:11" x14ac:dyDescent="0.2">
      <c r="A12" s="13"/>
      <c r="B12" s="514"/>
      <c r="C12" s="514"/>
      <c r="D12" s="165"/>
      <c r="E12" s="166"/>
    </row>
    <row r="13" spans="1:11" x14ac:dyDescent="0.2">
      <c r="A13" s="13"/>
      <c r="B13" s="514"/>
      <c r="C13" s="514"/>
      <c r="D13" s="165"/>
      <c r="E13" s="166"/>
    </row>
    <row r="14" spans="1:11" x14ac:dyDescent="0.2">
      <c r="A14" s="13"/>
      <c r="B14" s="515"/>
      <c r="C14" s="515"/>
      <c r="D14" s="165"/>
      <c r="E14" s="166"/>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118</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5" type="noConversion"/>
  <conditionalFormatting sqref="A83:I262">
    <cfRule type="cellIs" dxfId="9"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62"/>
  <sheetViews>
    <sheetView showGridLines="0" workbookViewId="0">
      <selection activeCell="I3" sqref="I3"/>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166</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5">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c r="B11" s="514"/>
      <c r="C11" s="514"/>
      <c r="D11" s="165"/>
      <c r="E11" s="166"/>
    </row>
    <row r="12" spans="1:11" x14ac:dyDescent="0.2">
      <c r="A12" s="13"/>
      <c r="B12" s="514"/>
      <c r="C12" s="514"/>
      <c r="D12" s="165"/>
      <c r="E12" s="166"/>
    </row>
    <row r="13" spans="1:11" x14ac:dyDescent="0.2">
      <c r="A13" s="13"/>
      <c r="B13" s="514"/>
      <c r="C13" s="514"/>
      <c r="D13" s="165"/>
      <c r="E13" s="166"/>
    </row>
    <row r="14" spans="1:11" x14ac:dyDescent="0.2">
      <c r="A14" s="13"/>
      <c r="B14" s="515"/>
      <c r="C14" s="515"/>
      <c r="D14" s="165"/>
      <c r="E14" s="166"/>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117</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5" type="noConversion"/>
  <conditionalFormatting sqref="A83:I262">
    <cfRule type="cellIs" dxfId="8"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62"/>
  <sheetViews>
    <sheetView showGridLines="0" workbookViewId="0">
      <selection activeCell="I3" sqref="I3"/>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167</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5">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IF(A11=0,0,DAYS360(D11,E11)/30)</f>
        <v>0</v>
      </c>
      <c r="C11" s="515"/>
      <c r="D11" s="165">
        <f>IF(A11=0,0,DATE(YEAR('A1 Costs and Contract'!B49),MONTH('A1 Costs and Contract'!B49),1))</f>
        <v>0</v>
      </c>
      <c r="E11" s="166">
        <f>IF(A11=0,0,E10)</f>
        <v>0</v>
      </c>
    </row>
    <row r="12" spans="1:11" x14ac:dyDescent="0.2">
      <c r="A12" s="13"/>
      <c r="B12" s="514"/>
      <c r="C12" s="514"/>
      <c r="D12" s="165"/>
      <c r="E12" s="166"/>
    </row>
    <row r="13" spans="1:11" x14ac:dyDescent="0.2">
      <c r="A13" s="13"/>
      <c r="B13" s="514"/>
      <c r="C13" s="514"/>
      <c r="D13" s="165"/>
      <c r="E13" s="166"/>
    </row>
    <row r="14" spans="1:11" x14ac:dyDescent="0.2">
      <c r="A14" s="13"/>
      <c r="B14" s="515"/>
      <c r="C14" s="515"/>
      <c r="D14" s="165"/>
      <c r="E14" s="166"/>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116</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5" type="noConversion"/>
  <conditionalFormatting sqref="A83:I262">
    <cfRule type="cellIs" dxfId="7"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62"/>
  <sheetViews>
    <sheetView showGridLines="0" topLeftCell="A249" workbookViewId="0">
      <selection activeCell="A254" sqref="A254"/>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168</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4">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IF(A11=0,0,DAYS360(D11,E11)/30)</f>
        <v>0</v>
      </c>
      <c r="C11" s="515"/>
      <c r="D11" s="165">
        <f>IF(A11=0,0,DATE(YEAR('A1 Costs and Contract'!B49),MONTH('A1 Costs and Contract'!B49),1))</f>
        <v>0</v>
      </c>
      <c r="E11" s="166">
        <f>IF(A11=0,0,E10)</f>
        <v>0</v>
      </c>
    </row>
    <row r="12" spans="1:11" x14ac:dyDescent="0.2">
      <c r="A12" s="13">
        <f>'A1 Costs and Contract'!A50</f>
        <v>0</v>
      </c>
      <c r="B12" s="515">
        <f>IF(A12=0,0,DAYS360(D12,E12)/30)</f>
        <v>0</v>
      </c>
      <c r="C12" s="515"/>
      <c r="D12" s="165">
        <f>IF(A12=0,0,DATE(YEAR('A1 Costs and Contract'!B50),MONTH('A1 Costs and Contract'!B50),1))</f>
        <v>0</v>
      </c>
      <c r="E12" s="166">
        <f>IF(A12=0,0,E11)</f>
        <v>0</v>
      </c>
    </row>
    <row r="13" spans="1:11" x14ac:dyDescent="0.2">
      <c r="A13" s="13"/>
      <c r="B13" s="514"/>
      <c r="C13" s="514"/>
      <c r="D13" s="165"/>
      <c r="E13" s="166"/>
    </row>
    <row r="14" spans="1:11" x14ac:dyDescent="0.2">
      <c r="A14" s="13"/>
      <c r="B14" s="515"/>
      <c r="C14" s="515"/>
      <c r="D14" s="165"/>
      <c r="E14" s="166"/>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115</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5" type="noConversion"/>
  <conditionalFormatting sqref="A83:I262">
    <cfRule type="cellIs" dxfId="6"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62"/>
  <sheetViews>
    <sheetView showGridLines="0" topLeftCell="A249" workbookViewId="0">
      <selection activeCell="H258" sqref="H258"/>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169</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5">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IF(A11=0,0,DAYS360(D11,E11)/30)</f>
        <v>0</v>
      </c>
      <c r="C11" s="515"/>
      <c r="D11" s="165">
        <f>IF(A11=0,0,DATE(YEAR('A1 Costs and Contract'!B49),MONTH('A1 Costs and Contract'!B49),1))</f>
        <v>0</v>
      </c>
      <c r="E11" s="166">
        <f>IF(A11=0,0,E10)</f>
        <v>0</v>
      </c>
    </row>
    <row r="12" spans="1:11" x14ac:dyDescent="0.2">
      <c r="A12" s="13">
        <f>'A1 Costs and Contract'!A50</f>
        <v>0</v>
      </c>
      <c r="B12" s="515">
        <f>IF(A12=0,0,DAYS360(D12,E12)/30)</f>
        <v>0</v>
      </c>
      <c r="C12" s="515"/>
      <c r="D12" s="165">
        <f>IF(A12=0,0,DATE(YEAR('A1 Costs and Contract'!B50),MONTH('A1 Costs and Contract'!B50),1))</f>
        <v>0</v>
      </c>
      <c r="E12" s="166">
        <f>IF(A12=0,0,E11)</f>
        <v>0</v>
      </c>
    </row>
    <row r="13" spans="1:11" x14ac:dyDescent="0.2">
      <c r="A13" s="13">
        <f>'A1 Costs and Contract'!A51</f>
        <v>0</v>
      </c>
      <c r="B13" s="515">
        <f>IF(A13=0,0,DAYS360(D13,E13)/30)</f>
        <v>0</v>
      </c>
      <c r="C13" s="515"/>
      <c r="D13" s="165">
        <f>IF(A13=0,0,DATE(YEAR('A1 Costs and Contract'!B51),MONTH('A1 Costs and Contract'!B51),1))</f>
        <v>0</v>
      </c>
      <c r="E13" s="166">
        <f>IF(A13=0,0,E12)</f>
        <v>0</v>
      </c>
    </row>
    <row r="14" spans="1:11" x14ac:dyDescent="0.2">
      <c r="A14" s="13"/>
      <c r="B14" s="515"/>
      <c r="C14" s="515"/>
      <c r="D14" s="165"/>
      <c r="E14" s="166"/>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114</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5" type="noConversion"/>
  <conditionalFormatting sqref="A83:I262">
    <cfRule type="cellIs" dxfId="5"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2021 Tariff (AESO ID No. 2021-016T)
Filename: &amp;F — Page &amp;P of &amp;N&amp;R&amp;8Confidentiality: Proprietary When Competed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62"/>
  <sheetViews>
    <sheetView showGridLines="0" workbookViewId="0">
      <selection activeCell="A192" sqref="A192"/>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170</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s="307" t="s">
        <v>321</v>
      </c>
      <c r="C4" s="443" t="str">
        <f>ProjectName</f>
        <v>Project Name</v>
      </c>
      <c r="D4" s="443"/>
      <c r="E4" s="443"/>
      <c r="F4" s="443"/>
      <c r="G4" s="443"/>
      <c r="H4" s="108" t="s">
        <v>1</v>
      </c>
      <c r="I4" s="295">
        <f>'A1 Costs and Contract'!I11</f>
        <v>44197</v>
      </c>
    </row>
    <row r="5" spans="1:11" x14ac:dyDescent="0.2">
      <c r="A5" s="307"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IF(A11=0,0,DAYS360(D11,E11)/30)</f>
        <v>0</v>
      </c>
      <c r="C11" s="515"/>
      <c r="D11" s="165">
        <f>IF(A11=0,0,DATE(YEAR('A1 Costs and Contract'!B49),MONTH('A1 Costs and Contract'!B49),1))</f>
        <v>0</v>
      </c>
      <c r="E11" s="166">
        <f>IF(A11=0,0,E10)</f>
        <v>0</v>
      </c>
    </row>
    <row r="12" spans="1:11" x14ac:dyDescent="0.2">
      <c r="A12" s="13">
        <f>'A1 Costs and Contract'!A50</f>
        <v>0</v>
      </c>
      <c r="B12" s="515">
        <f>IF(A12=0,0,DAYS360(D12,E12)/30)</f>
        <v>0</v>
      </c>
      <c r="C12" s="515"/>
      <c r="D12" s="165">
        <f>IF(A12=0,0,DATE(YEAR('A1 Costs and Contract'!B50),MONTH('A1 Costs and Contract'!B50),1))</f>
        <v>0</v>
      </c>
      <c r="E12" s="166">
        <f>IF(A12=0,0,E11)</f>
        <v>0</v>
      </c>
    </row>
    <row r="13" spans="1:11" x14ac:dyDescent="0.2">
      <c r="A13" s="13">
        <f>'A1 Costs and Contract'!A51</f>
        <v>0</v>
      </c>
      <c r="B13" s="515">
        <f>IF(A13=0,0,DAYS360(D13,E13)/30)</f>
        <v>0</v>
      </c>
      <c r="C13" s="515"/>
      <c r="D13" s="165">
        <f>IF(A13=0,0,DATE(YEAR('A1 Costs and Contract'!B51),MONTH('A1 Costs and Contract'!B51),1))</f>
        <v>0</v>
      </c>
      <c r="E13" s="166">
        <f>IF(A13=0,0,E12)</f>
        <v>0</v>
      </c>
    </row>
    <row r="14" spans="1:11" x14ac:dyDescent="0.2">
      <c r="A14" s="13">
        <f>'A1 Costs and Contract'!A52</f>
        <v>0</v>
      </c>
      <c r="B14" s="515">
        <f>IF(A14=0,0,DAYS360(D14,E14)/30)</f>
        <v>0</v>
      </c>
      <c r="C14" s="515"/>
      <c r="D14" s="165">
        <f>IF(A14=0,0,DATE(YEAR('A1 Costs and Contract'!B52),MONTH('A1 Costs and Contract'!B52),1))</f>
        <v>0</v>
      </c>
      <c r="E14" s="166">
        <f>IF(A14=0,0,E13)</f>
        <v>0</v>
      </c>
    </row>
    <row r="15" spans="1:11" x14ac:dyDescent="0.2">
      <c r="A15" s="13"/>
      <c r="B15" s="515"/>
      <c r="C15" s="515"/>
      <c r="D15" s="165"/>
      <c r="E15" s="166"/>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113</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0">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1">SUM(D23:H23)</f>
        <v>8904.1666666666661</v>
      </c>
    </row>
    <row r="24" spans="1:9" x14ac:dyDescent="0.2">
      <c r="A24" s="86">
        <f>DATE(YEAR(A23),MONTH(A23)+1,1)</f>
        <v>32</v>
      </c>
      <c r="B24" s="142">
        <f t="shared" ref="B24:B55" si="2">B23+1</f>
        <v>2</v>
      </c>
      <c r="C24" s="143">
        <f t="shared" si="0"/>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1"/>
        <v>8904.1666666666661</v>
      </c>
    </row>
    <row r="25" spans="1:9" x14ac:dyDescent="0.2">
      <c r="A25" s="86">
        <f t="shared" ref="A25:A82" si="3">DATE(YEAR(A24),MONTH(A24)+1,1)</f>
        <v>61</v>
      </c>
      <c r="B25" s="142">
        <f t="shared" si="2"/>
        <v>3</v>
      </c>
      <c r="C25" s="143">
        <f t="shared" si="0"/>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1"/>
        <v>8904.1666666666661</v>
      </c>
    </row>
    <row r="26" spans="1:9" x14ac:dyDescent="0.2">
      <c r="A26" s="86">
        <f t="shared" si="3"/>
        <v>92</v>
      </c>
      <c r="B26" s="142">
        <f t="shared" si="2"/>
        <v>4</v>
      </c>
      <c r="C26" s="143">
        <f t="shared" si="0"/>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1"/>
        <v>8904.1666666666661</v>
      </c>
    </row>
    <row r="27" spans="1:9" x14ac:dyDescent="0.2">
      <c r="A27" s="86">
        <f t="shared" si="3"/>
        <v>122</v>
      </c>
      <c r="B27" s="142">
        <f t="shared" si="2"/>
        <v>5</v>
      </c>
      <c r="C27" s="143">
        <f t="shared" si="0"/>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1"/>
        <v>8904.1666666666661</v>
      </c>
    </row>
    <row r="28" spans="1:9" x14ac:dyDescent="0.2">
      <c r="A28" s="86">
        <f t="shared" si="3"/>
        <v>153</v>
      </c>
      <c r="B28" s="142">
        <f t="shared" si="2"/>
        <v>6</v>
      </c>
      <c r="C28" s="143">
        <f t="shared" si="0"/>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1"/>
        <v>8904.1666666666661</v>
      </c>
    </row>
    <row r="29" spans="1:9" x14ac:dyDescent="0.2">
      <c r="A29" s="86">
        <f t="shared" si="3"/>
        <v>183</v>
      </c>
      <c r="B29" s="142">
        <f t="shared" si="2"/>
        <v>7</v>
      </c>
      <c r="C29" s="143">
        <f t="shared" si="0"/>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1"/>
        <v>8904.1666666666661</v>
      </c>
    </row>
    <row r="30" spans="1:9" x14ac:dyDescent="0.2">
      <c r="A30" s="86">
        <f t="shared" si="3"/>
        <v>214</v>
      </c>
      <c r="B30" s="142">
        <f t="shared" si="2"/>
        <v>8</v>
      </c>
      <c r="C30" s="143">
        <f t="shared" si="0"/>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1"/>
        <v>8904.1666666666661</v>
      </c>
    </row>
    <row r="31" spans="1:9" x14ac:dyDescent="0.2">
      <c r="A31" s="86">
        <f t="shared" si="3"/>
        <v>245</v>
      </c>
      <c r="B31" s="142">
        <f t="shared" si="2"/>
        <v>9</v>
      </c>
      <c r="C31" s="143">
        <f t="shared" si="0"/>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1"/>
        <v>8904.1666666666661</v>
      </c>
    </row>
    <row r="32" spans="1:9" x14ac:dyDescent="0.2">
      <c r="A32" s="86">
        <f t="shared" si="3"/>
        <v>275</v>
      </c>
      <c r="B32" s="142">
        <f t="shared" si="2"/>
        <v>10</v>
      </c>
      <c r="C32" s="143">
        <f t="shared" si="0"/>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1"/>
        <v>8904.1666666666661</v>
      </c>
    </row>
    <row r="33" spans="1:9" x14ac:dyDescent="0.2">
      <c r="A33" s="86">
        <f t="shared" si="3"/>
        <v>306</v>
      </c>
      <c r="B33" s="142">
        <f t="shared" si="2"/>
        <v>11</v>
      </c>
      <c r="C33" s="143">
        <f t="shared" si="0"/>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1"/>
        <v>8904.1666666666661</v>
      </c>
    </row>
    <row r="34" spans="1:9" x14ac:dyDescent="0.2">
      <c r="A34" s="86">
        <f t="shared" si="3"/>
        <v>336</v>
      </c>
      <c r="B34" s="142">
        <f t="shared" si="2"/>
        <v>12</v>
      </c>
      <c r="C34" s="143">
        <f t="shared" si="0"/>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1"/>
        <v>8904.1666666666661</v>
      </c>
    </row>
    <row r="35" spans="1:9" x14ac:dyDescent="0.2">
      <c r="A35" s="86">
        <f t="shared" si="3"/>
        <v>367</v>
      </c>
      <c r="B35" s="142">
        <f t="shared" si="2"/>
        <v>13</v>
      </c>
      <c r="C35" s="143">
        <f t="shared" si="0"/>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1"/>
        <v>8904.1666666666661</v>
      </c>
    </row>
    <row r="36" spans="1:9" x14ac:dyDescent="0.2">
      <c r="A36" s="86">
        <f t="shared" si="3"/>
        <v>398</v>
      </c>
      <c r="B36" s="142">
        <f t="shared" si="2"/>
        <v>14</v>
      </c>
      <c r="C36" s="143">
        <f t="shared" si="0"/>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1"/>
        <v>8904.1666666666661</v>
      </c>
    </row>
    <row r="37" spans="1:9" x14ac:dyDescent="0.2">
      <c r="A37" s="86">
        <f t="shared" si="3"/>
        <v>426</v>
      </c>
      <c r="B37" s="142">
        <f t="shared" si="2"/>
        <v>15</v>
      </c>
      <c r="C37" s="143">
        <f t="shared" si="0"/>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1"/>
        <v>8904.1666666666661</v>
      </c>
    </row>
    <row r="38" spans="1:9" x14ac:dyDescent="0.2">
      <c r="A38" s="86">
        <f t="shared" si="3"/>
        <v>457</v>
      </c>
      <c r="B38" s="142">
        <f t="shared" si="2"/>
        <v>16</v>
      </c>
      <c r="C38" s="143">
        <f t="shared" si="0"/>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1"/>
        <v>8904.1666666666661</v>
      </c>
    </row>
    <row r="39" spans="1:9" x14ac:dyDescent="0.2">
      <c r="A39" s="86">
        <f t="shared" si="3"/>
        <v>487</v>
      </c>
      <c r="B39" s="142">
        <f t="shared" si="2"/>
        <v>17</v>
      </c>
      <c r="C39" s="143">
        <f t="shared" si="0"/>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1"/>
        <v>8904.1666666666661</v>
      </c>
    </row>
    <row r="40" spans="1:9" x14ac:dyDescent="0.2">
      <c r="A40" s="86">
        <f t="shared" si="3"/>
        <v>518</v>
      </c>
      <c r="B40" s="142">
        <f t="shared" si="2"/>
        <v>18</v>
      </c>
      <c r="C40" s="143">
        <f t="shared" si="0"/>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1"/>
        <v>8904.1666666666661</v>
      </c>
    </row>
    <row r="41" spans="1:9" x14ac:dyDescent="0.2">
      <c r="A41" s="86">
        <f t="shared" si="3"/>
        <v>548</v>
      </c>
      <c r="B41" s="142">
        <f t="shared" si="2"/>
        <v>19</v>
      </c>
      <c r="C41" s="143">
        <f t="shared" si="0"/>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1"/>
        <v>8904.1666666666661</v>
      </c>
    </row>
    <row r="42" spans="1:9" x14ac:dyDescent="0.2">
      <c r="A42" s="86">
        <f t="shared" si="3"/>
        <v>579</v>
      </c>
      <c r="B42" s="142">
        <f t="shared" si="2"/>
        <v>20</v>
      </c>
      <c r="C42" s="143">
        <f t="shared" si="0"/>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1"/>
        <v>8904.1666666666661</v>
      </c>
    </row>
    <row r="43" spans="1:9" x14ac:dyDescent="0.2">
      <c r="A43" s="86">
        <f t="shared" si="3"/>
        <v>610</v>
      </c>
      <c r="B43" s="142">
        <f t="shared" si="2"/>
        <v>21</v>
      </c>
      <c r="C43" s="143">
        <f t="shared" si="0"/>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1"/>
        <v>8904.1666666666661</v>
      </c>
    </row>
    <row r="44" spans="1:9" x14ac:dyDescent="0.2">
      <c r="A44" s="86">
        <f t="shared" si="3"/>
        <v>640</v>
      </c>
      <c r="B44" s="142">
        <f t="shared" si="2"/>
        <v>22</v>
      </c>
      <c r="C44" s="143">
        <f t="shared" si="0"/>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1"/>
        <v>8904.1666666666661</v>
      </c>
    </row>
    <row r="45" spans="1:9" x14ac:dyDescent="0.2">
      <c r="A45" s="86">
        <f t="shared" si="3"/>
        <v>671</v>
      </c>
      <c r="B45" s="142">
        <f t="shared" si="2"/>
        <v>23</v>
      </c>
      <c r="C45" s="143">
        <f t="shared" si="0"/>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1"/>
        <v>8904.1666666666661</v>
      </c>
    </row>
    <row r="46" spans="1:9" x14ac:dyDescent="0.2">
      <c r="A46" s="86">
        <f t="shared" si="3"/>
        <v>701</v>
      </c>
      <c r="B46" s="142">
        <f t="shared" si="2"/>
        <v>24</v>
      </c>
      <c r="C46" s="143">
        <f t="shared" si="0"/>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1"/>
        <v>8904.1666666666661</v>
      </c>
    </row>
    <row r="47" spans="1:9" x14ac:dyDescent="0.2">
      <c r="A47" s="86">
        <f t="shared" si="3"/>
        <v>732</v>
      </c>
      <c r="B47" s="142">
        <f t="shared" si="2"/>
        <v>25</v>
      </c>
      <c r="C47" s="143">
        <f t="shared" si="0"/>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1"/>
        <v>8904.1666666666661</v>
      </c>
    </row>
    <row r="48" spans="1:9" x14ac:dyDescent="0.2">
      <c r="A48" s="86">
        <f t="shared" si="3"/>
        <v>763</v>
      </c>
      <c r="B48" s="142">
        <f t="shared" si="2"/>
        <v>26</v>
      </c>
      <c r="C48" s="143">
        <f t="shared" si="0"/>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1"/>
        <v>8904.1666666666661</v>
      </c>
    </row>
    <row r="49" spans="1:9" x14ac:dyDescent="0.2">
      <c r="A49" s="86">
        <f t="shared" si="3"/>
        <v>791</v>
      </c>
      <c r="B49" s="142">
        <f t="shared" si="2"/>
        <v>27</v>
      </c>
      <c r="C49" s="143">
        <f t="shared" si="0"/>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1"/>
        <v>8904.1666666666661</v>
      </c>
    </row>
    <row r="50" spans="1:9" x14ac:dyDescent="0.2">
      <c r="A50" s="86">
        <f t="shared" si="3"/>
        <v>822</v>
      </c>
      <c r="B50" s="142">
        <f t="shared" si="2"/>
        <v>28</v>
      </c>
      <c r="C50" s="143">
        <f t="shared" si="0"/>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1"/>
        <v>8904.1666666666661</v>
      </c>
    </row>
    <row r="51" spans="1:9" x14ac:dyDescent="0.2">
      <c r="A51" s="86">
        <f t="shared" si="3"/>
        <v>852</v>
      </c>
      <c r="B51" s="142">
        <f t="shared" si="2"/>
        <v>29</v>
      </c>
      <c r="C51" s="143">
        <f t="shared" si="0"/>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1"/>
        <v>8904.1666666666661</v>
      </c>
    </row>
    <row r="52" spans="1:9" x14ac:dyDescent="0.2">
      <c r="A52" s="86">
        <f t="shared" si="3"/>
        <v>883</v>
      </c>
      <c r="B52" s="142">
        <f t="shared" si="2"/>
        <v>30</v>
      </c>
      <c r="C52" s="143">
        <f t="shared" si="0"/>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1"/>
        <v>8904.1666666666661</v>
      </c>
    </row>
    <row r="53" spans="1:9" x14ac:dyDescent="0.2">
      <c r="A53" s="86">
        <f t="shared" si="3"/>
        <v>913</v>
      </c>
      <c r="B53" s="142">
        <f t="shared" si="2"/>
        <v>31</v>
      </c>
      <c r="C53" s="143">
        <f t="shared" si="0"/>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1"/>
        <v>8904.1666666666661</v>
      </c>
    </row>
    <row r="54" spans="1:9" x14ac:dyDescent="0.2">
      <c r="A54" s="86">
        <f t="shared" si="3"/>
        <v>944</v>
      </c>
      <c r="B54" s="142">
        <f t="shared" si="2"/>
        <v>32</v>
      </c>
      <c r="C54" s="143">
        <f t="shared" si="0"/>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1"/>
        <v>8904.1666666666661</v>
      </c>
    </row>
    <row r="55" spans="1:9" x14ac:dyDescent="0.2">
      <c r="A55" s="86">
        <f t="shared" si="3"/>
        <v>975</v>
      </c>
      <c r="B55" s="142">
        <f t="shared" si="2"/>
        <v>33</v>
      </c>
      <c r="C55" s="143">
        <f t="shared" ref="C55:C82" si="4">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5">SUM(D55:H55)</f>
        <v>8904.1666666666661</v>
      </c>
    </row>
    <row r="56" spans="1:9" x14ac:dyDescent="0.2">
      <c r="A56" s="86">
        <f t="shared" si="3"/>
        <v>1005</v>
      </c>
      <c r="B56" s="142">
        <f t="shared" ref="B56:B82" si="6">B55+1</f>
        <v>34</v>
      </c>
      <c r="C56" s="143">
        <f t="shared" si="4"/>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5"/>
        <v>8904.1666666666661</v>
      </c>
    </row>
    <row r="57" spans="1:9" x14ac:dyDescent="0.2">
      <c r="A57" s="86">
        <f t="shared" si="3"/>
        <v>1036</v>
      </c>
      <c r="B57" s="142">
        <f t="shared" si="6"/>
        <v>35</v>
      </c>
      <c r="C57" s="143">
        <f t="shared" si="4"/>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5"/>
        <v>8904.1666666666661</v>
      </c>
    </row>
    <row r="58" spans="1:9" x14ac:dyDescent="0.2">
      <c r="A58" s="86">
        <f t="shared" si="3"/>
        <v>1066</v>
      </c>
      <c r="B58" s="142">
        <f t="shared" si="6"/>
        <v>36</v>
      </c>
      <c r="C58" s="143">
        <f t="shared" si="4"/>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5"/>
        <v>8904.1666666666661</v>
      </c>
    </row>
    <row r="59" spans="1:9" x14ac:dyDescent="0.2">
      <c r="A59" s="86">
        <f t="shared" si="3"/>
        <v>1097</v>
      </c>
      <c r="B59" s="142">
        <f t="shared" si="6"/>
        <v>37</v>
      </c>
      <c r="C59" s="143">
        <f t="shared" si="4"/>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5"/>
        <v>8904.1666666666661</v>
      </c>
    </row>
    <row r="60" spans="1:9" x14ac:dyDescent="0.2">
      <c r="A60" s="86">
        <f t="shared" si="3"/>
        <v>1128</v>
      </c>
      <c r="B60" s="142">
        <f t="shared" si="6"/>
        <v>38</v>
      </c>
      <c r="C60" s="143">
        <f t="shared" si="4"/>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5"/>
        <v>8904.1666666666661</v>
      </c>
    </row>
    <row r="61" spans="1:9" x14ac:dyDescent="0.2">
      <c r="A61" s="86">
        <f t="shared" si="3"/>
        <v>1156</v>
      </c>
      <c r="B61" s="142">
        <f t="shared" si="6"/>
        <v>39</v>
      </c>
      <c r="C61" s="143">
        <f t="shared" si="4"/>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5"/>
        <v>8904.1666666666661</v>
      </c>
    </row>
    <row r="62" spans="1:9" x14ac:dyDescent="0.2">
      <c r="A62" s="86">
        <f t="shared" si="3"/>
        <v>1187</v>
      </c>
      <c r="B62" s="142">
        <f t="shared" si="6"/>
        <v>40</v>
      </c>
      <c r="C62" s="143">
        <f t="shared" si="4"/>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5"/>
        <v>8904.1666666666661</v>
      </c>
    </row>
    <row r="63" spans="1:9" x14ac:dyDescent="0.2">
      <c r="A63" s="86">
        <f t="shared" si="3"/>
        <v>1217</v>
      </c>
      <c r="B63" s="142">
        <f t="shared" si="6"/>
        <v>41</v>
      </c>
      <c r="C63" s="143">
        <f t="shared" si="4"/>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5"/>
        <v>8904.1666666666661</v>
      </c>
    </row>
    <row r="64" spans="1:9" x14ac:dyDescent="0.2">
      <c r="A64" s="86">
        <f t="shared" si="3"/>
        <v>1248</v>
      </c>
      <c r="B64" s="142">
        <f t="shared" si="6"/>
        <v>42</v>
      </c>
      <c r="C64" s="143">
        <f t="shared" si="4"/>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5"/>
        <v>8904.1666666666661</v>
      </c>
    </row>
    <row r="65" spans="1:9" x14ac:dyDescent="0.2">
      <c r="A65" s="86">
        <f t="shared" si="3"/>
        <v>1278</v>
      </c>
      <c r="B65" s="142">
        <f t="shared" si="6"/>
        <v>43</v>
      </c>
      <c r="C65" s="143">
        <f t="shared" si="4"/>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5"/>
        <v>8904.1666666666661</v>
      </c>
    </row>
    <row r="66" spans="1:9" x14ac:dyDescent="0.2">
      <c r="A66" s="86">
        <f t="shared" si="3"/>
        <v>1309</v>
      </c>
      <c r="B66" s="142">
        <f t="shared" si="6"/>
        <v>44</v>
      </c>
      <c r="C66" s="143">
        <f t="shared" si="4"/>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5"/>
        <v>8904.1666666666661</v>
      </c>
    </row>
    <row r="67" spans="1:9" x14ac:dyDescent="0.2">
      <c r="A67" s="86">
        <f t="shared" si="3"/>
        <v>1340</v>
      </c>
      <c r="B67" s="142">
        <f t="shared" si="6"/>
        <v>45</v>
      </c>
      <c r="C67" s="143">
        <f t="shared" si="4"/>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5"/>
        <v>8904.1666666666661</v>
      </c>
    </row>
    <row r="68" spans="1:9" x14ac:dyDescent="0.2">
      <c r="A68" s="86">
        <f t="shared" si="3"/>
        <v>1370</v>
      </c>
      <c r="B68" s="142">
        <f t="shared" si="6"/>
        <v>46</v>
      </c>
      <c r="C68" s="143">
        <f t="shared" si="4"/>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5"/>
        <v>8904.1666666666661</v>
      </c>
    </row>
    <row r="69" spans="1:9" x14ac:dyDescent="0.2">
      <c r="A69" s="86">
        <f t="shared" si="3"/>
        <v>1401</v>
      </c>
      <c r="B69" s="142">
        <f t="shared" si="6"/>
        <v>47</v>
      </c>
      <c r="C69" s="143">
        <f t="shared" si="4"/>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5"/>
        <v>8904.1666666666661</v>
      </c>
    </row>
    <row r="70" spans="1:9" x14ac:dyDescent="0.2">
      <c r="A70" s="86">
        <f t="shared" si="3"/>
        <v>1431</v>
      </c>
      <c r="B70" s="142">
        <f t="shared" si="6"/>
        <v>48</v>
      </c>
      <c r="C70" s="143">
        <f t="shared" si="4"/>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5"/>
        <v>8904.1666666666661</v>
      </c>
    </row>
    <row r="71" spans="1:9" x14ac:dyDescent="0.2">
      <c r="A71" s="86">
        <f t="shared" si="3"/>
        <v>1462</v>
      </c>
      <c r="B71" s="142">
        <f t="shared" si="6"/>
        <v>49</v>
      </c>
      <c r="C71" s="143">
        <f t="shared" si="4"/>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5"/>
        <v>8904.1666666666661</v>
      </c>
    </row>
    <row r="72" spans="1:9" x14ac:dyDescent="0.2">
      <c r="A72" s="86">
        <f t="shared" si="3"/>
        <v>1493</v>
      </c>
      <c r="B72" s="142">
        <f t="shared" si="6"/>
        <v>50</v>
      </c>
      <c r="C72" s="143">
        <f t="shared" si="4"/>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5"/>
        <v>8904.1666666666661</v>
      </c>
    </row>
    <row r="73" spans="1:9" x14ac:dyDescent="0.2">
      <c r="A73" s="86">
        <f t="shared" si="3"/>
        <v>1522</v>
      </c>
      <c r="B73" s="142">
        <f t="shared" si="6"/>
        <v>51</v>
      </c>
      <c r="C73" s="143">
        <f t="shared" si="4"/>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5"/>
        <v>8904.1666666666661</v>
      </c>
    </row>
    <row r="74" spans="1:9" x14ac:dyDescent="0.2">
      <c r="A74" s="86">
        <f t="shared" si="3"/>
        <v>1553</v>
      </c>
      <c r="B74" s="142">
        <f t="shared" si="6"/>
        <v>52</v>
      </c>
      <c r="C74" s="143">
        <f t="shared" si="4"/>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5"/>
        <v>8904.1666666666661</v>
      </c>
    </row>
    <row r="75" spans="1:9" x14ac:dyDescent="0.2">
      <c r="A75" s="86">
        <f t="shared" si="3"/>
        <v>1583</v>
      </c>
      <c r="B75" s="142">
        <f t="shared" si="6"/>
        <v>53</v>
      </c>
      <c r="C75" s="143">
        <f t="shared" si="4"/>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5"/>
        <v>8904.1666666666661</v>
      </c>
    </row>
    <row r="76" spans="1:9" x14ac:dyDescent="0.2">
      <c r="A76" s="86">
        <f t="shared" si="3"/>
        <v>1614</v>
      </c>
      <c r="B76" s="142">
        <f t="shared" si="6"/>
        <v>54</v>
      </c>
      <c r="C76" s="143">
        <f t="shared" si="4"/>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5"/>
        <v>8904.1666666666661</v>
      </c>
    </row>
    <row r="77" spans="1:9" x14ac:dyDescent="0.2">
      <c r="A77" s="86">
        <f t="shared" si="3"/>
        <v>1644</v>
      </c>
      <c r="B77" s="142">
        <f t="shared" si="6"/>
        <v>55</v>
      </c>
      <c r="C77" s="143">
        <f t="shared" si="4"/>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5"/>
        <v>8904.1666666666661</v>
      </c>
    </row>
    <row r="78" spans="1:9" x14ac:dyDescent="0.2">
      <c r="A78" s="86">
        <f t="shared" si="3"/>
        <v>1675</v>
      </c>
      <c r="B78" s="142">
        <f t="shared" si="6"/>
        <v>56</v>
      </c>
      <c r="C78" s="143">
        <f t="shared" si="4"/>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5"/>
        <v>8904.1666666666661</v>
      </c>
    </row>
    <row r="79" spans="1:9" x14ac:dyDescent="0.2">
      <c r="A79" s="86">
        <f t="shared" si="3"/>
        <v>1706</v>
      </c>
      <c r="B79" s="142">
        <f t="shared" si="6"/>
        <v>57</v>
      </c>
      <c r="C79" s="143">
        <f t="shared" si="4"/>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5"/>
        <v>8904.1666666666661</v>
      </c>
    </row>
    <row r="80" spans="1:9" x14ac:dyDescent="0.2">
      <c r="A80" s="86">
        <f t="shared" si="3"/>
        <v>1736</v>
      </c>
      <c r="B80" s="142">
        <f t="shared" si="6"/>
        <v>58</v>
      </c>
      <c r="C80" s="143">
        <f t="shared" si="4"/>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5"/>
        <v>8904.1666666666661</v>
      </c>
    </row>
    <row r="81" spans="1:9" x14ac:dyDescent="0.2">
      <c r="A81" s="86">
        <f t="shared" si="3"/>
        <v>1767</v>
      </c>
      <c r="B81" s="142">
        <f t="shared" si="6"/>
        <v>59</v>
      </c>
      <c r="C81" s="143">
        <f t="shared" si="4"/>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5"/>
        <v>8904.1666666666661</v>
      </c>
    </row>
    <row r="82" spans="1:9" x14ac:dyDescent="0.2">
      <c r="A82" s="86">
        <f t="shared" si="3"/>
        <v>1797</v>
      </c>
      <c r="B82" s="142">
        <f t="shared" si="6"/>
        <v>60</v>
      </c>
      <c r="C82" s="143">
        <f t="shared" si="4"/>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5"/>
        <v>8904.1666666666661</v>
      </c>
    </row>
    <row r="83" spans="1:9" x14ac:dyDescent="0.2">
      <c r="A83" s="86">
        <f>IF(B83="NA","NA",DATE(YEAR(A82),MONTH(A82)+1,1))</f>
        <v>1828</v>
      </c>
      <c r="B83" s="142">
        <f t="shared" ref="B83:B114" si="7">IF(B82="NA","NA",IF((B82+1)&gt;$B$9,"NA",B82+1))</f>
        <v>61</v>
      </c>
      <c r="C83" s="143">
        <f t="shared" ref="C83:C114" si="8">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9">IF(B83="NA","NA",SUM(D83:H83))</f>
        <v>8904.1666666666661</v>
      </c>
    </row>
    <row r="84" spans="1:9" x14ac:dyDescent="0.2">
      <c r="A84" s="86">
        <f t="shared" ref="A84:A147" si="10">IF(B84="NA","NA",DATE(YEAR(A83),MONTH(A83)+1,1))</f>
        <v>1859</v>
      </c>
      <c r="B84" s="142">
        <f t="shared" si="7"/>
        <v>62</v>
      </c>
      <c r="C84" s="143">
        <f t="shared" si="8"/>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9"/>
        <v>8904.1666666666661</v>
      </c>
    </row>
    <row r="85" spans="1:9" x14ac:dyDescent="0.2">
      <c r="A85" s="86">
        <f t="shared" si="10"/>
        <v>1887</v>
      </c>
      <c r="B85" s="142">
        <f t="shared" si="7"/>
        <v>63</v>
      </c>
      <c r="C85" s="143">
        <f t="shared" si="8"/>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9"/>
        <v>8904.1666666666661</v>
      </c>
    </row>
    <row r="86" spans="1:9" x14ac:dyDescent="0.2">
      <c r="A86" s="86">
        <f t="shared" si="10"/>
        <v>1918</v>
      </c>
      <c r="B86" s="142">
        <f t="shared" si="7"/>
        <v>64</v>
      </c>
      <c r="C86" s="143">
        <f t="shared" si="8"/>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9"/>
        <v>8904.1666666666661</v>
      </c>
    </row>
    <row r="87" spans="1:9" x14ac:dyDescent="0.2">
      <c r="A87" s="86">
        <f t="shared" si="10"/>
        <v>1948</v>
      </c>
      <c r="B87" s="142">
        <f t="shared" si="7"/>
        <v>65</v>
      </c>
      <c r="C87" s="143">
        <f t="shared" si="8"/>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9"/>
        <v>8904.1666666666661</v>
      </c>
    </row>
    <row r="88" spans="1:9" x14ac:dyDescent="0.2">
      <c r="A88" s="86">
        <f t="shared" si="10"/>
        <v>1979</v>
      </c>
      <c r="B88" s="142">
        <f t="shared" si="7"/>
        <v>66</v>
      </c>
      <c r="C88" s="143">
        <f t="shared" si="8"/>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9"/>
        <v>8904.1666666666661</v>
      </c>
    </row>
    <row r="89" spans="1:9" x14ac:dyDescent="0.2">
      <c r="A89" s="86">
        <f t="shared" si="10"/>
        <v>2009</v>
      </c>
      <c r="B89" s="142">
        <f t="shared" si="7"/>
        <v>67</v>
      </c>
      <c r="C89" s="143">
        <f t="shared" si="8"/>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9"/>
        <v>8904.1666666666661</v>
      </c>
    </row>
    <row r="90" spans="1:9" x14ac:dyDescent="0.2">
      <c r="A90" s="86">
        <f t="shared" si="10"/>
        <v>2040</v>
      </c>
      <c r="B90" s="142">
        <f t="shared" si="7"/>
        <v>68</v>
      </c>
      <c r="C90" s="143">
        <f t="shared" si="8"/>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9"/>
        <v>8904.1666666666661</v>
      </c>
    </row>
    <row r="91" spans="1:9" x14ac:dyDescent="0.2">
      <c r="A91" s="86">
        <f t="shared" si="10"/>
        <v>2071</v>
      </c>
      <c r="B91" s="142">
        <f t="shared" si="7"/>
        <v>69</v>
      </c>
      <c r="C91" s="143">
        <f t="shared" si="8"/>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9"/>
        <v>8904.1666666666661</v>
      </c>
    </row>
    <row r="92" spans="1:9" x14ac:dyDescent="0.2">
      <c r="A92" s="86">
        <f t="shared" si="10"/>
        <v>2101</v>
      </c>
      <c r="B92" s="142">
        <f t="shared" si="7"/>
        <v>70</v>
      </c>
      <c r="C92" s="143">
        <f t="shared" si="8"/>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9"/>
        <v>8904.1666666666661</v>
      </c>
    </row>
    <row r="93" spans="1:9" x14ac:dyDescent="0.2">
      <c r="A93" s="86">
        <f t="shared" si="10"/>
        <v>2132</v>
      </c>
      <c r="B93" s="142">
        <f t="shared" si="7"/>
        <v>71</v>
      </c>
      <c r="C93" s="143">
        <f t="shared" si="8"/>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9"/>
        <v>8904.1666666666661</v>
      </c>
    </row>
    <row r="94" spans="1:9" x14ac:dyDescent="0.2">
      <c r="A94" s="86">
        <f t="shared" si="10"/>
        <v>2162</v>
      </c>
      <c r="B94" s="142">
        <f t="shared" si="7"/>
        <v>72</v>
      </c>
      <c r="C94" s="143">
        <f t="shared" si="8"/>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9"/>
        <v>8904.1666666666661</v>
      </c>
    </row>
    <row r="95" spans="1:9" x14ac:dyDescent="0.2">
      <c r="A95" s="86">
        <f t="shared" si="10"/>
        <v>2193</v>
      </c>
      <c r="B95" s="142">
        <f t="shared" si="7"/>
        <v>73</v>
      </c>
      <c r="C95" s="143">
        <f t="shared" si="8"/>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9"/>
        <v>8904.1666666666661</v>
      </c>
    </row>
    <row r="96" spans="1:9" x14ac:dyDescent="0.2">
      <c r="A96" s="86">
        <f t="shared" si="10"/>
        <v>2224</v>
      </c>
      <c r="B96" s="142">
        <f t="shared" si="7"/>
        <v>74</v>
      </c>
      <c r="C96" s="143">
        <f t="shared" si="8"/>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9"/>
        <v>8904.1666666666661</v>
      </c>
    </row>
    <row r="97" spans="1:9" x14ac:dyDescent="0.2">
      <c r="A97" s="86">
        <f t="shared" si="10"/>
        <v>2252</v>
      </c>
      <c r="B97" s="142">
        <f t="shared" si="7"/>
        <v>75</v>
      </c>
      <c r="C97" s="143">
        <f t="shared" si="8"/>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9"/>
        <v>8904.1666666666661</v>
      </c>
    </row>
    <row r="98" spans="1:9" x14ac:dyDescent="0.2">
      <c r="A98" s="86">
        <f t="shared" si="10"/>
        <v>2283</v>
      </c>
      <c r="B98" s="142">
        <f t="shared" si="7"/>
        <v>76</v>
      </c>
      <c r="C98" s="143">
        <f t="shared" si="8"/>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9"/>
        <v>8904.1666666666661</v>
      </c>
    </row>
    <row r="99" spans="1:9" x14ac:dyDescent="0.2">
      <c r="A99" s="86">
        <f t="shared" si="10"/>
        <v>2313</v>
      </c>
      <c r="B99" s="142">
        <f t="shared" si="7"/>
        <v>77</v>
      </c>
      <c r="C99" s="143">
        <f t="shared" si="8"/>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9"/>
        <v>8904.1666666666661</v>
      </c>
    </row>
    <row r="100" spans="1:9" x14ac:dyDescent="0.2">
      <c r="A100" s="86">
        <f t="shared" si="10"/>
        <v>2344</v>
      </c>
      <c r="B100" s="142">
        <f t="shared" si="7"/>
        <v>78</v>
      </c>
      <c r="C100" s="143">
        <f t="shared" si="8"/>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9"/>
        <v>8904.1666666666661</v>
      </c>
    </row>
    <row r="101" spans="1:9" x14ac:dyDescent="0.2">
      <c r="A101" s="86">
        <f t="shared" si="10"/>
        <v>2374</v>
      </c>
      <c r="B101" s="142">
        <f t="shared" si="7"/>
        <v>79</v>
      </c>
      <c r="C101" s="143">
        <f t="shared" si="8"/>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9"/>
        <v>8904.1666666666661</v>
      </c>
    </row>
    <row r="102" spans="1:9" x14ac:dyDescent="0.2">
      <c r="A102" s="86">
        <f t="shared" si="10"/>
        <v>2405</v>
      </c>
      <c r="B102" s="142">
        <f t="shared" si="7"/>
        <v>80</v>
      </c>
      <c r="C102" s="143">
        <f t="shared" si="8"/>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9"/>
        <v>8904.1666666666661</v>
      </c>
    </row>
    <row r="103" spans="1:9" x14ac:dyDescent="0.2">
      <c r="A103" s="86">
        <f t="shared" si="10"/>
        <v>2436</v>
      </c>
      <c r="B103" s="142">
        <f t="shared" si="7"/>
        <v>81</v>
      </c>
      <c r="C103" s="143">
        <f t="shared" si="8"/>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9"/>
        <v>8904.1666666666661</v>
      </c>
    </row>
    <row r="104" spans="1:9" x14ac:dyDescent="0.2">
      <c r="A104" s="86">
        <f t="shared" si="10"/>
        <v>2466</v>
      </c>
      <c r="B104" s="142">
        <f t="shared" si="7"/>
        <v>82</v>
      </c>
      <c r="C104" s="143">
        <f t="shared" si="8"/>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9"/>
        <v>8904.1666666666661</v>
      </c>
    </row>
    <row r="105" spans="1:9" x14ac:dyDescent="0.2">
      <c r="A105" s="86">
        <f t="shared" si="10"/>
        <v>2497</v>
      </c>
      <c r="B105" s="142">
        <f t="shared" si="7"/>
        <v>83</v>
      </c>
      <c r="C105" s="143">
        <f t="shared" si="8"/>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9"/>
        <v>8904.1666666666661</v>
      </c>
    </row>
    <row r="106" spans="1:9" x14ac:dyDescent="0.2">
      <c r="A106" s="86">
        <f t="shared" si="10"/>
        <v>2527</v>
      </c>
      <c r="B106" s="142">
        <f t="shared" si="7"/>
        <v>84</v>
      </c>
      <c r="C106" s="143">
        <f t="shared" si="8"/>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9"/>
        <v>8904.1666666666661</v>
      </c>
    </row>
    <row r="107" spans="1:9" x14ac:dyDescent="0.2">
      <c r="A107" s="86">
        <f t="shared" si="10"/>
        <v>2558</v>
      </c>
      <c r="B107" s="142">
        <f t="shared" si="7"/>
        <v>85</v>
      </c>
      <c r="C107" s="143">
        <f t="shared" si="8"/>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9"/>
        <v>8904.1666666666661</v>
      </c>
    </row>
    <row r="108" spans="1:9" x14ac:dyDescent="0.2">
      <c r="A108" s="86">
        <f t="shared" si="10"/>
        <v>2589</v>
      </c>
      <c r="B108" s="142">
        <f t="shared" si="7"/>
        <v>86</v>
      </c>
      <c r="C108" s="143">
        <f t="shared" si="8"/>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9"/>
        <v>8904.1666666666661</v>
      </c>
    </row>
    <row r="109" spans="1:9" x14ac:dyDescent="0.2">
      <c r="A109" s="86">
        <f t="shared" si="10"/>
        <v>2617</v>
      </c>
      <c r="B109" s="142">
        <f t="shared" si="7"/>
        <v>87</v>
      </c>
      <c r="C109" s="143">
        <f t="shared" si="8"/>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9"/>
        <v>8904.1666666666661</v>
      </c>
    </row>
    <row r="110" spans="1:9" x14ac:dyDescent="0.2">
      <c r="A110" s="86">
        <f t="shared" si="10"/>
        <v>2648</v>
      </c>
      <c r="B110" s="142">
        <f t="shared" si="7"/>
        <v>88</v>
      </c>
      <c r="C110" s="143">
        <f t="shared" si="8"/>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9"/>
        <v>8904.1666666666661</v>
      </c>
    </row>
    <row r="111" spans="1:9" x14ac:dyDescent="0.2">
      <c r="A111" s="86">
        <f t="shared" si="10"/>
        <v>2678</v>
      </c>
      <c r="B111" s="142">
        <f t="shared" si="7"/>
        <v>89</v>
      </c>
      <c r="C111" s="143">
        <f t="shared" si="8"/>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9"/>
        <v>8904.1666666666661</v>
      </c>
    </row>
    <row r="112" spans="1:9" x14ac:dyDescent="0.2">
      <c r="A112" s="86">
        <f t="shared" si="10"/>
        <v>2709</v>
      </c>
      <c r="B112" s="142">
        <f t="shared" si="7"/>
        <v>90</v>
      </c>
      <c r="C112" s="143">
        <f t="shared" si="8"/>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9"/>
        <v>8904.1666666666661</v>
      </c>
    </row>
    <row r="113" spans="1:9" x14ac:dyDescent="0.2">
      <c r="A113" s="86">
        <f t="shared" si="10"/>
        <v>2739</v>
      </c>
      <c r="B113" s="142">
        <f t="shared" si="7"/>
        <v>91</v>
      </c>
      <c r="C113" s="143">
        <f t="shared" si="8"/>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9"/>
        <v>8904.1666666666661</v>
      </c>
    </row>
    <row r="114" spans="1:9" x14ac:dyDescent="0.2">
      <c r="A114" s="86">
        <f t="shared" si="10"/>
        <v>2770</v>
      </c>
      <c r="B114" s="142">
        <f t="shared" si="7"/>
        <v>92</v>
      </c>
      <c r="C114" s="143">
        <f t="shared" si="8"/>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9"/>
        <v>8904.1666666666661</v>
      </c>
    </row>
    <row r="115" spans="1:9" x14ac:dyDescent="0.2">
      <c r="A115" s="86">
        <f t="shared" si="10"/>
        <v>2801</v>
      </c>
      <c r="B115" s="142">
        <f t="shared" ref="B115:B146" si="11">IF(B114="NA","NA",IF((B114+1)&gt;$B$9,"NA",B114+1))</f>
        <v>93</v>
      </c>
      <c r="C115" s="143">
        <f t="shared" ref="C115:C146" si="12">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3">IF(B115="NA","NA",SUM(D115:H115))</f>
        <v>8904.1666666666661</v>
      </c>
    </row>
    <row r="116" spans="1:9" x14ac:dyDescent="0.2">
      <c r="A116" s="86">
        <f t="shared" si="10"/>
        <v>2831</v>
      </c>
      <c r="B116" s="142">
        <f t="shared" si="11"/>
        <v>94</v>
      </c>
      <c r="C116" s="143">
        <f t="shared" si="12"/>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3"/>
        <v>8904.1666666666661</v>
      </c>
    </row>
    <row r="117" spans="1:9" x14ac:dyDescent="0.2">
      <c r="A117" s="86">
        <f t="shared" si="10"/>
        <v>2862</v>
      </c>
      <c r="B117" s="142">
        <f t="shared" si="11"/>
        <v>95</v>
      </c>
      <c r="C117" s="143">
        <f t="shared" si="12"/>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3"/>
        <v>8904.1666666666661</v>
      </c>
    </row>
    <row r="118" spans="1:9" x14ac:dyDescent="0.2">
      <c r="A118" s="86">
        <f t="shared" si="10"/>
        <v>2892</v>
      </c>
      <c r="B118" s="142">
        <f t="shared" si="11"/>
        <v>96</v>
      </c>
      <c r="C118" s="143">
        <f t="shared" si="12"/>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3"/>
        <v>8904.1666666666661</v>
      </c>
    </row>
    <row r="119" spans="1:9" x14ac:dyDescent="0.2">
      <c r="A119" s="86">
        <f t="shared" si="10"/>
        <v>2923</v>
      </c>
      <c r="B119" s="142">
        <f t="shared" si="11"/>
        <v>97</v>
      </c>
      <c r="C119" s="143">
        <f t="shared" si="12"/>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3"/>
        <v>8904.1666666666661</v>
      </c>
    </row>
    <row r="120" spans="1:9" x14ac:dyDescent="0.2">
      <c r="A120" s="86">
        <f t="shared" si="10"/>
        <v>2954</v>
      </c>
      <c r="B120" s="142">
        <f t="shared" si="11"/>
        <v>98</v>
      </c>
      <c r="C120" s="143">
        <f t="shared" si="12"/>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3"/>
        <v>8904.1666666666661</v>
      </c>
    </row>
    <row r="121" spans="1:9" x14ac:dyDescent="0.2">
      <c r="A121" s="86">
        <f t="shared" si="10"/>
        <v>2983</v>
      </c>
      <c r="B121" s="142">
        <f t="shared" si="11"/>
        <v>99</v>
      </c>
      <c r="C121" s="143">
        <f t="shared" si="12"/>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3"/>
        <v>8904.1666666666661</v>
      </c>
    </row>
    <row r="122" spans="1:9" x14ac:dyDescent="0.2">
      <c r="A122" s="86">
        <f t="shared" si="10"/>
        <v>3014</v>
      </c>
      <c r="B122" s="142">
        <f t="shared" si="11"/>
        <v>100</v>
      </c>
      <c r="C122" s="143">
        <f t="shared" si="12"/>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3"/>
        <v>8904.1666666666661</v>
      </c>
    </row>
    <row r="123" spans="1:9" x14ac:dyDescent="0.2">
      <c r="A123" s="86">
        <f t="shared" si="10"/>
        <v>3044</v>
      </c>
      <c r="B123" s="142">
        <f t="shared" si="11"/>
        <v>101</v>
      </c>
      <c r="C123" s="143">
        <f t="shared" si="12"/>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3"/>
        <v>8904.1666666666661</v>
      </c>
    </row>
    <row r="124" spans="1:9" x14ac:dyDescent="0.2">
      <c r="A124" s="86">
        <f t="shared" si="10"/>
        <v>3075</v>
      </c>
      <c r="B124" s="142">
        <f t="shared" si="11"/>
        <v>102</v>
      </c>
      <c r="C124" s="143">
        <f t="shared" si="12"/>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3"/>
        <v>8904.1666666666661</v>
      </c>
    </row>
    <row r="125" spans="1:9" x14ac:dyDescent="0.2">
      <c r="A125" s="86">
        <f t="shared" si="10"/>
        <v>3105</v>
      </c>
      <c r="B125" s="142">
        <f t="shared" si="11"/>
        <v>103</v>
      </c>
      <c r="C125" s="143">
        <f t="shared" si="12"/>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3"/>
        <v>8904.1666666666661</v>
      </c>
    </row>
    <row r="126" spans="1:9" x14ac:dyDescent="0.2">
      <c r="A126" s="86">
        <f t="shared" si="10"/>
        <v>3136</v>
      </c>
      <c r="B126" s="142">
        <f t="shared" si="11"/>
        <v>104</v>
      </c>
      <c r="C126" s="143">
        <f t="shared" si="12"/>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3"/>
        <v>8904.1666666666661</v>
      </c>
    </row>
    <row r="127" spans="1:9" x14ac:dyDescent="0.2">
      <c r="A127" s="86">
        <f t="shared" si="10"/>
        <v>3167</v>
      </c>
      <c r="B127" s="142">
        <f t="shared" si="11"/>
        <v>105</v>
      </c>
      <c r="C127" s="143">
        <f t="shared" si="12"/>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3"/>
        <v>8904.1666666666661</v>
      </c>
    </row>
    <row r="128" spans="1:9" x14ac:dyDescent="0.2">
      <c r="A128" s="86">
        <f t="shared" si="10"/>
        <v>3197</v>
      </c>
      <c r="B128" s="142">
        <f t="shared" si="11"/>
        <v>106</v>
      </c>
      <c r="C128" s="143">
        <f t="shared" si="12"/>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3"/>
        <v>8904.1666666666661</v>
      </c>
    </row>
    <row r="129" spans="1:9" x14ac:dyDescent="0.2">
      <c r="A129" s="86">
        <f t="shared" si="10"/>
        <v>3228</v>
      </c>
      <c r="B129" s="142">
        <f t="shared" si="11"/>
        <v>107</v>
      </c>
      <c r="C129" s="143">
        <f t="shared" si="12"/>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3"/>
        <v>8904.1666666666661</v>
      </c>
    </row>
    <row r="130" spans="1:9" x14ac:dyDescent="0.2">
      <c r="A130" s="86">
        <f t="shared" si="10"/>
        <v>3258</v>
      </c>
      <c r="B130" s="142">
        <f t="shared" si="11"/>
        <v>108</v>
      </c>
      <c r="C130" s="143">
        <f t="shared" si="12"/>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3"/>
        <v>8904.1666666666661</v>
      </c>
    </row>
    <row r="131" spans="1:9" x14ac:dyDescent="0.2">
      <c r="A131" s="86">
        <f t="shared" si="10"/>
        <v>3289</v>
      </c>
      <c r="B131" s="142">
        <f t="shared" si="11"/>
        <v>109</v>
      </c>
      <c r="C131" s="143">
        <f t="shared" si="12"/>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3"/>
        <v>8904.1666666666661</v>
      </c>
    </row>
    <row r="132" spans="1:9" x14ac:dyDescent="0.2">
      <c r="A132" s="86">
        <f t="shared" si="10"/>
        <v>3320</v>
      </c>
      <c r="B132" s="142">
        <f t="shared" si="11"/>
        <v>110</v>
      </c>
      <c r="C132" s="143">
        <f t="shared" si="12"/>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3"/>
        <v>8904.1666666666661</v>
      </c>
    </row>
    <row r="133" spans="1:9" x14ac:dyDescent="0.2">
      <c r="A133" s="86">
        <f t="shared" si="10"/>
        <v>3348</v>
      </c>
      <c r="B133" s="142">
        <f t="shared" si="11"/>
        <v>111</v>
      </c>
      <c r="C133" s="143">
        <f t="shared" si="12"/>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3"/>
        <v>8904.1666666666661</v>
      </c>
    </row>
    <row r="134" spans="1:9" x14ac:dyDescent="0.2">
      <c r="A134" s="86">
        <f t="shared" si="10"/>
        <v>3379</v>
      </c>
      <c r="B134" s="142">
        <f t="shared" si="11"/>
        <v>112</v>
      </c>
      <c r="C134" s="143">
        <f t="shared" si="12"/>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3"/>
        <v>8904.1666666666661</v>
      </c>
    </row>
    <row r="135" spans="1:9" x14ac:dyDescent="0.2">
      <c r="A135" s="86">
        <f t="shared" si="10"/>
        <v>3409</v>
      </c>
      <c r="B135" s="142">
        <f t="shared" si="11"/>
        <v>113</v>
      </c>
      <c r="C135" s="143">
        <f t="shared" si="12"/>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3"/>
        <v>8904.1666666666661</v>
      </c>
    </row>
    <row r="136" spans="1:9" x14ac:dyDescent="0.2">
      <c r="A136" s="86">
        <f t="shared" si="10"/>
        <v>3440</v>
      </c>
      <c r="B136" s="142">
        <f t="shared" si="11"/>
        <v>114</v>
      </c>
      <c r="C136" s="143">
        <f t="shared" si="12"/>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3"/>
        <v>8904.1666666666661</v>
      </c>
    </row>
    <row r="137" spans="1:9" x14ac:dyDescent="0.2">
      <c r="A137" s="86">
        <f t="shared" si="10"/>
        <v>3470</v>
      </c>
      <c r="B137" s="142">
        <f t="shared" si="11"/>
        <v>115</v>
      </c>
      <c r="C137" s="143">
        <f t="shared" si="12"/>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3"/>
        <v>8904.1666666666661</v>
      </c>
    </row>
    <row r="138" spans="1:9" x14ac:dyDescent="0.2">
      <c r="A138" s="86">
        <f t="shared" si="10"/>
        <v>3501</v>
      </c>
      <c r="B138" s="142">
        <f t="shared" si="11"/>
        <v>116</v>
      </c>
      <c r="C138" s="143">
        <f t="shared" si="12"/>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3"/>
        <v>8904.1666666666661</v>
      </c>
    </row>
    <row r="139" spans="1:9" x14ac:dyDescent="0.2">
      <c r="A139" s="86">
        <f t="shared" si="10"/>
        <v>3532</v>
      </c>
      <c r="B139" s="142">
        <f t="shared" si="11"/>
        <v>117</v>
      </c>
      <c r="C139" s="143">
        <f t="shared" si="12"/>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3"/>
        <v>8904.1666666666661</v>
      </c>
    </row>
    <row r="140" spans="1:9" x14ac:dyDescent="0.2">
      <c r="A140" s="86">
        <f t="shared" si="10"/>
        <v>3562</v>
      </c>
      <c r="B140" s="142">
        <f t="shared" si="11"/>
        <v>118</v>
      </c>
      <c r="C140" s="143">
        <f t="shared" si="12"/>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3"/>
        <v>8904.1666666666661</v>
      </c>
    </row>
    <row r="141" spans="1:9" x14ac:dyDescent="0.2">
      <c r="A141" s="86">
        <f t="shared" si="10"/>
        <v>3593</v>
      </c>
      <c r="B141" s="142">
        <f t="shared" si="11"/>
        <v>119</v>
      </c>
      <c r="C141" s="143">
        <f t="shared" si="12"/>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3"/>
        <v>8904.1666666666661</v>
      </c>
    </row>
    <row r="142" spans="1:9" x14ac:dyDescent="0.2">
      <c r="A142" s="86">
        <f t="shared" si="10"/>
        <v>3623</v>
      </c>
      <c r="B142" s="142">
        <f t="shared" si="11"/>
        <v>120</v>
      </c>
      <c r="C142" s="143">
        <f t="shared" si="12"/>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3"/>
        <v>8904.1666666666661</v>
      </c>
    </row>
    <row r="143" spans="1:9" x14ac:dyDescent="0.2">
      <c r="A143" s="86">
        <f t="shared" si="10"/>
        <v>3654</v>
      </c>
      <c r="B143" s="142">
        <f t="shared" si="11"/>
        <v>121</v>
      </c>
      <c r="C143" s="143">
        <f t="shared" si="12"/>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3"/>
        <v>8904.1666666666661</v>
      </c>
    </row>
    <row r="144" spans="1:9" x14ac:dyDescent="0.2">
      <c r="A144" s="86">
        <f t="shared" si="10"/>
        <v>3685</v>
      </c>
      <c r="B144" s="142">
        <f t="shared" si="11"/>
        <v>122</v>
      </c>
      <c r="C144" s="143">
        <f t="shared" si="12"/>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3"/>
        <v>8904.1666666666661</v>
      </c>
    </row>
    <row r="145" spans="1:9" x14ac:dyDescent="0.2">
      <c r="A145" s="86">
        <f t="shared" si="10"/>
        <v>3713</v>
      </c>
      <c r="B145" s="142">
        <f t="shared" si="11"/>
        <v>123</v>
      </c>
      <c r="C145" s="143">
        <f t="shared" si="12"/>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3"/>
        <v>8904.1666666666661</v>
      </c>
    </row>
    <row r="146" spans="1:9" x14ac:dyDescent="0.2">
      <c r="A146" s="86">
        <f t="shared" si="10"/>
        <v>3744</v>
      </c>
      <c r="B146" s="142">
        <f t="shared" si="11"/>
        <v>124</v>
      </c>
      <c r="C146" s="143">
        <f t="shared" si="12"/>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3"/>
        <v>8904.1666666666661</v>
      </c>
    </row>
    <row r="147" spans="1:9" x14ac:dyDescent="0.2">
      <c r="A147" s="86">
        <f t="shared" si="10"/>
        <v>3774</v>
      </c>
      <c r="B147" s="142">
        <f t="shared" ref="B147:B178" si="14">IF(B146="NA","NA",IF((B146+1)&gt;$B$9,"NA",B146+1))</f>
        <v>125</v>
      </c>
      <c r="C147" s="143">
        <f t="shared" ref="C147:C178" si="15">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6">IF(B147="NA","NA",SUM(D147:H147))</f>
        <v>8904.1666666666661</v>
      </c>
    </row>
    <row r="148" spans="1:9" x14ac:dyDescent="0.2">
      <c r="A148" s="86">
        <f t="shared" ref="A148:A211" si="17">IF(B148="NA","NA",DATE(YEAR(A147),MONTH(A147)+1,1))</f>
        <v>3805</v>
      </c>
      <c r="B148" s="142">
        <f t="shared" si="14"/>
        <v>126</v>
      </c>
      <c r="C148" s="143">
        <f t="shared" si="15"/>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6"/>
        <v>8904.1666666666661</v>
      </c>
    </row>
    <row r="149" spans="1:9" x14ac:dyDescent="0.2">
      <c r="A149" s="86">
        <f t="shared" si="17"/>
        <v>3835</v>
      </c>
      <c r="B149" s="142">
        <f t="shared" si="14"/>
        <v>127</v>
      </c>
      <c r="C149" s="143">
        <f t="shared" si="15"/>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6"/>
        <v>8904.1666666666661</v>
      </c>
    </row>
    <row r="150" spans="1:9" x14ac:dyDescent="0.2">
      <c r="A150" s="86">
        <f t="shared" si="17"/>
        <v>3866</v>
      </c>
      <c r="B150" s="142">
        <f t="shared" si="14"/>
        <v>128</v>
      </c>
      <c r="C150" s="143">
        <f t="shared" si="15"/>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6"/>
        <v>8904.1666666666661</v>
      </c>
    </row>
    <row r="151" spans="1:9" x14ac:dyDescent="0.2">
      <c r="A151" s="86">
        <f t="shared" si="17"/>
        <v>3897</v>
      </c>
      <c r="B151" s="142">
        <f t="shared" si="14"/>
        <v>129</v>
      </c>
      <c r="C151" s="143">
        <f t="shared" si="15"/>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6"/>
        <v>8904.1666666666661</v>
      </c>
    </row>
    <row r="152" spans="1:9" x14ac:dyDescent="0.2">
      <c r="A152" s="86">
        <f t="shared" si="17"/>
        <v>3927</v>
      </c>
      <c r="B152" s="142">
        <f t="shared" si="14"/>
        <v>130</v>
      </c>
      <c r="C152" s="143">
        <f t="shared" si="15"/>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6"/>
        <v>8904.1666666666661</v>
      </c>
    </row>
    <row r="153" spans="1:9" x14ac:dyDescent="0.2">
      <c r="A153" s="86">
        <f t="shared" si="17"/>
        <v>3958</v>
      </c>
      <c r="B153" s="142">
        <f t="shared" si="14"/>
        <v>131</v>
      </c>
      <c r="C153" s="143">
        <f t="shared" si="15"/>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6"/>
        <v>8904.1666666666661</v>
      </c>
    </row>
    <row r="154" spans="1:9" x14ac:dyDescent="0.2">
      <c r="A154" s="86">
        <f t="shared" si="17"/>
        <v>3988</v>
      </c>
      <c r="B154" s="142">
        <f t="shared" si="14"/>
        <v>132</v>
      </c>
      <c r="C154" s="143">
        <f t="shared" si="15"/>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6"/>
        <v>8904.1666666666661</v>
      </c>
    </row>
    <row r="155" spans="1:9" x14ac:dyDescent="0.2">
      <c r="A155" s="86">
        <f t="shared" si="17"/>
        <v>4019</v>
      </c>
      <c r="B155" s="142">
        <f t="shared" si="14"/>
        <v>133</v>
      </c>
      <c r="C155" s="143">
        <f t="shared" si="15"/>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6"/>
        <v>8904.1666666666661</v>
      </c>
    </row>
    <row r="156" spans="1:9" x14ac:dyDescent="0.2">
      <c r="A156" s="86">
        <f t="shared" si="17"/>
        <v>4050</v>
      </c>
      <c r="B156" s="142">
        <f t="shared" si="14"/>
        <v>134</v>
      </c>
      <c r="C156" s="143">
        <f t="shared" si="15"/>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6"/>
        <v>8904.1666666666661</v>
      </c>
    </row>
    <row r="157" spans="1:9" x14ac:dyDescent="0.2">
      <c r="A157" s="86">
        <f t="shared" si="17"/>
        <v>4078</v>
      </c>
      <c r="B157" s="142">
        <f t="shared" si="14"/>
        <v>135</v>
      </c>
      <c r="C157" s="143">
        <f t="shared" si="15"/>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6"/>
        <v>8904.1666666666661</v>
      </c>
    </row>
    <row r="158" spans="1:9" x14ac:dyDescent="0.2">
      <c r="A158" s="86">
        <f t="shared" si="17"/>
        <v>4109</v>
      </c>
      <c r="B158" s="142">
        <f t="shared" si="14"/>
        <v>136</v>
      </c>
      <c r="C158" s="143">
        <f t="shared" si="15"/>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6"/>
        <v>8904.1666666666661</v>
      </c>
    </row>
    <row r="159" spans="1:9" x14ac:dyDescent="0.2">
      <c r="A159" s="86">
        <f t="shared" si="17"/>
        <v>4139</v>
      </c>
      <c r="B159" s="142">
        <f t="shared" si="14"/>
        <v>137</v>
      </c>
      <c r="C159" s="143">
        <f t="shared" si="15"/>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6"/>
        <v>8904.1666666666661</v>
      </c>
    </row>
    <row r="160" spans="1:9" x14ac:dyDescent="0.2">
      <c r="A160" s="86">
        <f t="shared" si="17"/>
        <v>4170</v>
      </c>
      <c r="B160" s="142">
        <f t="shared" si="14"/>
        <v>138</v>
      </c>
      <c r="C160" s="143">
        <f t="shared" si="15"/>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6"/>
        <v>8904.1666666666661</v>
      </c>
    </row>
    <row r="161" spans="1:9" x14ac:dyDescent="0.2">
      <c r="A161" s="86">
        <f t="shared" si="17"/>
        <v>4200</v>
      </c>
      <c r="B161" s="142">
        <f t="shared" si="14"/>
        <v>139</v>
      </c>
      <c r="C161" s="143">
        <f t="shared" si="15"/>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6"/>
        <v>8904.1666666666661</v>
      </c>
    </row>
    <row r="162" spans="1:9" x14ac:dyDescent="0.2">
      <c r="A162" s="86">
        <f t="shared" si="17"/>
        <v>4231</v>
      </c>
      <c r="B162" s="142">
        <f t="shared" si="14"/>
        <v>140</v>
      </c>
      <c r="C162" s="143">
        <f t="shared" si="15"/>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6"/>
        <v>8904.1666666666661</v>
      </c>
    </row>
    <row r="163" spans="1:9" x14ac:dyDescent="0.2">
      <c r="A163" s="86">
        <f t="shared" si="17"/>
        <v>4262</v>
      </c>
      <c r="B163" s="142">
        <f t="shared" si="14"/>
        <v>141</v>
      </c>
      <c r="C163" s="143">
        <f t="shared" si="15"/>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6"/>
        <v>8904.1666666666661</v>
      </c>
    </row>
    <row r="164" spans="1:9" x14ac:dyDescent="0.2">
      <c r="A164" s="86">
        <f t="shared" si="17"/>
        <v>4292</v>
      </c>
      <c r="B164" s="142">
        <f t="shared" si="14"/>
        <v>142</v>
      </c>
      <c r="C164" s="143">
        <f t="shared" si="15"/>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6"/>
        <v>8904.1666666666661</v>
      </c>
    </row>
    <row r="165" spans="1:9" x14ac:dyDescent="0.2">
      <c r="A165" s="86">
        <f t="shared" si="17"/>
        <v>4323</v>
      </c>
      <c r="B165" s="142">
        <f t="shared" si="14"/>
        <v>143</v>
      </c>
      <c r="C165" s="143">
        <f t="shared" si="15"/>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6"/>
        <v>8904.1666666666661</v>
      </c>
    </row>
    <row r="166" spans="1:9" x14ac:dyDescent="0.2">
      <c r="A166" s="86">
        <f t="shared" si="17"/>
        <v>4353</v>
      </c>
      <c r="B166" s="142">
        <f t="shared" si="14"/>
        <v>144</v>
      </c>
      <c r="C166" s="143">
        <f t="shared" si="15"/>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6"/>
        <v>8904.1666666666661</v>
      </c>
    </row>
    <row r="167" spans="1:9" x14ac:dyDescent="0.2">
      <c r="A167" s="86">
        <f t="shared" si="17"/>
        <v>4384</v>
      </c>
      <c r="B167" s="142">
        <f t="shared" si="14"/>
        <v>145</v>
      </c>
      <c r="C167" s="143">
        <f t="shared" si="15"/>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6"/>
        <v>8904.1666666666661</v>
      </c>
    </row>
    <row r="168" spans="1:9" x14ac:dyDescent="0.2">
      <c r="A168" s="86">
        <f t="shared" si="17"/>
        <v>4415</v>
      </c>
      <c r="B168" s="142">
        <f t="shared" si="14"/>
        <v>146</v>
      </c>
      <c r="C168" s="143">
        <f t="shared" si="15"/>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6"/>
        <v>8904.1666666666661</v>
      </c>
    </row>
    <row r="169" spans="1:9" x14ac:dyDescent="0.2">
      <c r="A169" s="86">
        <f t="shared" si="17"/>
        <v>4444</v>
      </c>
      <c r="B169" s="142">
        <f t="shared" si="14"/>
        <v>147</v>
      </c>
      <c r="C169" s="143">
        <f t="shared" si="15"/>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6"/>
        <v>8904.1666666666661</v>
      </c>
    </row>
    <row r="170" spans="1:9" x14ac:dyDescent="0.2">
      <c r="A170" s="86">
        <f t="shared" si="17"/>
        <v>4475</v>
      </c>
      <c r="B170" s="142">
        <f t="shared" si="14"/>
        <v>148</v>
      </c>
      <c r="C170" s="143">
        <f t="shared" si="15"/>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6"/>
        <v>8904.1666666666661</v>
      </c>
    </row>
    <row r="171" spans="1:9" x14ac:dyDescent="0.2">
      <c r="A171" s="86">
        <f t="shared" si="17"/>
        <v>4505</v>
      </c>
      <c r="B171" s="142">
        <f t="shared" si="14"/>
        <v>149</v>
      </c>
      <c r="C171" s="143">
        <f t="shared" si="15"/>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6"/>
        <v>8904.1666666666661</v>
      </c>
    </row>
    <row r="172" spans="1:9" x14ac:dyDescent="0.2">
      <c r="A172" s="86">
        <f t="shared" si="17"/>
        <v>4536</v>
      </c>
      <c r="B172" s="142">
        <f t="shared" si="14"/>
        <v>150</v>
      </c>
      <c r="C172" s="143">
        <f t="shared" si="15"/>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6"/>
        <v>8904.1666666666661</v>
      </c>
    </row>
    <row r="173" spans="1:9" x14ac:dyDescent="0.2">
      <c r="A173" s="86">
        <f t="shared" si="17"/>
        <v>4566</v>
      </c>
      <c r="B173" s="142">
        <f t="shared" si="14"/>
        <v>151</v>
      </c>
      <c r="C173" s="143">
        <f t="shared" si="15"/>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6"/>
        <v>8904.1666666666661</v>
      </c>
    </row>
    <row r="174" spans="1:9" x14ac:dyDescent="0.2">
      <c r="A174" s="86">
        <f t="shared" si="17"/>
        <v>4597</v>
      </c>
      <c r="B174" s="142">
        <f t="shared" si="14"/>
        <v>152</v>
      </c>
      <c r="C174" s="143">
        <f t="shared" si="15"/>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6"/>
        <v>8904.1666666666661</v>
      </c>
    </row>
    <row r="175" spans="1:9" x14ac:dyDescent="0.2">
      <c r="A175" s="86">
        <f t="shared" si="17"/>
        <v>4628</v>
      </c>
      <c r="B175" s="142">
        <f t="shared" si="14"/>
        <v>153</v>
      </c>
      <c r="C175" s="143">
        <f t="shared" si="15"/>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6"/>
        <v>8904.1666666666661</v>
      </c>
    </row>
    <row r="176" spans="1:9" x14ac:dyDescent="0.2">
      <c r="A176" s="86">
        <f t="shared" si="17"/>
        <v>4658</v>
      </c>
      <c r="B176" s="142">
        <f t="shared" si="14"/>
        <v>154</v>
      </c>
      <c r="C176" s="143">
        <f t="shared" si="15"/>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6"/>
        <v>8904.1666666666661</v>
      </c>
    </row>
    <row r="177" spans="1:9" x14ac:dyDescent="0.2">
      <c r="A177" s="86">
        <f t="shared" si="17"/>
        <v>4689</v>
      </c>
      <c r="B177" s="142">
        <f t="shared" si="14"/>
        <v>155</v>
      </c>
      <c r="C177" s="143">
        <f t="shared" si="15"/>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6"/>
        <v>8904.1666666666661</v>
      </c>
    </row>
    <row r="178" spans="1:9" x14ac:dyDescent="0.2">
      <c r="A178" s="86">
        <f t="shared" si="17"/>
        <v>4719</v>
      </c>
      <c r="B178" s="142">
        <f t="shared" si="14"/>
        <v>156</v>
      </c>
      <c r="C178" s="143">
        <f t="shared" si="15"/>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6"/>
        <v>8904.1666666666661</v>
      </c>
    </row>
    <row r="179" spans="1:9" x14ac:dyDescent="0.2">
      <c r="A179" s="86">
        <f t="shared" si="17"/>
        <v>4750</v>
      </c>
      <c r="B179" s="142">
        <f t="shared" ref="B179:B210" si="18">IF(B178="NA","NA",IF((B178+1)&gt;$B$9,"NA",B178+1))</f>
        <v>157</v>
      </c>
      <c r="C179" s="143">
        <f t="shared" ref="C179:C210" si="19">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0">IF(B179="NA","NA",SUM(D179:H179))</f>
        <v>8904.1666666666661</v>
      </c>
    </row>
    <row r="180" spans="1:9" x14ac:dyDescent="0.2">
      <c r="A180" s="86">
        <f t="shared" si="17"/>
        <v>4781</v>
      </c>
      <c r="B180" s="142">
        <f t="shared" si="18"/>
        <v>158</v>
      </c>
      <c r="C180" s="143">
        <f t="shared" si="19"/>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0"/>
        <v>8904.1666666666661</v>
      </c>
    </row>
    <row r="181" spans="1:9" x14ac:dyDescent="0.2">
      <c r="A181" s="86">
        <f t="shared" si="17"/>
        <v>4809</v>
      </c>
      <c r="B181" s="142">
        <f t="shared" si="18"/>
        <v>159</v>
      </c>
      <c r="C181" s="143">
        <f t="shared" si="19"/>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0"/>
        <v>8904.1666666666661</v>
      </c>
    </row>
    <row r="182" spans="1:9" x14ac:dyDescent="0.2">
      <c r="A182" s="86">
        <f t="shared" si="17"/>
        <v>4840</v>
      </c>
      <c r="B182" s="142">
        <f t="shared" si="18"/>
        <v>160</v>
      </c>
      <c r="C182" s="143">
        <f t="shared" si="19"/>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0"/>
        <v>8904.1666666666661</v>
      </c>
    </row>
    <row r="183" spans="1:9" x14ac:dyDescent="0.2">
      <c r="A183" s="86">
        <f t="shared" si="17"/>
        <v>4870</v>
      </c>
      <c r="B183" s="142">
        <f t="shared" si="18"/>
        <v>161</v>
      </c>
      <c r="C183" s="143">
        <f t="shared" si="19"/>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0"/>
        <v>8904.1666666666661</v>
      </c>
    </row>
    <row r="184" spans="1:9" x14ac:dyDescent="0.2">
      <c r="A184" s="86">
        <f t="shared" si="17"/>
        <v>4901</v>
      </c>
      <c r="B184" s="142">
        <f t="shared" si="18"/>
        <v>162</v>
      </c>
      <c r="C184" s="143">
        <f t="shared" si="19"/>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0"/>
        <v>8904.1666666666661</v>
      </c>
    </row>
    <row r="185" spans="1:9" x14ac:dyDescent="0.2">
      <c r="A185" s="86">
        <f t="shared" si="17"/>
        <v>4931</v>
      </c>
      <c r="B185" s="142">
        <f t="shared" si="18"/>
        <v>163</v>
      </c>
      <c r="C185" s="143">
        <f t="shared" si="19"/>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0"/>
        <v>8904.1666666666661</v>
      </c>
    </row>
    <row r="186" spans="1:9" x14ac:dyDescent="0.2">
      <c r="A186" s="86">
        <f t="shared" si="17"/>
        <v>4962</v>
      </c>
      <c r="B186" s="142">
        <f t="shared" si="18"/>
        <v>164</v>
      </c>
      <c r="C186" s="143">
        <f t="shared" si="19"/>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0"/>
        <v>8904.1666666666661</v>
      </c>
    </row>
    <row r="187" spans="1:9" x14ac:dyDescent="0.2">
      <c r="A187" s="86">
        <f t="shared" si="17"/>
        <v>4993</v>
      </c>
      <c r="B187" s="142">
        <f t="shared" si="18"/>
        <v>165</v>
      </c>
      <c r="C187" s="143">
        <f t="shared" si="19"/>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0"/>
        <v>8904.1666666666661</v>
      </c>
    </row>
    <row r="188" spans="1:9" x14ac:dyDescent="0.2">
      <c r="A188" s="86">
        <f t="shared" si="17"/>
        <v>5023</v>
      </c>
      <c r="B188" s="142">
        <f t="shared" si="18"/>
        <v>166</v>
      </c>
      <c r="C188" s="143">
        <f t="shared" si="19"/>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0"/>
        <v>8904.1666666666661</v>
      </c>
    </row>
    <row r="189" spans="1:9" x14ac:dyDescent="0.2">
      <c r="A189" s="86">
        <f t="shared" si="17"/>
        <v>5054</v>
      </c>
      <c r="B189" s="142">
        <f t="shared" si="18"/>
        <v>167</v>
      </c>
      <c r="C189" s="143">
        <f t="shared" si="19"/>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0"/>
        <v>8904.1666666666661</v>
      </c>
    </row>
    <row r="190" spans="1:9" x14ac:dyDescent="0.2">
      <c r="A190" s="86">
        <f t="shared" si="17"/>
        <v>5084</v>
      </c>
      <c r="B190" s="142">
        <f t="shared" si="18"/>
        <v>168</v>
      </c>
      <c r="C190" s="143">
        <f t="shared" si="19"/>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0"/>
        <v>8904.1666666666661</v>
      </c>
    </row>
    <row r="191" spans="1:9" x14ac:dyDescent="0.2">
      <c r="A191" s="86">
        <f t="shared" si="17"/>
        <v>5115</v>
      </c>
      <c r="B191" s="142">
        <f t="shared" si="18"/>
        <v>169</v>
      </c>
      <c r="C191" s="143">
        <f t="shared" si="19"/>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0"/>
        <v>8904.1666666666661</v>
      </c>
    </row>
    <row r="192" spans="1:9" x14ac:dyDescent="0.2">
      <c r="A192" s="86">
        <f t="shared" si="17"/>
        <v>5146</v>
      </c>
      <c r="B192" s="142">
        <f t="shared" si="18"/>
        <v>170</v>
      </c>
      <c r="C192" s="143">
        <f t="shared" si="19"/>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0"/>
        <v>8904.1666666666661</v>
      </c>
    </row>
    <row r="193" spans="1:9" x14ac:dyDescent="0.2">
      <c r="A193" s="86">
        <f t="shared" si="17"/>
        <v>5174</v>
      </c>
      <c r="B193" s="142">
        <f t="shared" si="18"/>
        <v>171</v>
      </c>
      <c r="C193" s="143">
        <f t="shared" si="19"/>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0"/>
        <v>8904.1666666666661</v>
      </c>
    </row>
    <row r="194" spans="1:9" x14ac:dyDescent="0.2">
      <c r="A194" s="86">
        <f t="shared" si="17"/>
        <v>5205</v>
      </c>
      <c r="B194" s="142">
        <f t="shared" si="18"/>
        <v>172</v>
      </c>
      <c r="C194" s="143">
        <f t="shared" si="19"/>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0"/>
        <v>8904.1666666666661</v>
      </c>
    </row>
    <row r="195" spans="1:9" x14ac:dyDescent="0.2">
      <c r="A195" s="86">
        <f t="shared" si="17"/>
        <v>5235</v>
      </c>
      <c r="B195" s="142">
        <f t="shared" si="18"/>
        <v>173</v>
      </c>
      <c r="C195" s="143">
        <f t="shared" si="19"/>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0"/>
        <v>8904.1666666666661</v>
      </c>
    </row>
    <row r="196" spans="1:9" x14ac:dyDescent="0.2">
      <c r="A196" s="86">
        <f t="shared" si="17"/>
        <v>5266</v>
      </c>
      <c r="B196" s="142">
        <f t="shared" si="18"/>
        <v>174</v>
      </c>
      <c r="C196" s="143">
        <f t="shared" si="19"/>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0"/>
        <v>8904.1666666666661</v>
      </c>
    </row>
    <row r="197" spans="1:9" x14ac:dyDescent="0.2">
      <c r="A197" s="86">
        <f t="shared" si="17"/>
        <v>5296</v>
      </c>
      <c r="B197" s="142">
        <f t="shared" si="18"/>
        <v>175</v>
      </c>
      <c r="C197" s="143">
        <f t="shared" si="19"/>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0"/>
        <v>8904.1666666666661</v>
      </c>
    </row>
    <row r="198" spans="1:9" x14ac:dyDescent="0.2">
      <c r="A198" s="86">
        <f t="shared" si="17"/>
        <v>5327</v>
      </c>
      <c r="B198" s="142">
        <f t="shared" si="18"/>
        <v>176</v>
      </c>
      <c r="C198" s="143">
        <f t="shared" si="19"/>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0"/>
        <v>8904.1666666666661</v>
      </c>
    </row>
    <row r="199" spans="1:9" x14ac:dyDescent="0.2">
      <c r="A199" s="86">
        <f t="shared" si="17"/>
        <v>5358</v>
      </c>
      <c r="B199" s="142">
        <f t="shared" si="18"/>
        <v>177</v>
      </c>
      <c r="C199" s="143">
        <f t="shared" si="19"/>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0"/>
        <v>8904.1666666666661</v>
      </c>
    </row>
    <row r="200" spans="1:9" x14ac:dyDescent="0.2">
      <c r="A200" s="86">
        <f t="shared" si="17"/>
        <v>5388</v>
      </c>
      <c r="B200" s="142">
        <f t="shared" si="18"/>
        <v>178</v>
      </c>
      <c r="C200" s="143">
        <f t="shared" si="19"/>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0"/>
        <v>8904.1666666666661</v>
      </c>
    </row>
    <row r="201" spans="1:9" x14ac:dyDescent="0.2">
      <c r="A201" s="86">
        <f t="shared" si="17"/>
        <v>5419</v>
      </c>
      <c r="B201" s="142">
        <f t="shared" si="18"/>
        <v>179</v>
      </c>
      <c r="C201" s="143">
        <f t="shared" si="19"/>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0"/>
        <v>8904.1666666666661</v>
      </c>
    </row>
    <row r="202" spans="1:9" x14ac:dyDescent="0.2">
      <c r="A202" s="86">
        <f t="shared" si="17"/>
        <v>5449</v>
      </c>
      <c r="B202" s="142">
        <f t="shared" si="18"/>
        <v>180</v>
      </c>
      <c r="C202" s="143">
        <f t="shared" si="19"/>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0"/>
        <v>8904.1666666666661</v>
      </c>
    </row>
    <row r="203" spans="1:9" x14ac:dyDescent="0.2">
      <c r="A203" s="86">
        <f t="shared" si="17"/>
        <v>5480</v>
      </c>
      <c r="B203" s="142">
        <f t="shared" si="18"/>
        <v>181</v>
      </c>
      <c r="C203" s="143">
        <f t="shared" si="19"/>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0"/>
        <v>8904.1666666666661</v>
      </c>
    </row>
    <row r="204" spans="1:9" x14ac:dyDescent="0.2">
      <c r="A204" s="86">
        <f t="shared" si="17"/>
        <v>5511</v>
      </c>
      <c r="B204" s="142">
        <f t="shared" si="18"/>
        <v>182</v>
      </c>
      <c r="C204" s="143">
        <f t="shared" si="19"/>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0"/>
        <v>8904.1666666666661</v>
      </c>
    </row>
    <row r="205" spans="1:9" x14ac:dyDescent="0.2">
      <c r="A205" s="86">
        <f t="shared" si="17"/>
        <v>5539</v>
      </c>
      <c r="B205" s="142">
        <f t="shared" si="18"/>
        <v>183</v>
      </c>
      <c r="C205" s="143">
        <f t="shared" si="19"/>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0"/>
        <v>8904.1666666666661</v>
      </c>
    </row>
    <row r="206" spans="1:9" x14ac:dyDescent="0.2">
      <c r="A206" s="86">
        <f t="shared" si="17"/>
        <v>5570</v>
      </c>
      <c r="B206" s="142">
        <f t="shared" si="18"/>
        <v>184</v>
      </c>
      <c r="C206" s="143">
        <f t="shared" si="19"/>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0"/>
        <v>8904.1666666666661</v>
      </c>
    </row>
    <row r="207" spans="1:9" x14ac:dyDescent="0.2">
      <c r="A207" s="86">
        <f t="shared" si="17"/>
        <v>5600</v>
      </c>
      <c r="B207" s="142">
        <f t="shared" si="18"/>
        <v>185</v>
      </c>
      <c r="C207" s="143">
        <f t="shared" si="19"/>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0"/>
        <v>8904.1666666666661</v>
      </c>
    </row>
    <row r="208" spans="1:9" x14ac:dyDescent="0.2">
      <c r="A208" s="86">
        <f t="shared" si="17"/>
        <v>5631</v>
      </c>
      <c r="B208" s="142">
        <f t="shared" si="18"/>
        <v>186</v>
      </c>
      <c r="C208" s="143">
        <f t="shared" si="19"/>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0"/>
        <v>8904.1666666666661</v>
      </c>
    </row>
    <row r="209" spans="1:9" x14ac:dyDescent="0.2">
      <c r="A209" s="86">
        <f t="shared" si="17"/>
        <v>5661</v>
      </c>
      <c r="B209" s="142">
        <f t="shared" si="18"/>
        <v>187</v>
      </c>
      <c r="C209" s="143">
        <f t="shared" si="19"/>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0"/>
        <v>8904.1666666666661</v>
      </c>
    </row>
    <row r="210" spans="1:9" x14ac:dyDescent="0.2">
      <c r="A210" s="86">
        <f t="shared" si="17"/>
        <v>5692</v>
      </c>
      <c r="B210" s="142">
        <f t="shared" si="18"/>
        <v>188</v>
      </c>
      <c r="C210" s="143">
        <f t="shared" si="19"/>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0"/>
        <v>8904.1666666666661</v>
      </c>
    </row>
    <row r="211" spans="1:9" x14ac:dyDescent="0.2">
      <c r="A211" s="86">
        <f t="shared" si="17"/>
        <v>5723</v>
      </c>
      <c r="B211" s="142">
        <f t="shared" ref="B211:B242" si="21">IF(B210="NA","NA",IF((B210+1)&gt;$B$9,"NA",B210+1))</f>
        <v>189</v>
      </c>
      <c r="C211" s="143">
        <f t="shared" ref="C211:C242" si="22">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3">IF(B211="NA","NA",SUM(D211:H211))</f>
        <v>8904.1666666666661</v>
      </c>
    </row>
    <row r="212" spans="1:9" x14ac:dyDescent="0.2">
      <c r="A212" s="86">
        <f t="shared" ref="A212:A262" si="24">IF(B212="NA","NA",DATE(YEAR(A211),MONTH(A211)+1,1))</f>
        <v>5753</v>
      </c>
      <c r="B212" s="142">
        <f t="shared" si="21"/>
        <v>190</v>
      </c>
      <c r="C212" s="143">
        <f t="shared" si="22"/>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3"/>
        <v>8904.1666666666661</v>
      </c>
    </row>
    <row r="213" spans="1:9" x14ac:dyDescent="0.2">
      <c r="A213" s="86">
        <f t="shared" si="24"/>
        <v>5784</v>
      </c>
      <c r="B213" s="142">
        <f t="shared" si="21"/>
        <v>191</v>
      </c>
      <c r="C213" s="143">
        <f t="shared" si="22"/>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3"/>
        <v>8904.1666666666661</v>
      </c>
    </row>
    <row r="214" spans="1:9" x14ac:dyDescent="0.2">
      <c r="A214" s="86">
        <f t="shared" si="24"/>
        <v>5814</v>
      </c>
      <c r="B214" s="142">
        <f t="shared" si="21"/>
        <v>192</v>
      </c>
      <c r="C214" s="143">
        <f t="shared" si="22"/>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3"/>
        <v>8904.1666666666661</v>
      </c>
    </row>
    <row r="215" spans="1:9" x14ac:dyDescent="0.2">
      <c r="A215" s="86">
        <f t="shared" si="24"/>
        <v>5845</v>
      </c>
      <c r="B215" s="142">
        <f t="shared" si="21"/>
        <v>193</v>
      </c>
      <c r="C215" s="143">
        <f t="shared" si="22"/>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3"/>
        <v>8904.1666666666661</v>
      </c>
    </row>
    <row r="216" spans="1:9" x14ac:dyDescent="0.2">
      <c r="A216" s="86">
        <f t="shared" si="24"/>
        <v>5876</v>
      </c>
      <c r="B216" s="142">
        <f t="shared" si="21"/>
        <v>194</v>
      </c>
      <c r="C216" s="143">
        <f t="shared" si="22"/>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3"/>
        <v>8904.1666666666661</v>
      </c>
    </row>
    <row r="217" spans="1:9" x14ac:dyDescent="0.2">
      <c r="A217" s="86">
        <f t="shared" si="24"/>
        <v>5905</v>
      </c>
      <c r="B217" s="142">
        <f t="shared" si="21"/>
        <v>195</v>
      </c>
      <c r="C217" s="143">
        <f t="shared" si="22"/>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3"/>
        <v>8904.1666666666661</v>
      </c>
    </row>
    <row r="218" spans="1:9" x14ac:dyDescent="0.2">
      <c r="A218" s="86">
        <f t="shared" si="24"/>
        <v>5936</v>
      </c>
      <c r="B218" s="142">
        <f t="shared" si="21"/>
        <v>196</v>
      </c>
      <c r="C218" s="143">
        <f t="shared" si="22"/>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3"/>
        <v>8904.1666666666661</v>
      </c>
    </row>
    <row r="219" spans="1:9" x14ac:dyDescent="0.2">
      <c r="A219" s="86">
        <f t="shared" si="24"/>
        <v>5966</v>
      </c>
      <c r="B219" s="142">
        <f t="shared" si="21"/>
        <v>197</v>
      </c>
      <c r="C219" s="143">
        <f t="shared" si="22"/>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3"/>
        <v>8904.1666666666661</v>
      </c>
    </row>
    <row r="220" spans="1:9" x14ac:dyDescent="0.2">
      <c r="A220" s="86">
        <f t="shared" si="24"/>
        <v>5997</v>
      </c>
      <c r="B220" s="142">
        <f t="shared" si="21"/>
        <v>198</v>
      </c>
      <c r="C220" s="143">
        <f t="shared" si="22"/>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3"/>
        <v>8904.1666666666661</v>
      </c>
    </row>
    <row r="221" spans="1:9" x14ac:dyDescent="0.2">
      <c r="A221" s="86">
        <f t="shared" si="24"/>
        <v>6027</v>
      </c>
      <c r="B221" s="142">
        <f t="shared" si="21"/>
        <v>199</v>
      </c>
      <c r="C221" s="143">
        <f t="shared" si="22"/>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3"/>
        <v>8904.1666666666661</v>
      </c>
    </row>
    <row r="222" spans="1:9" x14ac:dyDescent="0.2">
      <c r="A222" s="86">
        <f t="shared" si="24"/>
        <v>6058</v>
      </c>
      <c r="B222" s="142">
        <f t="shared" si="21"/>
        <v>200</v>
      </c>
      <c r="C222" s="143">
        <f t="shared" si="22"/>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3"/>
        <v>8904.1666666666661</v>
      </c>
    </row>
    <row r="223" spans="1:9" x14ac:dyDescent="0.2">
      <c r="A223" s="86">
        <f t="shared" si="24"/>
        <v>6089</v>
      </c>
      <c r="B223" s="142">
        <f t="shared" si="21"/>
        <v>201</v>
      </c>
      <c r="C223" s="143">
        <f t="shared" si="22"/>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3"/>
        <v>8904.1666666666661</v>
      </c>
    </row>
    <row r="224" spans="1:9" x14ac:dyDescent="0.2">
      <c r="A224" s="86">
        <f t="shared" si="24"/>
        <v>6119</v>
      </c>
      <c r="B224" s="142">
        <f t="shared" si="21"/>
        <v>202</v>
      </c>
      <c r="C224" s="143">
        <f t="shared" si="22"/>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3"/>
        <v>8904.1666666666661</v>
      </c>
    </row>
    <row r="225" spans="1:9" x14ac:dyDescent="0.2">
      <c r="A225" s="86">
        <f t="shared" si="24"/>
        <v>6150</v>
      </c>
      <c r="B225" s="142">
        <f t="shared" si="21"/>
        <v>203</v>
      </c>
      <c r="C225" s="143">
        <f t="shared" si="22"/>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3"/>
        <v>8904.1666666666661</v>
      </c>
    </row>
    <row r="226" spans="1:9" x14ac:dyDescent="0.2">
      <c r="A226" s="86">
        <f t="shared" si="24"/>
        <v>6180</v>
      </c>
      <c r="B226" s="142">
        <f t="shared" si="21"/>
        <v>204</v>
      </c>
      <c r="C226" s="143">
        <f t="shared" si="22"/>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3"/>
        <v>8904.1666666666661</v>
      </c>
    </row>
    <row r="227" spans="1:9" x14ac:dyDescent="0.2">
      <c r="A227" s="86">
        <f t="shared" si="24"/>
        <v>6211</v>
      </c>
      <c r="B227" s="142">
        <f t="shared" si="21"/>
        <v>205</v>
      </c>
      <c r="C227" s="143">
        <f t="shared" si="22"/>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3"/>
        <v>8904.1666666666661</v>
      </c>
    </row>
    <row r="228" spans="1:9" x14ac:dyDescent="0.2">
      <c r="A228" s="86">
        <f t="shared" si="24"/>
        <v>6242</v>
      </c>
      <c r="B228" s="142">
        <f t="shared" si="21"/>
        <v>206</v>
      </c>
      <c r="C228" s="143">
        <f t="shared" si="22"/>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3"/>
        <v>8904.1666666666661</v>
      </c>
    </row>
    <row r="229" spans="1:9" x14ac:dyDescent="0.2">
      <c r="A229" s="86">
        <f t="shared" si="24"/>
        <v>6270</v>
      </c>
      <c r="B229" s="142">
        <f t="shared" si="21"/>
        <v>207</v>
      </c>
      <c r="C229" s="143">
        <f t="shared" si="22"/>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3"/>
        <v>8904.1666666666661</v>
      </c>
    </row>
    <row r="230" spans="1:9" x14ac:dyDescent="0.2">
      <c r="A230" s="86">
        <f t="shared" si="24"/>
        <v>6301</v>
      </c>
      <c r="B230" s="142">
        <f t="shared" si="21"/>
        <v>208</v>
      </c>
      <c r="C230" s="143">
        <f t="shared" si="22"/>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3"/>
        <v>8904.1666666666661</v>
      </c>
    </row>
    <row r="231" spans="1:9" x14ac:dyDescent="0.2">
      <c r="A231" s="86">
        <f t="shared" si="24"/>
        <v>6331</v>
      </c>
      <c r="B231" s="142">
        <f t="shared" si="21"/>
        <v>209</v>
      </c>
      <c r="C231" s="143">
        <f t="shared" si="22"/>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3"/>
        <v>8904.1666666666661</v>
      </c>
    </row>
    <row r="232" spans="1:9" x14ac:dyDescent="0.2">
      <c r="A232" s="86">
        <f t="shared" si="24"/>
        <v>6362</v>
      </c>
      <c r="B232" s="142">
        <f t="shared" si="21"/>
        <v>210</v>
      </c>
      <c r="C232" s="143">
        <f t="shared" si="22"/>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3"/>
        <v>8904.1666666666661</v>
      </c>
    </row>
    <row r="233" spans="1:9" x14ac:dyDescent="0.2">
      <c r="A233" s="86">
        <f t="shared" si="24"/>
        <v>6392</v>
      </c>
      <c r="B233" s="142">
        <f t="shared" si="21"/>
        <v>211</v>
      </c>
      <c r="C233" s="143">
        <f t="shared" si="22"/>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3"/>
        <v>8904.1666666666661</v>
      </c>
    </row>
    <row r="234" spans="1:9" x14ac:dyDescent="0.2">
      <c r="A234" s="86">
        <f t="shared" si="24"/>
        <v>6423</v>
      </c>
      <c r="B234" s="142">
        <f t="shared" si="21"/>
        <v>212</v>
      </c>
      <c r="C234" s="143">
        <f t="shared" si="22"/>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3"/>
        <v>8904.1666666666661</v>
      </c>
    </row>
    <row r="235" spans="1:9" x14ac:dyDescent="0.2">
      <c r="A235" s="86">
        <f t="shared" si="24"/>
        <v>6454</v>
      </c>
      <c r="B235" s="142">
        <f t="shared" si="21"/>
        <v>213</v>
      </c>
      <c r="C235" s="143">
        <f t="shared" si="22"/>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3"/>
        <v>8904.1666666666661</v>
      </c>
    </row>
    <row r="236" spans="1:9" x14ac:dyDescent="0.2">
      <c r="A236" s="86">
        <f t="shared" si="24"/>
        <v>6484</v>
      </c>
      <c r="B236" s="142">
        <f t="shared" si="21"/>
        <v>214</v>
      </c>
      <c r="C236" s="143">
        <f t="shared" si="22"/>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3"/>
        <v>8904.1666666666661</v>
      </c>
    </row>
    <row r="237" spans="1:9" x14ac:dyDescent="0.2">
      <c r="A237" s="86">
        <f t="shared" si="24"/>
        <v>6515</v>
      </c>
      <c r="B237" s="142">
        <f t="shared" si="21"/>
        <v>215</v>
      </c>
      <c r="C237" s="143">
        <f t="shared" si="22"/>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3"/>
        <v>8904.1666666666661</v>
      </c>
    </row>
    <row r="238" spans="1:9" x14ac:dyDescent="0.2">
      <c r="A238" s="86">
        <f t="shared" si="24"/>
        <v>6545</v>
      </c>
      <c r="B238" s="142">
        <f t="shared" si="21"/>
        <v>216</v>
      </c>
      <c r="C238" s="143">
        <f t="shared" si="22"/>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3"/>
        <v>8904.1666666666661</v>
      </c>
    </row>
    <row r="239" spans="1:9" x14ac:dyDescent="0.2">
      <c r="A239" s="86">
        <f t="shared" si="24"/>
        <v>6576</v>
      </c>
      <c r="B239" s="142">
        <f t="shared" si="21"/>
        <v>217</v>
      </c>
      <c r="C239" s="143">
        <f t="shared" si="22"/>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3"/>
        <v>8904.1666666666661</v>
      </c>
    </row>
    <row r="240" spans="1:9" x14ac:dyDescent="0.2">
      <c r="A240" s="86">
        <f t="shared" si="24"/>
        <v>6607</v>
      </c>
      <c r="B240" s="142">
        <f t="shared" si="21"/>
        <v>218</v>
      </c>
      <c r="C240" s="143">
        <f t="shared" si="22"/>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3"/>
        <v>8904.1666666666661</v>
      </c>
    </row>
    <row r="241" spans="1:9" x14ac:dyDescent="0.2">
      <c r="A241" s="86">
        <f t="shared" si="24"/>
        <v>6635</v>
      </c>
      <c r="B241" s="142">
        <f t="shared" si="21"/>
        <v>219</v>
      </c>
      <c r="C241" s="143">
        <f t="shared" si="22"/>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3"/>
        <v>8904.1666666666661</v>
      </c>
    </row>
    <row r="242" spans="1:9" x14ac:dyDescent="0.2">
      <c r="A242" s="86">
        <f t="shared" si="24"/>
        <v>6666</v>
      </c>
      <c r="B242" s="142">
        <f t="shared" si="21"/>
        <v>220</v>
      </c>
      <c r="C242" s="143">
        <f t="shared" si="22"/>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3"/>
        <v>8904.1666666666661</v>
      </c>
    </row>
    <row r="243" spans="1:9" x14ac:dyDescent="0.2">
      <c r="A243" s="86">
        <f t="shared" si="24"/>
        <v>6696</v>
      </c>
      <c r="B243" s="142">
        <f t="shared" ref="B243:B262" si="25">IF(B242="NA","NA",IF((B242+1)&gt;$B$9,"NA",B242+1))</f>
        <v>221</v>
      </c>
      <c r="C243" s="143">
        <f t="shared" ref="C243:C262" si="26">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7">IF(B243="NA","NA",SUM(D243:H243))</f>
        <v>8904.1666666666661</v>
      </c>
    </row>
    <row r="244" spans="1:9" x14ac:dyDescent="0.2">
      <c r="A244" s="86">
        <f t="shared" si="24"/>
        <v>6727</v>
      </c>
      <c r="B244" s="142">
        <f t="shared" si="25"/>
        <v>222</v>
      </c>
      <c r="C244" s="143">
        <f t="shared" si="26"/>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7"/>
        <v>8904.1666666666661</v>
      </c>
    </row>
    <row r="245" spans="1:9" x14ac:dyDescent="0.2">
      <c r="A245" s="86">
        <f t="shared" si="24"/>
        <v>6757</v>
      </c>
      <c r="B245" s="142">
        <f t="shared" si="25"/>
        <v>223</v>
      </c>
      <c r="C245" s="143">
        <f t="shared" si="26"/>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7"/>
        <v>8904.1666666666661</v>
      </c>
    </row>
    <row r="246" spans="1:9" x14ac:dyDescent="0.2">
      <c r="A246" s="86">
        <f t="shared" si="24"/>
        <v>6788</v>
      </c>
      <c r="B246" s="142">
        <f t="shared" si="25"/>
        <v>224</v>
      </c>
      <c r="C246" s="143">
        <f t="shared" si="26"/>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7"/>
        <v>8904.1666666666661</v>
      </c>
    </row>
    <row r="247" spans="1:9" x14ac:dyDescent="0.2">
      <c r="A247" s="86">
        <f t="shared" si="24"/>
        <v>6819</v>
      </c>
      <c r="B247" s="142">
        <f t="shared" si="25"/>
        <v>225</v>
      </c>
      <c r="C247" s="143">
        <f t="shared" si="26"/>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7"/>
        <v>8904.1666666666661</v>
      </c>
    </row>
    <row r="248" spans="1:9" x14ac:dyDescent="0.2">
      <c r="A248" s="86">
        <f t="shared" si="24"/>
        <v>6849</v>
      </c>
      <c r="B248" s="142">
        <f t="shared" si="25"/>
        <v>226</v>
      </c>
      <c r="C248" s="143">
        <f t="shared" si="26"/>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7"/>
        <v>8904.1666666666661</v>
      </c>
    </row>
    <row r="249" spans="1:9" x14ac:dyDescent="0.2">
      <c r="A249" s="86">
        <f t="shared" si="24"/>
        <v>6880</v>
      </c>
      <c r="B249" s="142">
        <f t="shared" si="25"/>
        <v>227</v>
      </c>
      <c r="C249" s="143">
        <f t="shared" si="26"/>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7"/>
        <v>8904.1666666666661</v>
      </c>
    </row>
    <row r="250" spans="1:9" x14ac:dyDescent="0.2">
      <c r="A250" s="86">
        <f t="shared" si="24"/>
        <v>6910</v>
      </c>
      <c r="B250" s="142">
        <f t="shared" si="25"/>
        <v>228</v>
      </c>
      <c r="C250" s="143">
        <f t="shared" si="26"/>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7"/>
        <v>8904.1666666666661</v>
      </c>
    </row>
    <row r="251" spans="1:9" x14ac:dyDescent="0.2">
      <c r="A251" s="86">
        <f t="shared" si="24"/>
        <v>6941</v>
      </c>
      <c r="B251" s="142">
        <f t="shared" si="25"/>
        <v>229</v>
      </c>
      <c r="C251" s="143">
        <f t="shared" si="26"/>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7"/>
        <v>8904.1666666666661</v>
      </c>
    </row>
    <row r="252" spans="1:9" x14ac:dyDescent="0.2">
      <c r="A252" s="86">
        <f t="shared" si="24"/>
        <v>6972</v>
      </c>
      <c r="B252" s="142">
        <f t="shared" si="25"/>
        <v>230</v>
      </c>
      <c r="C252" s="143">
        <f t="shared" si="26"/>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7"/>
        <v>8904.1666666666661</v>
      </c>
    </row>
    <row r="253" spans="1:9" x14ac:dyDescent="0.2">
      <c r="A253" s="86">
        <f t="shared" si="24"/>
        <v>7000</v>
      </c>
      <c r="B253" s="142">
        <f t="shared" si="25"/>
        <v>231</v>
      </c>
      <c r="C253" s="143">
        <f t="shared" si="26"/>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7"/>
        <v>8904.1666666666661</v>
      </c>
    </row>
    <row r="254" spans="1:9" x14ac:dyDescent="0.2">
      <c r="A254" s="86">
        <f t="shared" si="24"/>
        <v>7031</v>
      </c>
      <c r="B254" s="142">
        <f t="shared" si="25"/>
        <v>232</v>
      </c>
      <c r="C254" s="143">
        <f t="shared" si="26"/>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7"/>
        <v>8904.1666666666661</v>
      </c>
    </row>
    <row r="255" spans="1:9" x14ac:dyDescent="0.2">
      <c r="A255" s="86">
        <f t="shared" si="24"/>
        <v>7061</v>
      </c>
      <c r="B255" s="142">
        <f t="shared" si="25"/>
        <v>233</v>
      </c>
      <c r="C255" s="143">
        <f t="shared" si="26"/>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7"/>
        <v>8904.1666666666661</v>
      </c>
    </row>
    <row r="256" spans="1:9" x14ac:dyDescent="0.2">
      <c r="A256" s="86">
        <f t="shared" si="24"/>
        <v>7092</v>
      </c>
      <c r="B256" s="142">
        <f t="shared" si="25"/>
        <v>234</v>
      </c>
      <c r="C256" s="143">
        <f t="shared" si="26"/>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7"/>
        <v>8904.1666666666661</v>
      </c>
    </row>
    <row r="257" spans="1:9" x14ac:dyDescent="0.2">
      <c r="A257" s="86">
        <f t="shared" si="24"/>
        <v>7122</v>
      </c>
      <c r="B257" s="142">
        <f t="shared" si="25"/>
        <v>235</v>
      </c>
      <c r="C257" s="143">
        <f t="shared" si="26"/>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7"/>
        <v>8904.1666666666661</v>
      </c>
    </row>
    <row r="258" spans="1:9" x14ac:dyDescent="0.2">
      <c r="A258" s="86">
        <f t="shared" si="24"/>
        <v>7153</v>
      </c>
      <c r="B258" s="142">
        <f t="shared" si="25"/>
        <v>236</v>
      </c>
      <c r="C258" s="143">
        <f t="shared" si="26"/>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7"/>
        <v>8904.1666666666661</v>
      </c>
    </row>
    <row r="259" spans="1:9" x14ac:dyDescent="0.2">
      <c r="A259" s="86">
        <f t="shared" si="24"/>
        <v>7184</v>
      </c>
      <c r="B259" s="142">
        <f t="shared" si="25"/>
        <v>237</v>
      </c>
      <c r="C259" s="143">
        <f t="shared" si="26"/>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7"/>
        <v>8904.1666666666661</v>
      </c>
    </row>
    <row r="260" spans="1:9" x14ac:dyDescent="0.2">
      <c r="A260" s="86">
        <f t="shared" si="24"/>
        <v>7214</v>
      </c>
      <c r="B260" s="142">
        <f t="shared" si="25"/>
        <v>238</v>
      </c>
      <c r="C260" s="143">
        <f t="shared" si="26"/>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7"/>
        <v>8904.1666666666661</v>
      </c>
    </row>
    <row r="261" spans="1:9" x14ac:dyDescent="0.2">
      <c r="A261" s="86">
        <f t="shared" si="24"/>
        <v>7245</v>
      </c>
      <c r="B261" s="142">
        <f t="shared" si="25"/>
        <v>239</v>
      </c>
      <c r="C261" s="143">
        <f t="shared" si="26"/>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7"/>
        <v>8904.1666666666661</v>
      </c>
    </row>
    <row r="262" spans="1:9" x14ac:dyDescent="0.2">
      <c r="A262" s="87">
        <f t="shared" si="24"/>
        <v>7275</v>
      </c>
      <c r="B262" s="144">
        <f t="shared" si="25"/>
        <v>240</v>
      </c>
      <c r="C262" s="145">
        <f t="shared" si="26"/>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7"/>
        <v>8904.1666666666661</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5" type="noConversion"/>
  <conditionalFormatting sqref="A83:I262">
    <cfRule type="cellIs" dxfId="4"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2019 Tariff (AESO ID No. 2019-016T)
Filename: &amp;F — Page &amp;P of &amp;N&amp;R&amp;8Confidentiality: Proprietary When Competed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62"/>
  <sheetViews>
    <sheetView showGridLines="0" workbookViewId="0">
      <selection activeCell="A5" sqref="A5"/>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171</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t="s">
        <v>321</v>
      </c>
      <c r="C4" s="443" t="str">
        <f>ProjectName</f>
        <v>Project Name</v>
      </c>
      <c r="D4" s="443"/>
      <c r="E4" s="443"/>
      <c r="F4" s="443"/>
      <c r="G4" s="443"/>
      <c r="H4" s="108" t="s">
        <v>1</v>
      </c>
      <c r="I4" s="294">
        <f>'A1 Costs and Contract'!I11</f>
        <v>44197</v>
      </c>
    </row>
    <row r="5" spans="1:11" x14ac:dyDescent="0.2">
      <c r="A5"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 t="shared" ref="B10:B15" si="0">IF(A10=0,0,DAYS360(D10,E10)/30)</f>
        <v>0</v>
      </c>
      <c r="C10" s="515"/>
      <c r="D10" s="165">
        <f>IF(A10=0,0,DATE(YEAR('A1 Costs and Contract'!B48),MONTH('A1 Costs and Contract'!B48),1))</f>
        <v>0</v>
      </c>
      <c r="E10" s="166">
        <f t="shared" ref="E10:E15" si="1">IF(A10=0,0,E9)</f>
        <v>0</v>
      </c>
    </row>
    <row r="11" spans="1:11" x14ac:dyDescent="0.2">
      <c r="A11" s="13">
        <f>'A1 Costs and Contract'!A49</f>
        <v>0</v>
      </c>
      <c r="B11" s="515">
        <f t="shared" si="0"/>
        <v>0</v>
      </c>
      <c r="C11" s="515"/>
      <c r="D11" s="165">
        <f>IF(A11=0,0,DATE(YEAR('A1 Costs and Contract'!B49),MONTH('A1 Costs and Contract'!B49),1))</f>
        <v>0</v>
      </c>
      <c r="E11" s="166">
        <f t="shared" si="1"/>
        <v>0</v>
      </c>
    </row>
    <row r="12" spans="1:11" x14ac:dyDescent="0.2">
      <c r="A12" s="13">
        <f>'A1 Costs and Contract'!A50</f>
        <v>0</v>
      </c>
      <c r="B12" s="515">
        <f t="shared" si="0"/>
        <v>0</v>
      </c>
      <c r="C12" s="515"/>
      <c r="D12" s="165">
        <f>IF(A12=0,0,DATE(YEAR('A1 Costs and Contract'!B50),MONTH('A1 Costs and Contract'!B50),1))</f>
        <v>0</v>
      </c>
      <c r="E12" s="166">
        <f t="shared" si="1"/>
        <v>0</v>
      </c>
    </row>
    <row r="13" spans="1:11" x14ac:dyDescent="0.2">
      <c r="A13" s="13">
        <f>'A1 Costs and Contract'!A51</f>
        <v>0</v>
      </c>
      <c r="B13" s="515">
        <f t="shared" si="0"/>
        <v>0</v>
      </c>
      <c r="C13" s="515"/>
      <c r="D13" s="165">
        <f>IF(A13=0,0,DATE(YEAR('A1 Costs and Contract'!B51),MONTH('A1 Costs and Contract'!B51),1))</f>
        <v>0</v>
      </c>
      <c r="E13" s="166">
        <f t="shared" si="1"/>
        <v>0</v>
      </c>
    </row>
    <row r="14" spans="1:11" x14ac:dyDescent="0.2">
      <c r="A14" s="13">
        <f>'A1 Costs and Contract'!A52</f>
        <v>0</v>
      </c>
      <c r="B14" s="515">
        <f t="shared" si="0"/>
        <v>0</v>
      </c>
      <c r="C14" s="515"/>
      <c r="D14" s="165">
        <f>IF(A14=0,0,DATE(YEAR('A1 Costs and Contract'!B52),MONTH('A1 Costs and Contract'!B52),1))</f>
        <v>0</v>
      </c>
      <c r="E14" s="166">
        <f t="shared" si="1"/>
        <v>0</v>
      </c>
    </row>
    <row r="15" spans="1:11" x14ac:dyDescent="0.2">
      <c r="A15" s="13">
        <f>'A1 Costs and Contract'!A53</f>
        <v>0</v>
      </c>
      <c r="B15" s="515">
        <f t="shared" si="0"/>
        <v>0</v>
      </c>
      <c r="C15" s="515"/>
      <c r="D15" s="165">
        <f>IF(A15=0,0,DATE(YEAR('A1 Costs and Contract'!B53),MONTH('A1 Costs and Contract'!B53),1))</f>
        <v>0</v>
      </c>
      <c r="E15" s="166">
        <f t="shared" si="1"/>
        <v>0</v>
      </c>
    </row>
    <row r="16" spans="1:11" x14ac:dyDescent="0.2">
      <c r="A16" s="13"/>
      <c r="B16" s="515"/>
      <c r="C16" s="515"/>
      <c r="D16" s="165"/>
      <c r="E16" s="166"/>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112</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2">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3">SUM(D23:H23)</f>
        <v>8904.1666666666661</v>
      </c>
    </row>
    <row r="24" spans="1:9" x14ac:dyDescent="0.2">
      <c r="A24" s="86">
        <f>DATE(YEAR(A23),MONTH(A23)+1,1)</f>
        <v>32</v>
      </c>
      <c r="B24" s="142">
        <f t="shared" ref="B24:B55" si="4">B23+1</f>
        <v>2</v>
      </c>
      <c r="C24" s="143">
        <f t="shared" si="2"/>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3"/>
        <v>8904.1666666666661</v>
      </c>
    </row>
    <row r="25" spans="1:9" x14ac:dyDescent="0.2">
      <c r="A25" s="86">
        <f t="shared" ref="A25:A82" si="5">DATE(YEAR(A24),MONTH(A24)+1,1)</f>
        <v>61</v>
      </c>
      <c r="B25" s="142">
        <f t="shared" si="4"/>
        <v>3</v>
      </c>
      <c r="C25" s="143">
        <f t="shared" si="2"/>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3"/>
        <v>8904.1666666666661</v>
      </c>
    </row>
    <row r="26" spans="1:9" x14ac:dyDescent="0.2">
      <c r="A26" s="86">
        <f t="shared" si="5"/>
        <v>92</v>
      </c>
      <c r="B26" s="142">
        <f t="shared" si="4"/>
        <v>4</v>
      </c>
      <c r="C26" s="143">
        <f t="shared" si="2"/>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3"/>
        <v>8904.1666666666661</v>
      </c>
    </row>
    <row r="27" spans="1:9" x14ac:dyDescent="0.2">
      <c r="A27" s="86">
        <f t="shared" si="5"/>
        <v>122</v>
      </c>
      <c r="B27" s="142">
        <f t="shared" si="4"/>
        <v>5</v>
      </c>
      <c r="C27" s="143">
        <f t="shared" si="2"/>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3"/>
        <v>8904.1666666666661</v>
      </c>
    </row>
    <row r="28" spans="1:9" x14ac:dyDescent="0.2">
      <c r="A28" s="86">
        <f t="shared" si="5"/>
        <v>153</v>
      </c>
      <c r="B28" s="142">
        <f t="shared" si="4"/>
        <v>6</v>
      </c>
      <c r="C28" s="143">
        <f t="shared" si="2"/>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3"/>
        <v>8904.1666666666661</v>
      </c>
    </row>
    <row r="29" spans="1:9" x14ac:dyDescent="0.2">
      <c r="A29" s="86">
        <f t="shared" si="5"/>
        <v>183</v>
      </c>
      <c r="B29" s="142">
        <f t="shared" si="4"/>
        <v>7</v>
      </c>
      <c r="C29" s="143">
        <f t="shared" si="2"/>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3"/>
        <v>8904.1666666666661</v>
      </c>
    </row>
    <row r="30" spans="1:9" x14ac:dyDescent="0.2">
      <c r="A30" s="86">
        <f t="shared" si="5"/>
        <v>214</v>
      </c>
      <c r="B30" s="142">
        <f t="shared" si="4"/>
        <v>8</v>
      </c>
      <c r="C30" s="143">
        <f t="shared" si="2"/>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3"/>
        <v>8904.1666666666661</v>
      </c>
    </row>
    <row r="31" spans="1:9" x14ac:dyDescent="0.2">
      <c r="A31" s="86">
        <f t="shared" si="5"/>
        <v>245</v>
      </c>
      <c r="B31" s="142">
        <f t="shared" si="4"/>
        <v>9</v>
      </c>
      <c r="C31" s="143">
        <f t="shared" si="2"/>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3"/>
        <v>8904.1666666666661</v>
      </c>
    </row>
    <row r="32" spans="1:9" x14ac:dyDescent="0.2">
      <c r="A32" s="86">
        <f t="shared" si="5"/>
        <v>275</v>
      </c>
      <c r="B32" s="142">
        <f t="shared" si="4"/>
        <v>10</v>
      </c>
      <c r="C32" s="143">
        <f t="shared" si="2"/>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3"/>
        <v>8904.1666666666661</v>
      </c>
    </row>
    <row r="33" spans="1:9" x14ac:dyDescent="0.2">
      <c r="A33" s="86">
        <f t="shared" si="5"/>
        <v>306</v>
      </c>
      <c r="B33" s="142">
        <f t="shared" si="4"/>
        <v>11</v>
      </c>
      <c r="C33" s="143">
        <f t="shared" si="2"/>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3"/>
        <v>8904.1666666666661</v>
      </c>
    </row>
    <row r="34" spans="1:9" x14ac:dyDescent="0.2">
      <c r="A34" s="86">
        <f t="shared" si="5"/>
        <v>336</v>
      </c>
      <c r="B34" s="142">
        <f t="shared" si="4"/>
        <v>12</v>
      </c>
      <c r="C34" s="143">
        <f t="shared" si="2"/>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3"/>
        <v>8904.1666666666661</v>
      </c>
    </row>
    <row r="35" spans="1:9" x14ac:dyDescent="0.2">
      <c r="A35" s="86">
        <f t="shared" si="5"/>
        <v>367</v>
      </c>
      <c r="B35" s="142">
        <f t="shared" si="4"/>
        <v>13</v>
      </c>
      <c r="C35" s="143">
        <f t="shared" si="2"/>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3"/>
        <v>8904.1666666666661</v>
      </c>
    </row>
    <row r="36" spans="1:9" x14ac:dyDescent="0.2">
      <c r="A36" s="86">
        <f t="shared" si="5"/>
        <v>398</v>
      </c>
      <c r="B36" s="142">
        <f t="shared" si="4"/>
        <v>14</v>
      </c>
      <c r="C36" s="143">
        <f t="shared" si="2"/>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3"/>
        <v>8904.1666666666661</v>
      </c>
    </row>
    <row r="37" spans="1:9" x14ac:dyDescent="0.2">
      <c r="A37" s="86">
        <f t="shared" si="5"/>
        <v>426</v>
      </c>
      <c r="B37" s="142">
        <f t="shared" si="4"/>
        <v>15</v>
      </c>
      <c r="C37" s="143">
        <f t="shared" si="2"/>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3"/>
        <v>8904.1666666666661</v>
      </c>
    </row>
    <row r="38" spans="1:9" x14ac:dyDescent="0.2">
      <c r="A38" s="86">
        <f t="shared" si="5"/>
        <v>457</v>
      </c>
      <c r="B38" s="142">
        <f t="shared" si="4"/>
        <v>16</v>
      </c>
      <c r="C38" s="143">
        <f t="shared" si="2"/>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3"/>
        <v>8904.1666666666661</v>
      </c>
    </row>
    <row r="39" spans="1:9" x14ac:dyDescent="0.2">
      <c r="A39" s="86">
        <f t="shared" si="5"/>
        <v>487</v>
      </c>
      <c r="B39" s="142">
        <f t="shared" si="4"/>
        <v>17</v>
      </c>
      <c r="C39" s="143">
        <f t="shared" si="2"/>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3"/>
        <v>8904.1666666666661</v>
      </c>
    </row>
    <row r="40" spans="1:9" x14ac:dyDescent="0.2">
      <c r="A40" s="86">
        <f t="shared" si="5"/>
        <v>518</v>
      </c>
      <c r="B40" s="142">
        <f t="shared" si="4"/>
        <v>18</v>
      </c>
      <c r="C40" s="143">
        <f t="shared" si="2"/>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3"/>
        <v>8904.1666666666661</v>
      </c>
    </row>
    <row r="41" spans="1:9" x14ac:dyDescent="0.2">
      <c r="A41" s="86">
        <f t="shared" si="5"/>
        <v>548</v>
      </c>
      <c r="B41" s="142">
        <f t="shared" si="4"/>
        <v>19</v>
      </c>
      <c r="C41" s="143">
        <f t="shared" si="2"/>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3"/>
        <v>8904.1666666666661</v>
      </c>
    </row>
    <row r="42" spans="1:9" x14ac:dyDescent="0.2">
      <c r="A42" s="86">
        <f t="shared" si="5"/>
        <v>579</v>
      </c>
      <c r="B42" s="142">
        <f t="shared" si="4"/>
        <v>20</v>
      </c>
      <c r="C42" s="143">
        <f t="shared" si="2"/>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3"/>
        <v>8904.1666666666661</v>
      </c>
    </row>
    <row r="43" spans="1:9" x14ac:dyDescent="0.2">
      <c r="A43" s="86">
        <f t="shared" si="5"/>
        <v>610</v>
      </c>
      <c r="B43" s="142">
        <f t="shared" si="4"/>
        <v>21</v>
      </c>
      <c r="C43" s="143">
        <f t="shared" si="2"/>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3"/>
        <v>8904.1666666666661</v>
      </c>
    </row>
    <row r="44" spans="1:9" x14ac:dyDescent="0.2">
      <c r="A44" s="86">
        <f t="shared" si="5"/>
        <v>640</v>
      </c>
      <c r="B44" s="142">
        <f t="shared" si="4"/>
        <v>22</v>
      </c>
      <c r="C44" s="143">
        <f t="shared" si="2"/>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3"/>
        <v>8904.1666666666661</v>
      </c>
    </row>
    <row r="45" spans="1:9" x14ac:dyDescent="0.2">
      <c r="A45" s="86">
        <f t="shared" si="5"/>
        <v>671</v>
      </c>
      <c r="B45" s="142">
        <f t="shared" si="4"/>
        <v>23</v>
      </c>
      <c r="C45" s="143">
        <f t="shared" si="2"/>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3"/>
        <v>8904.1666666666661</v>
      </c>
    </row>
    <row r="46" spans="1:9" x14ac:dyDescent="0.2">
      <c r="A46" s="86">
        <f t="shared" si="5"/>
        <v>701</v>
      </c>
      <c r="B46" s="142">
        <f t="shared" si="4"/>
        <v>24</v>
      </c>
      <c r="C46" s="143">
        <f t="shared" si="2"/>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3"/>
        <v>8904.1666666666661</v>
      </c>
    </row>
    <row r="47" spans="1:9" x14ac:dyDescent="0.2">
      <c r="A47" s="86">
        <f t="shared" si="5"/>
        <v>732</v>
      </c>
      <c r="B47" s="142">
        <f t="shared" si="4"/>
        <v>25</v>
      </c>
      <c r="C47" s="143">
        <f t="shared" si="2"/>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3"/>
        <v>8904.1666666666661</v>
      </c>
    </row>
    <row r="48" spans="1:9" x14ac:dyDescent="0.2">
      <c r="A48" s="86">
        <f t="shared" si="5"/>
        <v>763</v>
      </c>
      <c r="B48" s="142">
        <f t="shared" si="4"/>
        <v>26</v>
      </c>
      <c r="C48" s="143">
        <f t="shared" si="2"/>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3"/>
        <v>8904.1666666666661</v>
      </c>
    </row>
    <row r="49" spans="1:9" x14ac:dyDescent="0.2">
      <c r="A49" s="86">
        <f t="shared" si="5"/>
        <v>791</v>
      </c>
      <c r="B49" s="142">
        <f t="shared" si="4"/>
        <v>27</v>
      </c>
      <c r="C49" s="143">
        <f t="shared" si="2"/>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3"/>
        <v>8904.1666666666661</v>
      </c>
    </row>
    <row r="50" spans="1:9" x14ac:dyDescent="0.2">
      <c r="A50" s="86">
        <f t="shared" si="5"/>
        <v>822</v>
      </c>
      <c r="B50" s="142">
        <f t="shared" si="4"/>
        <v>28</v>
      </c>
      <c r="C50" s="143">
        <f t="shared" si="2"/>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3"/>
        <v>8904.1666666666661</v>
      </c>
    </row>
    <row r="51" spans="1:9" x14ac:dyDescent="0.2">
      <c r="A51" s="86">
        <f t="shared" si="5"/>
        <v>852</v>
      </c>
      <c r="B51" s="142">
        <f t="shared" si="4"/>
        <v>29</v>
      </c>
      <c r="C51" s="143">
        <f t="shared" si="2"/>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3"/>
        <v>8904.1666666666661</v>
      </c>
    </row>
    <row r="52" spans="1:9" x14ac:dyDescent="0.2">
      <c r="A52" s="86">
        <f t="shared" si="5"/>
        <v>883</v>
      </c>
      <c r="B52" s="142">
        <f t="shared" si="4"/>
        <v>30</v>
      </c>
      <c r="C52" s="143">
        <f t="shared" si="2"/>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3"/>
        <v>8904.1666666666661</v>
      </c>
    </row>
    <row r="53" spans="1:9" x14ac:dyDescent="0.2">
      <c r="A53" s="86">
        <f t="shared" si="5"/>
        <v>913</v>
      </c>
      <c r="B53" s="142">
        <f t="shared" si="4"/>
        <v>31</v>
      </c>
      <c r="C53" s="143">
        <f t="shared" si="2"/>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3"/>
        <v>8904.1666666666661</v>
      </c>
    </row>
    <row r="54" spans="1:9" x14ac:dyDescent="0.2">
      <c r="A54" s="86">
        <f t="shared" si="5"/>
        <v>944</v>
      </c>
      <c r="B54" s="142">
        <f t="shared" si="4"/>
        <v>32</v>
      </c>
      <c r="C54" s="143">
        <f t="shared" si="2"/>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3"/>
        <v>8904.1666666666661</v>
      </c>
    </row>
    <row r="55" spans="1:9" x14ac:dyDescent="0.2">
      <c r="A55" s="86">
        <f t="shared" si="5"/>
        <v>975</v>
      </c>
      <c r="B55" s="142">
        <f t="shared" si="4"/>
        <v>33</v>
      </c>
      <c r="C55" s="143">
        <f t="shared" ref="C55:C82" si="6">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7">SUM(D55:H55)</f>
        <v>8904.1666666666661</v>
      </c>
    </row>
    <row r="56" spans="1:9" x14ac:dyDescent="0.2">
      <c r="A56" s="86">
        <f t="shared" si="5"/>
        <v>1005</v>
      </c>
      <c r="B56" s="142">
        <f t="shared" ref="B56:B82" si="8">B55+1</f>
        <v>34</v>
      </c>
      <c r="C56" s="143">
        <f t="shared" si="6"/>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7"/>
        <v>8904.1666666666661</v>
      </c>
    </row>
    <row r="57" spans="1:9" x14ac:dyDescent="0.2">
      <c r="A57" s="86">
        <f t="shared" si="5"/>
        <v>1036</v>
      </c>
      <c r="B57" s="142">
        <f t="shared" si="8"/>
        <v>35</v>
      </c>
      <c r="C57" s="143">
        <f t="shared" si="6"/>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7"/>
        <v>8904.1666666666661</v>
      </c>
    </row>
    <row r="58" spans="1:9" x14ac:dyDescent="0.2">
      <c r="A58" s="86">
        <f t="shared" si="5"/>
        <v>1066</v>
      </c>
      <c r="B58" s="142">
        <f t="shared" si="8"/>
        <v>36</v>
      </c>
      <c r="C58" s="143">
        <f t="shared" si="6"/>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7"/>
        <v>8904.1666666666661</v>
      </c>
    </row>
    <row r="59" spans="1:9" x14ac:dyDescent="0.2">
      <c r="A59" s="86">
        <f t="shared" si="5"/>
        <v>1097</v>
      </c>
      <c r="B59" s="142">
        <f t="shared" si="8"/>
        <v>37</v>
      </c>
      <c r="C59" s="143">
        <f t="shared" si="6"/>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7"/>
        <v>8904.1666666666661</v>
      </c>
    </row>
    <row r="60" spans="1:9" x14ac:dyDescent="0.2">
      <c r="A60" s="86">
        <f t="shared" si="5"/>
        <v>1128</v>
      </c>
      <c r="B60" s="142">
        <f t="shared" si="8"/>
        <v>38</v>
      </c>
      <c r="C60" s="143">
        <f t="shared" si="6"/>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7"/>
        <v>8904.1666666666661</v>
      </c>
    </row>
    <row r="61" spans="1:9" x14ac:dyDescent="0.2">
      <c r="A61" s="86">
        <f t="shared" si="5"/>
        <v>1156</v>
      </c>
      <c r="B61" s="142">
        <f t="shared" si="8"/>
        <v>39</v>
      </c>
      <c r="C61" s="143">
        <f t="shared" si="6"/>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7"/>
        <v>8904.1666666666661</v>
      </c>
    </row>
    <row r="62" spans="1:9" x14ac:dyDescent="0.2">
      <c r="A62" s="86">
        <f t="shared" si="5"/>
        <v>1187</v>
      </c>
      <c r="B62" s="142">
        <f t="shared" si="8"/>
        <v>40</v>
      </c>
      <c r="C62" s="143">
        <f t="shared" si="6"/>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7"/>
        <v>8904.1666666666661</v>
      </c>
    </row>
    <row r="63" spans="1:9" x14ac:dyDescent="0.2">
      <c r="A63" s="86">
        <f t="shared" si="5"/>
        <v>1217</v>
      </c>
      <c r="B63" s="142">
        <f t="shared" si="8"/>
        <v>41</v>
      </c>
      <c r="C63" s="143">
        <f t="shared" si="6"/>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7"/>
        <v>8904.1666666666661</v>
      </c>
    </row>
    <row r="64" spans="1:9" x14ac:dyDescent="0.2">
      <c r="A64" s="86">
        <f t="shared" si="5"/>
        <v>1248</v>
      </c>
      <c r="B64" s="142">
        <f t="shared" si="8"/>
        <v>42</v>
      </c>
      <c r="C64" s="143">
        <f t="shared" si="6"/>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7"/>
        <v>8904.1666666666661</v>
      </c>
    </row>
    <row r="65" spans="1:9" x14ac:dyDescent="0.2">
      <c r="A65" s="86">
        <f t="shared" si="5"/>
        <v>1278</v>
      </c>
      <c r="B65" s="142">
        <f t="shared" si="8"/>
        <v>43</v>
      </c>
      <c r="C65" s="143">
        <f t="shared" si="6"/>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7"/>
        <v>8904.1666666666661</v>
      </c>
    </row>
    <row r="66" spans="1:9" x14ac:dyDescent="0.2">
      <c r="A66" s="86">
        <f t="shared" si="5"/>
        <v>1309</v>
      </c>
      <c r="B66" s="142">
        <f t="shared" si="8"/>
        <v>44</v>
      </c>
      <c r="C66" s="143">
        <f t="shared" si="6"/>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7"/>
        <v>8904.1666666666661</v>
      </c>
    </row>
    <row r="67" spans="1:9" x14ac:dyDescent="0.2">
      <c r="A67" s="86">
        <f t="shared" si="5"/>
        <v>1340</v>
      </c>
      <c r="B67" s="142">
        <f t="shared" si="8"/>
        <v>45</v>
      </c>
      <c r="C67" s="143">
        <f t="shared" si="6"/>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7"/>
        <v>8904.1666666666661</v>
      </c>
    </row>
    <row r="68" spans="1:9" x14ac:dyDescent="0.2">
      <c r="A68" s="86">
        <f t="shared" si="5"/>
        <v>1370</v>
      </c>
      <c r="B68" s="142">
        <f t="shared" si="8"/>
        <v>46</v>
      </c>
      <c r="C68" s="143">
        <f t="shared" si="6"/>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7"/>
        <v>8904.1666666666661</v>
      </c>
    </row>
    <row r="69" spans="1:9" x14ac:dyDescent="0.2">
      <c r="A69" s="86">
        <f t="shared" si="5"/>
        <v>1401</v>
      </c>
      <c r="B69" s="142">
        <f t="shared" si="8"/>
        <v>47</v>
      </c>
      <c r="C69" s="143">
        <f t="shared" si="6"/>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7"/>
        <v>8904.1666666666661</v>
      </c>
    </row>
    <row r="70" spans="1:9" x14ac:dyDescent="0.2">
      <c r="A70" s="86">
        <f t="shared" si="5"/>
        <v>1431</v>
      </c>
      <c r="B70" s="142">
        <f t="shared" si="8"/>
        <v>48</v>
      </c>
      <c r="C70" s="143">
        <f t="shared" si="6"/>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7"/>
        <v>8904.1666666666661</v>
      </c>
    </row>
    <row r="71" spans="1:9" x14ac:dyDescent="0.2">
      <c r="A71" s="86">
        <f t="shared" si="5"/>
        <v>1462</v>
      </c>
      <c r="B71" s="142">
        <f t="shared" si="8"/>
        <v>49</v>
      </c>
      <c r="C71" s="143">
        <f t="shared" si="6"/>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7"/>
        <v>8904.1666666666661</v>
      </c>
    </row>
    <row r="72" spans="1:9" x14ac:dyDescent="0.2">
      <c r="A72" s="86">
        <f t="shared" si="5"/>
        <v>1493</v>
      </c>
      <c r="B72" s="142">
        <f t="shared" si="8"/>
        <v>50</v>
      </c>
      <c r="C72" s="143">
        <f t="shared" si="6"/>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7"/>
        <v>8904.1666666666661</v>
      </c>
    </row>
    <row r="73" spans="1:9" x14ac:dyDescent="0.2">
      <c r="A73" s="86">
        <f t="shared" si="5"/>
        <v>1522</v>
      </c>
      <c r="B73" s="142">
        <f t="shared" si="8"/>
        <v>51</v>
      </c>
      <c r="C73" s="143">
        <f t="shared" si="6"/>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7"/>
        <v>8904.1666666666661</v>
      </c>
    </row>
    <row r="74" spans="1:9" x14ac:dyDescent="0.2">
      <c r="A74" s="86">
        <f t="shared" si="5"/>
        <v>1553</v>
      </c>
      <c r="B74" s="142">
        <f t="shared" si="8"/>
        <v>52</v>
      </c>
      <c r="C74" s="143">
        <f t="shared" si="6"/>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7"/>
        <v>8904.1666666666661</v>
      </c>
    </row>
    <row r="75" spans="1:9" x14ac:dyDescent="0.2">
      <c r="A75" s="86">
        <f t="shared" si="5"/>
        <v>1583</v>
      </c>
      <c r="B75" s="142">
        <f t="shared" si="8"/>
        <v>53</v>
      </c>
      <c r="C75" s="143">
        <f t="shared" si="6"/>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7"/>
        <v>8904.1666666666661</v>
      </c>
    </row>
    <row r="76" spans="1:9" x14ac:dyDescent="0.2">
      <c r="A76" s="86">
        <f t="shared" si="5"/>
        <v>1614</v>
      </c>
      <c r="B76" s="142">
        <f t="shared" si="8"/>
        <v>54</v>
      </c>
      <c r="C76" s="143">
        <f t="shared" si="6"/>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7"/>
        <v>8904.1666666666661</v>
      </c>
    </row>
    <row r="77" spans="1:9" x14ac:dyDescent="0.2">
      <c r="A77" s="86">
        <f t="shared" si="5"/>
        <v>1644</v>
      </c>
      <c r="B77" s="142">
        <f t="shared" si="8"/>
        <v>55</v>
      </c>
      <c r="C77" s="143">
        <f t="shared" si="6"/>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7"/>
        <v>8904.1666666666661</v>
      </c>
    </row>
    <row r="78" spans="1:9" x14ac:dyDescent="0.2">
      <c r="A78" s="86">
        <f t="shared" si="5"/>
        <v>1675</v>
      </c>
      <c r="B78" s="142">
        <f t="shared" si="8"/>
        <v>56</v>
      </c>
      <c r="C78" s="143">
        <f t="shared" si="6"/>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7"/>
        <v>8904.1666666666661</v>
      </c>
    </row>
    <row r="79" spans="1:9" x14ac:dyDescent="0.2">
      <c r="A79" s="86">
        <f t="shared" si="5"/>
        <v>1706</v>
      </c>
      <c r="B79" s="142">
        <f t="shared" si="8"/>
        <v>57</v>
      </c>
      <c r="C79" s="143">
        <f t="shared" si="6"/>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7"/>
        <v>8904.1666666666661</v>
      </c>
    </row>
    <row r="80" spans="1:9" x14ac:dyDescent="0.2">
      <c r="A80" s="86">
        <f t="shared" si="5"/>
        <v>1736</v>
      </c>
      <c r="B80" s="142">
        <f t="shared" si="8"/>
        <v>58</v>
      </c>
      <c r="C80" s="143">
        <f t="shared" si="6"/>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7"/>
        <v>8904.1666666666661</v>
      </c>
    </row>
    <row r="81" spans="1:9" x14ac:dyDescent="0.2">
      <c r="A81" s="86">
        <f t="shared" si="5"/>
        <v>1767</v>
      </c>
      <c r="B81" s="142">
        <f t="shared" si="8"/>
        <v>59</v>
      </c>
      <c r="C81" s="143">
        <f t="shared" si="6"/>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7"/>
        <v>8904.1666666666661</v>
      </c>
    </row>
    <row r="82" spans="1:9" x14ac:dyDescent="0.2">
      <c r="A82" s="86">
        <f t="shared" si="5"/>
        <v>1797</v>
      </c>
      <c r="B82" s="142">
        <f t="shared" si="8"/>
        <v>60</v>
      </c>
      <c r="C82" s="143">
        <f t="shared" si="6"/>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7"/>
        <v>8904.1666666666661</v>
      </c>
    </row>
    <row r="83" spans="1:9" x14ac:dyDescent="0.2">
      <c r="A83" s="86">
        <f>IF(B83="NA","NA",DATE(YEAR(A82),MONTH(A82)+1,1))</f>
        <v>1828</v>
      </c>
      <c r="B83" s="142">
        <f t="shared" ref="B83:B114" si="9">IF(B82="NA","NA",IF((B82+1)&gt;$B$9,"NA",B82+1))</f>
        <v>61</v>
      </c>
      <c r="C83" s="143">
        <f t="shared" ref="C83:C114" si="10">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11">IF(B83="NA","NA",SUM(D83:H83))</f>
        <v>8904.1666666666661</v>
      </c>
    </row>
    <row r="84" spans="1:9" x14ac:dyDescent="0.2">
      <c r="A84" s="86">
        <f t="shared" ref="A84:A147" si="12">IF(B84="NA","NA",DATE(YEAR(A83),MONTH(A83)+1,1))</f>
        <v>1859</v>
      </c>
      <c r="B84" s="142">
        <f t="shared" si="9"/>
        <v>62</v>
      </c>
      <c r="C84" s="143">
        <f t="shared" si="10"/>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11"/>
        <v>8904.1666666666661</v>
      </c>
    </row>
    <row r="85" spans="1:9" x14ac:dyDescent="0.2">
      <c r="A85" s="86">
        <f t="shared" si="12"/>
        <v>1887</v>
      </c>
      <c r="B85" s="142">
        <f t="shared" si="9"/>
        <v>63</v>
      </c>
      <c r="C85" s="143">
        <f t="shared" si="10"/>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11"/>
        <v>8904.1666666666661</v>
      </c>
    </row>
    <row r="86" spans="1:9" x14ac:dyDescent="0.2">
      <c r="A86" s="86">
        <f t="shared" si="12"/>
        <v>1918</v>
      </c>
      <c r="B86" s="142">
        <f t="shared" si="9"/>
        <v>64</v>
      </c>
      <c r="C86" s="143">
        <f t="shared" si="10"/>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11"/>
        <v>8904.1666666666661</v>
      </c>
    </row>
    <row r="87" spans="1:9" x14ac:dyDescent="0.2">
      <c r="A87" s="86">
        <f t="shared" si="12"/>
        <v>1948</v>
      </c>
      <c r="B87" s="142">
        <f t="shared" si="9"/>
        <v>65</v>
      </c>
      <c r="C87" s="143">
        <f t="shared" si="10"/>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11"/>
        <v>8904.1666666666661</v>
      </c>
    </row>
    <row r="88" spans="1:9" x14ac:dyDescent="0.2">
      <c r="A88" s="86">
        <f t="shared" si="12"/>
        <v>1979</v>
      </c>
      <c r="B88" s="142">
        <f t="shared" si="9"/>
        <v>66</v>
      </c>
      <c r="C88" s="143">
        <f t="shared" si="10"/>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11"/>
        <v>8904.1666666666661</v>
      </c>
    </row>
    <row r="89" spans="1:9" x14ac:dyDescent="0.2">
      <c r="A89" s="86">
        <f t="shared" si="12"/>
        <v>2009</v>
      </c>
      <c r="B89" s="142">
        <f t="shared" si="9"/>
        <v>67</v>
      </c>
      <c r="C89" s="143">
        <f t="shared" si="10"/>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11"/>
        <v>8904.1666666666661</v>
      </c>
    </row>
    <row r="90" spans="1:9" x14ac:dyDescent="0.2">
      <c r="A90" s="86">
        <f t="shared" si="12"/>
        <v>2040</v>
      </c>
      <c r="B90" s="142">
        <f t="shared" si="9"/>
        <v>68</v>
      </c>
      <c r="C90" s="143">
        <f t="shared" si="10"/>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11"/>
        <v>8904.1666666666661</v>
      </c>
    </row>
    <row r="91" spans="1:9" x14ac:dyDescent="0.2">
      <c r="A91" s="86">
        <f t="shared" si="12"/>
        <v>2071</v>
      </c>
      <c r="B91" s="142">
        <f t="shared" si="9"/>
        <v>69</v>
      </c>
      <c r="C91" s="143">
        <f t="shared" si="10"/>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11"/>
        <v>8904.1666666666661</v>
      </c>
    </row>
    <row r="92" spans="1:9" x14ac:dyDescent="0.2">
      <c r="A92" s="86">
        <f t="shared" si="12"/>
        <v>2101</v>
      </c>
      <c r="B92" s="142">
        <f t="shared" si="9"/>
        <v>70</v>
      </c>
      <c r="C92" s="143">
        <f t="shared" si="10"/>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11"/>
        <v>8904.1666666666661</v>
      </c>
    </row>
    <row r="93" spans="1:9" x14ac:dyDescent="0.2">
      <c r="A93" s="86">
        <f t="shared" si="12"/>
        <v>2132</v>
      </c>
      <c r="B93" s="142">
        <f t="shared" si="9"/>
        <v>71</v>
      </c>
      <c r="C93" s="143">
        <f t="shared" si="10"/>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11"/>
        <v>8904.1666666666661</v>
      </c>
    </row>
    <row r="94" spans="1:9" x14ac:dyDescent="0.2">
      <c r="A94" s="86">
        <f t="shared" si="12"/>
        <v>2162</v>
      </c>
      <c r="B94" s="142">
        <f t="shared" si="9"/>
        <v>72</v>
      </c>
      <c r="C94" s="143">
        <f t="shared" si="10"/>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11"/>
        <v>8904.1666666666661</v>
      </c>
    </row>
    <row r="95" spans="1:9" x14ac:dyDescent="0.2">
      <c r="A95" s="86">
        <f t="shared" si="12"/>
        <v>2193</v>
      </c>
      <c r="B95" s="142">
        <f t="shared" si="9"/>
        <v>73</v>
      </c>
      <c r="C95" s="143">
        <f t="shared" si="10"/>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11"/>
        <v>8904.1666666666661</v>
      </c>
    </row>
    <row r="96" spans="1:9" x14ac:dyDescent="0.2">
      <c r="A96" s="86">
        <f t="shared" si="12"/>
        <v>2224</v>
      </c>
      <c r="B96" s="142">
        <f t="shared" si="9"/>
        <v>74</v>
      </c>
      <c r="C96" s="143">
        <f t="shared" si="10"/>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11"/>
        <v>8904.1666666666661</v>
      </c>
    </row>
    <row r="97" spans="1:9" x14ac:dyDescent="0.2">
      <c r="A97" s="86">
        <f t="shared" si="12"/>
        <v>2252</v>
      </c>
      <c r="B97" s="142">
        <f t="shared" si="9"/>
        <v>75</v>
      </c>
      <c r="C97" s="143">
        <f t="shared" si="10"/>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11"/>
        <v>8904.1666666666661</v>
      </c>
    </row>
    <row r="98" spans="1:9" x14ac:dyDescent="0.2">
      <c r="A98" s="86">
        <f t="shared" si="12"/>
        <v>2283</v>
      </c>
      <c r="B98" s="142">
        <f t="shared" si="9"/>
        <v>76</v>
      </c>
      <c r="C98" s="143">
        <f t="shared" si="10"/>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11"/>
        <v>8904.1666666666661</v>
      </c>
    </row>
    <row r="99" spans="1:9" x14ac:dyDescent="0.2">
      <c r="A99" s="86">
        <f t="shared" si="12"/>
        <v>2313</v>
      </c>
      <c r="B99" s="142">
        <f t="shared" si="9"/>
        <v>77</v>
      </c>
      <c r="C99" s="143">
        <f t="shared" si="10"/>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11"/>
        <v>8904.1666666666661</v>
      </c>
    </row>
    <row r="100" spans="1:9" x14ac:dyDescent="0.2">
      <c r="A100" s="86">
        <f t="shared" si="12"/>
        <v>2344</v>
      </c>
      <c r="B100" s="142">
        <f t="shared" si="9"/>
        <v>78</v>
      </c>
      <c r="C100" s="143">
        <f t="shared" si="10"/>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11"/>
        <v>8904.1666666666661</v>
      </c>
    </row>
    <row r="101" spans="1:9" x14ac:dyDescent="0.2">
      <c r="A101" s="86">
        <f t="shared" si="12"/>
        <v>2374</v>
      </c>
      <c r="B101" s="142">
        <f t="shared" si="9"/>
        <v>79</v>
      </c>
      <c r="C101" s="143">
        <f t="shared" si="10"/>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11"/>
        <v>8904.1666666666661</v>
      </c>
    </row>
    <row r="102" spans="1:9" x14ac:dyDescent="0.2">
      <c r="A102" s="86">
        <f t="shared" si="12"/>
        <v>2405</v>
      </c>
      <c r="B102" s="142">
        <f t="shared" si="9"/>
        <v>80</v>
      </c>
      <c r="C102" s="143">
        <f t="shared" si="10"/>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11"/>
        <v>8904.1666666666661</v>
      </c>
    </row>
    <row r="103" spans="1:9" x14ac:dyDescent="0.2">
      <c r="A103" s="86">
        <f t="shared" si="12"/>
        <v>2436</v>
      </c>
      <c r="B103" s="142">
        <f t="shared" si="9"/>
        <v>81</v>
      </c>
      <c r="C103" s="143">
        <f t="shared" si="10"/>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11"/>
        <v>8904.1666666666661</v>
      </c>
    </row>
    <row r="104" spans="1:9" x14ac:dyDescent="0.2">
      <c r="A104" s="86">
        <f t="shared" si="12"/>
        <v>2466</v>
      </c>
      <c r="B104" s="142">
        <f t="shared" si="9"/>
        <v>82</v>
      </c>
      <c r="C104" s="143">
        <f t="shared" si="10"/>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11"/>
        <v>8904.1666666666661</v>
      </c>
    </row>
    <row r="105" spans="1:9" x14ac:dyDescent="0.2">
      <c r="A105" s="86">
        <f t="shared" si="12"/>
        <v>2497</v>
      </c>
      <c r="B105" s="142">
        <f t="shared" si="9"/>
        <v>83</v>
      </c>
      <c r="C105" s="143">
        <f t="shared" si="10"/>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11"/>
        <v>8904.1666666666661</v>
      </c>
    </row>
    <row r="106" spans="1:9" x14ac:dyDescent="0.2">
      <c r="A106" s="86">
        <f t="shared" si="12"/>
        <v>2527</v>
      </c>
      <c r="B106" s="142">
        <f t="shared" si="9"/>
        <v>84</v>
      </c>
      <c r="C106" s="143">
        <f t="shared" si="10"/>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11"/>
        <v>8904.1666666666661</v>
      </c>
    </row>
    <row r="107" spans="1:9" x14ac:dyDescent="0.2">
      <c r="A107" s="86">
        <f t="shared" si="12"/>
        <v>2558</v>
      </c>
      <c r="B107" s="142">
        <f t="shared" si="9"/>
        <v>85</v>
      </c>
      <c r="C107" s="143">
        <f t="shared" si="10"/>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11"/>
        <v>8904.1666666666661</v>
      </c>
    </row>
    <row r="108" spans="1:9" x14ac:dyDescent="0.2">
      <c r="A108" s="86">
        <f t="shared" si="12"/>
        <v>2589</v>
      </c>
      <c r="B108" s="142">
        <f t="shared" si="9"/>
        <v>86</v>
      </c>
      <c r="C108" s="143">
        <f t="shared" si="10"/>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11"/>
        <v>8904.1666666666661</v>
      </c>
    </row>
    <row r="109" spans="1:9" x14ac:dyDescent="0.2">
      <c r="A109" s="86">
        <f t="shared" si="12"/>
        <v>2617</v>
      </c>
      <c r="B109" s="142">
        <f t="shared" si="9"/>
        <v>87</v>
      </c>
      <c r="C109" s="143">
        <f t="shared" si="10"/>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11"/>
        <v>8904.1666666666661</v>
      </c>
    </row>
    <row r="110" spans="1:9" x14ac:dyDescent="0.2">
      <c r="A110" s="86">
        <f t="shared" si="12"/>
        <v>2648</v>
      </c>
      <c r="B110" s="142">
        <f t="shared" si="9"/>
        <v>88</v>
      </c>
      <c r="C110" s="143">
        <f t="shared" si="10"/>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11"/>
        <v>8904.1666666666661</v>
      </c>
    </row>
    <row r="111" spans="1:9" x14ac:dyDescent="0.2">
      <c r="A111" s="86">
        <f t="shared" si="12"/>
        <v>2678</v>
      </c>
      <c r="B111" s="142">
        <f t="shared" si="9"/>
        <v>89</v>
      </c>
      <c r="C111" s="143">
        <f t="shared" si="10"/>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11"/>
        <v>8904.1666666666661</v>
      </c>
    </row>
    <row r="112" spans="1:9" x14ac:dyDescent="0.2">
      <c r="A112" s="86">
        <f t="shared" si="12"/>
        <v>2709</v>
      </c>
      <c r="B112" s="142">
        <f t="shared" si="9"/>
        <v>90</v>
      </c>
      <c r="C112" s="143">
        <f t="shared" si="10"/>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11"/>
        <v>8904.1666666666661</v>
      </c>
    </row>
    <row r="113" spans="1:9" x14ac:dyDescent="0.2">
      <c r="A113" s="86">
        <f t="shared" si="12"/>
        <v>2739</v>
      </c>
      <c r="B113" s="142">
        <f t="shared" si="9"/>
        <v>91</v>
      </c>
      <c r="C113" s="143">
        <f t="shared" si="10"/>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11"/>
        <v>8904.1666666666661</v>
      </c>
    </row>
    <row r="114" spans="1:9" x14ac:dyDescent="0.2">
      <c r="A114" s="86">
        <f t="shared" si="12"/>
        <v>2770</v>
      </c>
      <c r="B114" s="142">
        <f t="shared" si="9"/>
        <v>92</v>
      </c>
      <c r="C114" s="143">
        <f t="shared" si="10"/>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11"/>
        <v>8904.1666666666661</v>
      </c>
    </row>
    <row r="115" spans="1:9" x14ac:dyDescent="0.2">
      <c r="A115" s="86">
        <f t="shared" si="12"/>
        <v>2801</v>
      </c>
      <c r="B115" s="142">
        <f t="shared" ref="B115:B146" si="13">IF(B114="NA","NA",IF((B114+1)&gt;$B$9,"NA",B114+1))</f>
        <v>93</v>
      </c>
      <c r="C115" s="143">
        <f t="shared" ref="C115:C146" si="14">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5">IF(B115="NA","NA",SUM(D115:H115))</f>
        <v>8904.1666666666661</v>
      </c>
    </row>
    <row r="116" spans="1:9" x14ac:dyDescent="0.2">
      <c r="A116" s="86">
        <f t="shared" si="12"/>
        <v>2831</v>
      </c>
      <c r="B116" s="142">
        <f t="shared" si="13"/>
        <v>94</v>
      </c>
      <c r="C116" s="143">
        <f t="shared" si="14"/>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5"/>
        <v>8904.1666666666661</v>
      </c>
    </row>
    <row r="117" spans="1:9" x14ac:dyDescent="0.2">
      <c r="A117" s="86">
        <f t="shared" si="12"/>
        <v>2862</v>
      </c>
      <c r="B117" s="142">
        <f t="shared" si="13"/>
        <v>95</v>
      </c>
      <c r="C117" s="143">
        <f t="shared" si="14"/>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5"/>
        <v>8904.1666666666661</v>
      </c>
    </row>
    <row r="118" spans="1:9" x14ac:dyDescent="0.2">
      <c r="A118" s="86">
        <f t="shared" si="12"/>
        <v>2892</v>
      </c>
      <c r="B118" s="142">
        <f t="shared" si="13"/>
        <v>96</v>
      </c>
      <c r="C118" s="143">
        <f t="shared" si="14"/>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5"/>
        <v>8904.1666666666661</v>
      </c>
    </row>
    <row r="119" spans="1:9" x14ac:dyDescent="0.2">
      <c r="A119" s="86">
        <f t="shared" si="12"/>
        <v>2923</v>
      </c>
      <c r="B119" s="142">
        <f t="shared" si="13"/>
        <v>97</v>
      </c>
      <c r="C119" s="143">
        <f t="shared" si="14"/>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5"/>
        <v>8904.1666666666661</v>
      </c>
    </row>
    <row r="120" spans="1:9" x14ac:dyDescent="0.2">
      <c r="A120" s="86">
        <f t="shared" si="12"/>
        <v>2954</v>
      </c>
      <c r="B120" s="142">
        <f t="shared" si="13"/>
        <v>98</v>
      </c>
      <c r="C120" s="143">
        <f t="shared" si="14"/>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5"/>
        <v>8904.1666666666661</v>
      </c>
    </row>
    <row r="121" spans="1:9" x14ac:dyDescent="0.2">
      <c r="A121" s="86">
        <f t="shared" si="12"/>
        <v>2983</v>
      </c>
      <c r="B121" s="142">
        <f t="shared" si="13"/>
        <v>99</v>
      </c>
      <c r="C121" s="143">
        <f t="shared" si="14"/>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5"/>
        <v>8904.1666666666661</v>
      </c>
    </row>
    <row r="122" spans="1:9" x14ac:dyDescent="0.2">
      <c r="A122" s="86">
        <f t="shared" si="12"/>
        <v>3014</v>
      </c>
      <c r="B122" s="142">
        <f t="shared" si="13"/>
        <v>100</v>
      </c>
      <c r="C122" s="143">
        <f t="shared" si="14"/>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5"/>
        <v>8904.1666666666661</v>
      </c>
    </row>
    <row r="123" spans="1:9" x14ac:dyDescent="0.2">
      <c r="A123" s="86">
        <f t="shared" si="12"/>
        <v>3044</v>
      </c>
      <c r="B123" s="142">
        <f t="shared" si="13"/>
        <v>101</v>
      </c>
      <c r="C123" s="143">
        <f t="shared" si="14"/>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5"/>
        <v>8904.1666666666661</v>
      </c>
    </row>
    <row r="124" spans="1:9" x14ac:dyDescent="0.2">
      <c r="A124" s="86">
        <f t="shared" si="12"/>
        <v>3075</v>
      </c>
      <c r="B124" s="142">
        <f t="shared" si="13"/>
        <v>102</v>
      </c>
      <c r="C124" s="143">
        <f t="shared" si="14"/>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5"/>
        <v>8904.1666666666661</v>
      </c>
    </row>
    <row r="125" spans="1:9" x14ac:dyDescent="0.2">
      <c r="A125" s="86">
        <f t="shared" si="12"/>
        <v>3105</v>
      </c>
      <c r="B125" s="142">
        <f t="shared" si="13"/>
        <v>103</v>
      </c>
      <c r="C125" s="143">
        <f t="shared" si="14"/>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5"/>
        <v>8904.1666666666661</v>
      </c>
    </row>
    <row r="126" spans="1:9" x14ac:dyDescent="0.2">
      <c r="A126" s="86">
        <f t="shared" si="12"/>
        <v>3136</v>
      </c>
      <c r="B126" s="142">
        <f t="shared" si="13"/>
        <v>104</v>
      </c>
      <c r="C126" s="143">
        <f t="shared" si="14"/>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5"/>
        <v>8904.1666666666661</v>
      </c>
    </row>
    <row r="127" spans="1:9" x14ac:dyDescent="0.2">
      <c r="A127" s="86">
        <f t="shared" si="12"/>
        <v>3167</v>
      </c>
      <c r="B127" s="142">
        <f t="shared" si="13"/>
        <v>105</v>
      </c>
      <c r="C127" s="143">
        <f t="shared" si="14"/>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5"/>
        <v>8904.1666666666661</v>
      </c>
    </row>
    <row r="128" spans="1:9" x14ac:dyDescent="0.2">
      <c r="A128" s="86">
        <f t="shared" si="12"/>
        <v>3197</v>
      </c>
      <c r="B128" s="142">
        <f t="shared" si="13"/>
        <v>106</v>
      </c>
      <c r="C128" s="143">
        <f t="shared" si="14"/>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5"/>
        <v>8904.1666666666661</v>
      </c>
    </row>
    <row r="129" spans="1:9" x14ac:dyDescent="0.2">
      <c r="A129" s="86">
        <f t="shared" si="12"/>
        <v>3228</v>
      </c>
      <c r="B129" s="142">
        <f t="shared" si="13"/>
        <v>107</v>
      </c>
      <c r="C129" s="143">
        <f t="shared" si="14"/>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5"/>
        <v>8904.1666666666661</v>
      </c>
    </row>
    <row r="130" spans="1:9" x14ac:dyDescent="0.2">
      <c r="A130" s="86">
        <f t="shared" si="12"/>
        <v>3258</v>
      </c>
      <c r="B130" s="142">
        <f t="shared" si="13"/>
        <v>108</v>
      </c>
      <c r="C130" s="143">
        <f t="shared" si="14"/>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5"/>
        <v>8904.1666666666661</v>
      </c>
    </row>
    <row r="131" spans="1:9" x14ac:dyDescent="0.2">
      <c r="A131" s="86">
        <f t="shared" si="12"/>
        <v>3289</v>
      </c>
      <c r="B131" s="142">
        <f t="shared" si="13"/>
        <v>109</v>
      </c>
      <c r="C131" s="143">
        <f t="shared" si="14"/>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5"/>
        <v>8904.1666666666661</v>
      </c>
    </row>
    <row r="132" spans="1:9" x14ac:dyDescent="0.2">
      <c r="A132" s="86">
        <f t="shared" si="12"/>
        <v>3320</v>
      </c>
      <c r="B132" s="142">
        <f t="shared" si="13"/>
        <v>110</v>
      </c>
      <c r="C132" s="143">
        <f t="shared" si="14"/>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5"/>
        <v>8904.1666666666661</v>
      </c>
    </row>
    <row r="133" spans="1:9" x14ac:dyDescent="0.2">
      <c r="A133" s="86">
        <f t="shared" si="12"/>
        <v>3348</v>
      </c>
      <c r="B133" s="142">
        <f t="shared" si="13"/>
        <v>111</v>
      </c>
      <c r="C133" s="143">
        <f t="shared" si="14"/>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5"/>
        <v>8904.1666666666661</v>
      </c>
    </row>
    <row r="134" spans="1:9" x14ac:dyDescent="0.2">
      <c r="A134" s="86">
        <f t="shared" si="12"/>
        <v>3379</v>
      </c>
      <c r="B134" s="142">
        <f t="shared" si="13"/>
        <v>112</v>
      </c>
      <c r="C134" s="143">
        <f t="shared" si="14"/>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5"/>
        <v>8904.1666666666661</v>
      </c>
    </row>
    <row r="135" spans="1:9" x14ac:dyDescent="0.2">
      <c r="A135" s="86">
        <f t="shared" si="12"/>
        <v>3409</v>
      </c>
      <c r="B135" s="142">
        <f t="shared" si="13"/>
        <v>113</v>
      </c>
      <c r="C135" s="143">
        <f t="shared" si="14"/>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5"/>
        <v>8904.1666666666661</v>
      </c>
    </row>
    <row r="136" spans="1:9" x14ac:dyDescent="0.2">
      <c r="A136" s="86">
        <f t="shared" si="12"/>
        <v>3440</v>
      </c>
      <c r="B136" s="142">
        <f t="shared" si="13"/>
        <v>114</v>
      </c>
      <c r="C136" s="143">
        <f t="shared" si="14"/>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5"/>
        <v>8904.1666666666661</v>
      </c>
    </row>
    <row r="137" spans="1:9" x14ac:dyDescent="0.2">
      <c r="A137" s="86">
        <f t="shared" si="12"/>
        <v>3470</v>
      </c>
      <c r="B137" s="142">
        <f t="shared" si="13"/>
        <v>115</v>
      </c>
      <c r="C137" s="143">
        <f t="shared" si="14"/>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5"/>
        <v>8904.1666666666661</v>
      </c>
    </row>
    <row r="138" spans="1:9" x14ac:dyDescent="0.2">
      <c r="A138" s="86">
        <f t="shared" si="12"/>
        <v>3501</v>
      </c>
      <c r="B138" s="142">
        <f t="shared" si="13"/>
        <v>116</v>
      </c>
      <c r="C138" s="143">
        <f t="shared" si="14"/>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5"/>
        <v>8904.1666666666661</v>
      </c>
    </row>
    <row r="139" spans="1:9" x14ac:dyDescent="0.2">
      <c r="A139" s="86">
        <f t="shared" si="12"/>
        <v>3532</v>
      </c>
      <c r="B139" s="142">
        <f t="shared" si="13"/>
        <v>117</v>
      </c>
      <c r="C139" s="143">
        <f t="shared" si="14"/>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5"/>
        <v>8904.1666666666661</v>
      </c>
    </row>
    <row r="140" spans="1:9" x14ac:dyDescent="0.2">
      <c r="A140" s="86">
        <f t="shared" si="12"/>
        <v>3562</v>
      </c>
      <c r="B140" s="142">
        <f t="shared" si="13"/>
        <v>118</v>
      </c>
      <c r="C140" s="143">
        <f t="shared" si="14"/>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5"/>
        <v>8904.1666666666661</v>
      </c>
    </row>
    <row r="141" spans="1:9" x14ac:dyDescent="0.2">
      <c r="A141" s="86">
        <f t="shared" si="12"/>
        <v>3593</v>
      </c>
      <c r="B141" s="142">
        <f t="shared" si="13"/>
        <v>119</v>
      </c>
      <c r="C141" s="143">
        <f t="shared" si="14"/>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5"/>
        <v>8904.1666666666661</v>
      </c>
    </row>
    <row r="142" spans="1:9" x14ac:dyDescent="0.2">
      <c r="A142" s="86">
        <f t="shared" si="12"/>
        <v>3623</v>
      </c>
      <c r="B142" s="142">
        <f t="shared" si="13"/>
        <v>120</v>
      </c>
      <c r="C142" s="143">
        <f t="shared" si="14"/>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5"/>
        <v>8904.1666666666661</v>
      </c>
    </row>
    <row r="143" spans="1:9" x14ac:dyDescent="0.2">
      <c r="A143" s="86">
        <f t="shared" si="12"/>
        <v>3654</v>
      </c>
      <c r="B143" s="142">
        <f t="shared" si="13"/>
        <v>121</v>
      </c>
      <c r="C143" s="143">
        <f t="shared" si="14"/>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5"/>
        <v>8904.1666666666661</v>
      </c>
    </row>
    <row r="144" spans="1:9" x14ac:dyDescent="0.2">
      <c r="A144" s="86">
        <f t="shared" si="12"/>
        <v>3685</v>
      </c>
      <c r="B144" s="142">
        <f t="shared" si="13"/>
        <v>122</v>
      </c>
      <c r="C144" s="143">
        <f t="shared" si="14"/>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5"/>
        <v>8904.1666666666661</v>
      </c>
    </row>
    <row r="145" spans="1:9" x14ac:dyDescent="0.2">
      <c r="A145" s="86">
        <f t="shared" si="12"/>
        <v>3713</v>
      </c>
      <c r="B145" s="142">
        <f t="shared" si="13"/>
        <v>123</v>
      </c>
      <c r="C145" s="143">
        <f t="shared" si="14"/>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5"/>
        <v>8904.1666666666661</v>
      </c>
    </row>
    <row r="146" spans="1:9" x14ac:dyDescent="0.2">
      <c r="A146" s="86">
        <f t="shared" si="12"/>
        <v>3744</v>
      </c>
      <c r="B146" s="142">
        <f t="shared" si="13"/>
        <v>124</v>
      </c>
      <c r="C146" s="143">
        <f t="shared" si="14"/>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5"/>
        <v>8904.1666666666661</v>
      </c>
    </row>
    <row r="147" spans="1:9" x14ac:dyDescent="0.2">
      <c r="A147" s="86">
        <f t="shared" si="12"/>
        <v>3774</v>
      </c>
      <c r="B147" s="142">
        <f t="shared" ref="B147:B178" si="16">IF(B146="NA","NA",IF((B146+1)&gt;$B$9,"NA",B146+1))</f>
        <v>125</v>
      </c>
      <c r="C147" s="143">
        <f t="shared" ref="C147:C178" si="17">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8">IF(B147="NA","NA",SUM(D147:H147))</f>
        <v>8904.1666666666661</v>
      </c>
    </row>
    <row r="148" spans="1:9" x14ac:dyDescent="0.2">
      <c r="A148" s="86">
        <f t="shared" ref="A148:A211" si="19">IF(B148="NA","NA",DATE(YEAR(A147),MONTH(A147)+1,1))</f>
        <v>3805</v>
      </c>
      <c r="B148" s="142">
        <f t="shared" si="16"/>
        <v>126</v>
      </c>
      <c r="C148" s="143">
        <f t="shared" si="17"/>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8"/>
        <v>8904.1666666666661</v>
      </c>
    </row>
    <row r="149" spans="1:9" x14ac:dyDescent="0.2">
      <c r="A149" s="86">
        <f t="shared" si="19"/>
        <v>3835</v>
      </c>
      <c r="B149" s="142">
        <f t="shared" si="16"/>
        <v>127</v>
      </c>
      <c r="C149" s="143">
        <f t="shared" si="17"/>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8"/>
        <v>8904.1666666666661</v>
      </c>
    </row>
    <row r="150" spans="1:9" x14ac:dyDescent="0.2">
      <c r="A150" s="86">
        <f t="shared" si="19"/>
        <v>3866</v>
      </c>
      <c r="B150" s="142">
        <f t="shared" si="16"/>
        <v>128</v>
      </c>
      <c r="C150" s="143">
        <f t="shared" si="17"/>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8"/>
        <v>8904.1666666666661</v>
      </c>
    </row>
    <row r="151" spans="1:9" x14ac:dyDescent="0.2">
      <c r="A151" s="86">
        <f t="shared" si="19"/>
        <v>3897</v>
      </c>
      <c r="B151" s="142">
        <f t="shared" si="16"/>
        <v>129</v>
      </c>
      <c r="C151" s="143">
        <f t="shared" si="17"/>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8"/>
        <v>8904.1666666666661</v>
      </c>
    </row>
    <row r="152" spans="1:9" x14ac:dyDescent="0.2">
      <c r="A152" s="86">
        <f t="shared" si="19"/>
        <v>3927</v>
      </c>
      <c r="B152" s="142">
        <f t="shared" si="16"/>
        <v>130</v>
      </c>
      <c r="C152" s="143">
        <f t="shared" si="17"/>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8"/>
        <v>8904.1666666666661</v>
      </c>
    </row>
    <row r="153" spans="1:9" x14ac:dyDescent="0.2">
      <c r="A153" s="86">
        <f t="shared" si="19"/>
        <v>3958</v>
      </c>
      <c r="B153" s="142">
        <f t="shared" si="16"/>
        <v>131</v>
      </c>
      <c r="C153" s="143">
        <f t="shared" si="17"/>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8"/>
        <v>8904.1666666666661</v>
      </c>
    </row>
    <row r="154" spans="1:9" x14ac:dyDescent="0.2">
      <c r="A154" s="86">
        <f t="shared" si="19"/>
        <v>3988</v>
      </c>
      <c r="B154" s="142">
        <f t="shared" si="16"/>
        <v>132</v>
      </c>
      <c r="C154" s="143">
        <f t="shared" si="17"/>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8"/>
        <v>8904.1666666666661</v>
      </c>
    </row>
    <row r="155" spans="1:9" x14ac:dyDescent="0.2">
      <c r="A155" s="86">
        <f t="shared" si="19"/>
        <v>4019</v>
      </c>
      <c r="B155" s="142">
        <f t="shared" si="16"/>
        <v>133</v>
      </c>
      <c r="C155" s="143">
        <f t="shared" si="17"/>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8"/>
        <v>8904.1666666666661</v>
      </c>
    </row>
    <row r="156" spans="1:9" x14ac:dyDescent="0.2">
      <c r="A156" s="86">
        <f t="shared" si="19"/>
        <v>4050</v>
      </c>
      <c r="B156" s="142">
        <f t="shared" si="16"/>
        <v>134</v>
      </c>
      <c r="C156" s="143">
        <f t="shared" si="17"/>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8"/>
        <v>8904.1666666666661</v>
      </c>
    </row>
    <row r="157" spans="1:9" x14ac:dyDescent="0.2">
      <c r="A157" s="86">
        <f t="shared" si="19"/>
        <v>4078</v>
      </c>
      <c r="B157" s="142">
        <f t="shared" si="16"/>
        <v>135</v>
      </c>
      <c r="C157" s="143">
        <f t="shared" si="17"/>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8"/>
        <v>8904.1666666666661</v>
      </c>
    </row>
    <row r="158" spans="1:9" x14ac:dyDescent="0.2">
      <c r="A158" s="86">
        <f t="shared" si="19"/>
        <v>4109</v>
      </c>
      <c r="B158" s="142">
        <f t="shared" si="16"/>
        <v>136</v>
      </c>
      <c r="C158" s="143">
        <f t="shared" si="17"/>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8"/>
        <v>8904.1666666666661</v>
      </c>
    </row>
    <row r="159" spans="1:9" x14ac:dyDescent="0.2">
      <c r="A159" s="86">
        <f t="shared" si="19"/>
        <v>4139</v>
      </c>
      <c r="B159" s="142">
        <f t="shared" si="16"/>
        <v>137</v>
      </c>
      <c r="C159" s="143">
        <f t="shared" si="17"/>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8"/>
        <v>8904.1666666666661</v>
      </c>
    </row>
    <row r="160" spans="1:9" x14ac:dyDescent="0.2">
      <c r="A160" s="86">
        <f t="shared" si="19"/>
        <v>4170</v>
      </c>
      <c r="B160" s="142">
        <f t="shared" si="16"/>
        <v>138</v>
      </c>
      <c r="C160" s="143">
        <f t="shared" si="17"/>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8"/>
        <v>8904.1666666666661</v>
      </c>
    </row>
    <row r="161" spans="1:9" x14ac:dyDescent="0.2">
      <c r="A161" s="86">
        <f t="shared" si="19"/>
        <v>4200</v>
      </c>
      <c r="B161" s="142">
        <f t="shared" si="16"/>
        <v>139</v>
      </c>
      <c r="C161" s="143">
        <f t="shared" si="17"/>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8"/>
        <v>8904.1666666666661</v>
      </c>
    </row>
    <row r="162" spans="1:9" x14ac:dyDescent="0.2">
      <c r="A162" s="86">
        <f t="shared" si="19"/>
        <v>4231</v>
      </c>
      <c r="B162" s="142">
        <f t="shared" si="16"/>
        <v>140</v>
      </c>
      <c r="C162" s="143">
        <f t="shared" si="17"/>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8"/>
        <v>8904.1666666666661</v>
      </c>
    </row>
    <row r="163" spans="1:9" x14ac:dyDescent="0.2">
      <c r="A163" s="86">
        <f t="shared" si="19"/>
        <v>4262</v>
      </c>
      <c r="B163" s="142">
        <f t="shared" si="16"/>
        <v>141</v>
      </c>
      <c r="C163" s="143">
        <f t="shared" si="17"/>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8"/>
        <v>8904.1666666666661</v>
      </c>
    </row>
    <row r="164" spans="1:9" x14ac:dyDescent="0.2">
      <c r="A164" s="86">
        <f t="shared" si="19"/>
        <v>4292</v>
      </c>
      <c r="B164" s="142">
        <f t="shared" si="16"/>
        <v>142</v>
      </c>
      <c r="C164" s="143">
        <f t="shared" si="17"/>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8"/>
        <v>8904.1666666666661</v>
      </c>
    </row>
    <row r="165" spans="1:9" x14ac:dyDescent="0.2">
      <c r="A165" s="86">
        <f t="shared" si="19"/>
        <v>4323</v>
      </c>
      <c r="B165" s="142">
        <f t="shared" si="16"/>
        <v>143</v>
      </c>
      <c r="C165" s="143">
        <f t="shared" si="17"/>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8"/>
        <v>8904.1666666666661</v>
      </c>
    </row>
    <row r="166" spans="1:9" x14ac:dyDescent="0.2">
      <c r="A166" s="86">
        <f t="shared" si="19"/>
        <v>4353</v>
      </c>
      <c r="B166" s="142">
        <f t="shared" si="16"/>
        <v>144</v>
      </c>
      <c r="C166" s="143">
        <f t="shared" si="17"/>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8"/>
        <v>8904.1666666666661</v>
      </c>
    </row>
    <row r="167" spans="1:9" x14ac:dyDescent="0.2">
      <c r="A167" s="86">
        <f t="shared" si="19"/>
        <v>4384</v>
      </c>
      <c r="B167" s="142">
        <f t="shared" si="16"/>
        <v>145</v>
      </c>
      <c r="C167" s="143">
        <f t="shared" si="17"/>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8"/>
        <v>8904.1666666666661</v>
      </c>
    </row>
    <row r="168" spans="1:9" x14ac:dyDescent="0.2">
      <c r="A168" s="86">
        <f t="shared" si="19"/>
        <v>4415</v>
      </c>
      <c r="B168" s="142">
        <f t="shared" si="16"/>
        <v>146</v>
      </c>
      <c r="C168" s="143">
        <f t="shared" si="17"/>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8"/>
        <v>8904.1666666666661</v>
      </c>
    </row>
    <row r="169" spans="1:9" x14ac:dyDescent="0.2">
      <c r="A169" s="86">
        <f t="shared" si="19"/>
        <v>4444</v>
      </c>
      <c r="B169" s="142">
        <f t="shared" si="16"/>
        <v>147</v>
      </c>
      <c r="C169" s="143">
        <f t="shared" si="17"/>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8"/>
        <v>8904.1666666666661</v>
      </c>
    </row>
    <row r="170" spans="1:9" x14ac:dyDescent="0.2">
      <c r="A170" s="86">
        <f t="shared" si="19"/>
        <v>4475</v>
      </c>
      <c r="B170" s="142">
        <f t="shared" si="16"/>
        <v>148</v>
      </c>
      <c r="C170" s="143">
        <f t="shared" si="17"/>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8"/>
        <v>8904.1666666666661</v>
      </c>
    </row>
    <row r="171" spans="1:9" x14ac:dyDescent="0.2">
      <c r="A171" s="86">
        <f t="shared" si="19"/>
        <v>4505</v>
      </c>
      <c r="B171" s="142">
        <f t="shared" si="16"/>
        <v>149</v>
      </c>
      <c r="C171" s="143">
        <f t="shared" si="17"/>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8"/>
        <v>8904.1666666666661</v>
      </c>
    </row>
    <row r="172" spans="1:9" x14ac:dyDescent="0.2">
      <c r="A172" s="86">
        <f t="shared" si="19"/>
        <v>4536</v>
      </c>
      <c r="B172" s="142">
        <f t="shared" si="16"/>
        <v>150</v>
      </c>
      <c r="C172" s="143">
        <f t="shared" si="17"/>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8"/>
        <v>8904.1666666666661</v>
      </c>
    </row>
    <row r="173" spans="1:9" x14ac:dyDescent="0.2">
      <c r="A173" s="86">
        <f t="shared" si="19"/>
        <v>4566</v>
      </c>
      <c r="B173" s="142">
        <f t="shared" si="16"/>
        <v>151</v>
      </c>
      <c r="C173" s="143">
        <f t="shared" si="17"/>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8"/>
        <v>8904.1666666666661</v>
      </c>
    </row>
    <row r="174" spans="1:9" x14ac:dyDescent="0.2">
      <c r="A174" s="86">
        <f t="shared" si="19"/>
        <v>4597</v>
      </c>
      <c r="B174" s="142">
        <f t="shared" si="16"/>
        <v>152</v>
      </c>
      <c r="C174" s="143">
        <f t="shared" si="17"/>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8"/>
        <v>8904.1666666666661</v>
      </c>
    </row>
    <row r="175" spans="1:9" x14ac:dyDescent="0.2">
      <c r="A175" s="86">
        <f t="shared" si="19"/>
        <v>4628</v>
      </c>
      <c r="B175" s="142">
        <f t="shared" si="16"/>
        <v>153</v>
      </c>
      <c r="C175" s="143">
        <f t="shared" si="17"/>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8"/>
        <v>8904.1666666666661</v>
      </c>
    </row>
    <row r="176" spans="1:9" x14ac:dyDescent="0.2">
      <c r="A176" s="86">
        <f t="shared" si="19"/>
        <v>4658</v>
      </c>
      <c r="B176" s="142">
        <f t="shared" si="16"/>
        <v>154</v>
      </c>
      <c r="C176" s="143">
        <f t="shared" si="17"/>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8"/>
        <v>8904.1666666666661</v>
      </c>
    </row>
    <row r="177" spans="1:9" x14ac:dyDescent="0.2">
      <c r="A177" s="86">
        <f t="shared" si="19"/>
        <v>4689</v>
      </c>
      <c r="B177" s="142">
        <f t="shared" si="16"/>
        <v>155</v>
      </c>
      <c r="C177" s="143">
        <f t="shared" si="17"/>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8"/>
        <v>8904.1666666666661</v>
      </c>
    </row>
    <row r="178" spans="1:9" x14ac:dyDescent="0.2">
      <c r="A178" s="86">
        <f t="shared" si="19"/>
        <v>4719</v>
      </c>
      <c r="B178" s="142">
        <f t="shared" si="16"/>
        <v>156</v>
      </c>
      <c r="C178" s="143">
        <f t="shared" si="17"/>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8"/>
        <v>8904.1666666666661</v>
      </c>
    </row>
    <row r="179" spans="1:9" x14ac:dyDescent="0.2">
      <c r="A179" s="86">
        <f t="shared" si="19"/>
        <v>4750</v>
      </c>
      <c r="B179" s="142">
        <f t="shared" ref="B179:B210" si="20">IF(B178="NA","NA",IF((B178+1)&gt;$B$9,"NA",B178+1))</f>
        <v>157</v>
      </c>
      <c r="C179" s="143">
        <f t="shared" ref="C179:C210" si="21">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2">IF(B179="NA","NA",SUM(D179:H179))</f>
        <v>8904.1666666666661</v>
      </c>
    </row>
    <row r="180" spans="1:9" x14ac:dyDescent="0.2">
      <c r="A180" s="86">
        <f t="shared" si="19"/>
        <v>4781</v>
      </c>
      <c r="B180" s="142">
        <f t="shared" si="20"/>
        <v>158</v>
      </c>
      <c r="C180" s="143">
        <f t="shared" si="21"/>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2"/>
        <v>8904.1666666666661</v>
      </c>
    </row>
    <row r="181" spans="1:9" x14ac:dyDescent="0.2">
      <c r="A181" s="86">
        <f t="shared" si="19"/>
        <v>4809</v>
      </c>
      <c r="B181" s="142">
        <f t="shared" si="20"/>
        <v>159</v>
      </c>
      <c r="C181" s="143">
        <f t="shared" si="21"/>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2"/>
        <v>8904.1666666666661</v>
      </c>
    </row>
    <row r="182" spans="1:9" x14ac:dyDescent="0.2">
      <c r="A182" s="86">
        <f t="shared" si="19"/>
        <v>4840</v>
      </c>
      <c r="B182" s="142">
        <f t="shared" si="20"/>
        <v>160</v>
      </c>
      <c r="C182" s="143">
        <f t="shared" si="21"/>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2"/>
        <v>8904.1666666666661</v>
      </c>
    </row>
    <row r="183" spans="1:9" x14ac:dyDescent="0.2">
      <c r="A183" s="86">
        <f t="shared" si="19"/>
        <v>4870</v>
      </c>
      <c r="B183" s="142">
        <f t="shared" si="20"/>
        <v>161</v>
      </c>
      <c r="C183" s="143">
        <f t="shared" si="21"/>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2"/>
        <v>8904.1666666666661</v>
      </c>
    </row>
    <row r="184" spans="1:9" x14ac:dyDescent="0.2">
      <c r="A184" s="86">
        <f t="shared" si="19"/>
        <v>4901</v>
      </c>
      <c r="B184" s="142">
        <f t="shared" si="20"/>
        <v>162</v>
      </c>
      <c r="C184" s="143">
        <f t="shared" si="21"/>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2"/>
        <v>8904.1666666666661</v>
      </c>
    </row>
    <row r="185" spans="1:9" x14ac:dyDescent="0.2">
      <c r="A185" s="86">
        <f t="shared" si="19"/>
        <v>4931</v>
      </c>
      <c r="B185" s="142">
        <f t="shared" si="20"/>
        <v>163</v>
      </c>
      <c r="C185" s="143">
        <f t="shared" si="21"/>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2"/>
        <v>8904.1666666666661</v>
      </c>
    </row>
    <row r="186" spans="1:9" x14ac:dyDescent="0.2">
      <c r="A186" s="86">
        <f t="shared" si="19"/>
        <v>4962</v>
      </c>
      <c r="B186" s="142">
        <f t="shared" si="20"/>
        <v>164</v>
      </c>
      <c r="C186" s="143">
        <f t="shared" si="21"/>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2"/>
        <v>8904.1666666666661</v>
      </c>
    </row>
    <row r="187" spans="1:9" x14ac:dyDescent="0.2">
      <c r="A187" s="86">
        <f t="shared" si="19"/>
        <v>4993</v>
      </c>
      <c r="B187" s="142">
        <f t="shared" si="20"/>
        <v>165</v>
      </c>
      <c r="C187" s="143">
        <f t="shared" si="21"/>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2"/>
        <v>8904.1666666666661</v>
      </c>
    </row>
    <row r="188" spans="1:9" x14ac:dyDescent="0.2">
      <c r="A188" s="86">
        <f t="shared" si="19"/>
        <v>5023</v>
      </c>
      <c r="B188" s="142">
        <f t="shared" si="20"/>
        <v>166</v>
      </c>
      <c r="C188" s="143">
        <f t="shared" si="21"/>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2"/>
        <v>8904.1666666666661</v>
      </c>
    </row>
    <row r="189" spans="1:9" x14ac:dyDescent="0.2">
      <c r="A189" s="86">
        <f t="shared" si="19"/>
        <v>5054</v>
      </c>
      <c r="B189" s="142">
        <f t="shared" si="20"/>
        <v>167</v>
      </c>
      <c r="C189" s="143">
        <f t="shared" si="21"/>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2"/>
        <v>8904.1666666666661</v>
      </c>
    </row>
    <row r="190" spans="1:9" x14ac:dyDescent="0.2">
      <c r="A190" s="86">
        <f t="shared" si="19"/>
        <v>5084</v>
      </c>
      <c r="B190" s="142">
        <f t="shared" si="20"/>
        <v>168</v>
      </c>
      <c r="C190" s="143">
        <f t="shared" si="21"/>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2"/>
        <v>8904.1666666666661</v>
      </c>
    </row>
    <row r="191" spans="1:9" x14ac:dyDescent="0.2">
      <c r="A191" s="86">
        <f t="shared" si="19"/>
        <v>5115</v>
      </c>
      <c r="B191" s="142">
        <f t="shared" si="20"/>
        <v>169</v>
      </c>
      <c r="C191" s="143">
        <f t="shared" si="21"/>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2"/>
        <v>8904.1666666666661</v>
      </c>
    </row>
    <row r="192" spans="1:9" x14ac:dyDescent="0.2">
      <c r="A192" s="86">
        <f t="shared" si="19"/>
        <v>5146</v>
      </c>
      <c r="B192" s="142">
        <f t="shared" si="20"/>
        <v>170</v>
      </c>
      <c r="C192" s="143">
        <f t="shared" si="21"/>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2"/>
        <v>8904.1666666666661</v>
      </c>
    </row>
    <row r="193" spans="1:9" x14ac:dyDescent="0.2">
      <c r="A193" s="86">
        <f t="shared" si="19"/>
        <v>5174</v>
      </c>
      <c r="B193" s="142">
        <f t="shared" si="20"/>
        <v>171</v>
      </c>
      <c r="C193" s="143">
        <f t="shared" si="21"/>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2"/>
        <v>8904.1666666666661</v>
      </c>
    </row>
    <row r="194" spans="1:9" x14ac:dyDescent="0.2">
      <c r="A194" s="86">
        <f t="shared" si="19"/>
        <v>5205</v>
      </c>
      <c r="B194" s="142">
        <f t="shared" si="20"/>
        <v>172</v>
      </c>
      <c r="C194" s="143">
        <f t="shared" si="21"/>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2"/>
        <v>8904.1666666666661</v>
      </c>
    </row>
    <row r="195" spans="1:9" x14ac:dyDescent="0.2">
      <c r="A195" s="86">
        <f t="shared" si="19"/>
        <v>5235</v>
      </c>
      <c r="B195" s="142">
        <f t="shared" si="20"/>
        <v>173</v>
      </c>
      <c r="C195" s="143">
        <f t="shared" si="21"/>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2"/>
        <v>8904.1666666666661</v>
      </c>
    </row>
    <row r="196" spans="1:9" x14ac:dyDescent="0.2">
      <c r="A196" s="86">
        <f t="shared" si="19"/>
        <v>5266</v>
      </c>
      <c r="B196" s="142">
        <f t="shared" si="20"/>
        <v>174</v>
      </c>
      <c r="C196" s="143">
        <f t="shared" si="21"/>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2"/>
        <v>8904.1666666666661</v>
      </c>
    </row>
    <row r="197" spans="1:9" x14ac:dyDescent="0.2">
      <c r="A197" s="86">
        <f t="shared" si="19"/>
        <v>5296</v>
      </c>
      <c r="B197" s="142">
        <f t="shared" si="20"/>
        <v>175</v>
      </c>
      <c r="C197" s="143">
        <f t="shared" si="21"/>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2"/>
        <v>8904.1666666666661</v>
      </c>
    </row>
    <row r="198" spans="1:9" x14ac:dyDescent="0.2">
      <c r="A198" s="86">
        <f t="shared" si="19"/>
        <v>5327</v>
      </c>
      <c r="B198" s="142">
        <f t="shared" si="20"/>
        <v>176</v>
      </c>
      <c r="C198" s="143">
        <f t="shared" si="21"/>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2"/>
        <v>8904.1666666666661</v>
      </c>
    </row>
    <row r="199" spans="1:9" x14ac:dyDescent="0.2">
      <c r="A199" s="86">
        <f t="shared" si="19"/>
        <v>5358</v>
      </c>
      <c r="B199" s="142">
        <f t="shared" si="20"/>
        <v>177</v>
      </c>
      <c r="C199" s="143">
        <f t="shared" si="21"/>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2"/>
        <v>8904.1666666666661</v>
      </c>
    </row>
    <row r="200" spans="1:9" x14ac:dyDescent="0.2">
      <c r="A200" s="86">
        <f t="shared" si="19"/>
        <v>5388</v>
      </c>
      <c r="B200" s="142">
        <f t="shared" si="20"/>
        <v>178</v>
      </c>
      <c r="C200" s="143">
        <f t="shared" si="21"/>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2"/>
        <v>8904.1666666666661</v>
      </c>
    </row>
    <row r="201" spans="1:9" x14ac:dyDescent="0.2">
      <c r="A201" s="86">
        <f t="shared" si="19"/>
        <v>5419</v>
      </c>
      <c r="B201" s="142">
        <f t="shared" si="20"/>
        <v>179</v>
      </c>
      <c r="C201" s="143">
        <f t="shared" si="21"/>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2"/>
        <v>8904.1666666666661</v>
      </c>
    </row>
    <row r="202" spans="1:9" x14ac:dyDescent="0.2">
      <c r="A202" s="86">
        <f t="shared" si="19"/>
        <v>5449</v>
      </c>
      <c r="B202" s="142">
        <f t="shared" si="20"/>
        <v>180</v>
      </c>
      <c r="C202" s="143">
        <f t="shared" si="21"/>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2"/>
        <v>8904.1666666666661</v>
      </c>
    </row>
    <row r="203" spans="1:9" x14ac:dyDescent="0.2">
      <c r="A203" s="86">
        <f t="shared" si="19"/>
        <v>5480</v>
      </c>
      <c r="B203" s="142">
        <f t="shared" si="20"/>
        <v>181</v>
      </c>
      <c r="C203" s="143">
        <f t="shared" si="21"/>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2"/>
        <v>8904.1666666666661</v>
      </c>
    </row>
    <row r="204" spans="1:9" x14ac:dyDescent="0.2">
      <c r="A204" s="86">
        <f t="shared" si="19"/>
        <v>5511</v>
      </c>
      <c r="B204" s="142">
        <f t="shared" si="20"/>
        <v>182</v>
      </c>
      <c r="C204" s="143">
        <f t="shared" si="21"/>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2"/>
        <v>8904.1666666666661</v>
      </c>
    </row>
    <row r="205" spans="1:9" x14ac:dyDescent="0.2">
      <c r="A205" s="86">
        <f t="shared" si="19"/>
        <v>5539</v>
      </c>
      <c r="B205" s="142">
        <f t="shared" si="20"/>
        <v>183</v>
      </c>
      <c r="C205" s="143">
        <f t="shared" si="21"/>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2"/>
        <v>8904.1666666666661</v>
      </c>
    </row>
    <row r="206" spans="1:9" x14ac:dyDescent="0.2">
      <c r="A206" s="86">
        <f t="shared" si="19"/>
        <v>5570</v>
      </c>
      <c r="B206" s="142">
        <f t="shared" si="20"/>
        <v>184</v>
      </c>
      <c r="C206" s="143">
        <f t="shared" si="21"/>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2"/>
        <v>8904.1666666666661</v>
      </c>
    </row>
    <row r="207" spans="1:9" x14ac:dyDescent="0.2">
      <c r="A207" s="86">
        <f t="shared" si="19"/>
        <v>5600</v>
      </c>
      <c r="B207" s="142">
        <f t="shared" si="20"/>
        <v>185</v>
      </c>
      <c r="C207" s="143">
        <f t="shared" si="21"/>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2"/>
        <v>8904.1666666666661</v>
      </c>
    </row>
    <row r="208" spans="1:9" x14ac:dyDescent="0.2">
      <c r="A208" s="86">
        <f t="shared" si="19"/>
        <v>5631</v>
      </c>
      <c r="B208" s="142">
        <f t="shared" si="20"/>
        <v>186</v>
      </c>
      <c r="C208" s="143">
        <f t="shared" si="21"/>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2"/>
        <v>8904.1666666666661</v>
      </c>
    </row>
    <row r="209" spans="1:9" x14ac:dyDescent="0.2">
      <c r="A209" s="86">
        <f t="shared" si="19"/>
        <v>5661</v>
      </c>
      <c r="B209" s="142">
        <f t="shared" si="20"/>
        <v>187</v>
      </c>
      <c r="C209" s="143">
        <f t="shared" si="21"/>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2"/>
        <v>8904.1666666666661</v>
      </c>
    </row>
    <row r="210" spans="1:9" x14ac:dyDescent="0.2">
      <c r="A210" s="86">
        <f t="shared" si="19"/>
        <v>5692</v>
      </c>
      <c r="B210" s="142">
        <f t="shared" si="20"/>
        <v>188</v>
      </c>
      <c r="C210" s="143">
        <f t="shared" si="21"/>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2"/>
        <v>8904.1666666666661</v>
      </c>
    </row>
    <row r="211" spans="1:9" x14ac:dyDescent="0.2">
      <c r="A211" s="86">
        <f t="shared" si="19"/>
        <v>5723</v>
      </c>
      <c r="B211" s="142">
        <f t="shared" ref="B211:B242" si="23">IF(B210="NA","NA",IF((B210+1)&gt;$B$9,"NA",B210+1))</f>
        <v>189</v>
      </c>
      <c r="C211" s="143">
        <f t="shared" ref="C211:C242" si="24">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5">IF(B211="NA","NA",SUM(D211:H211))</f>
        <v>8904.1666666666661</v>
      </c>
    </row>
    <row r="212" spans="1:9" x14ac:dyDescent="0.2">
      <c r="A212" s="86">
        <f t="shared" ref="A212:A262" si="26">IF(B212="NA","NA",DATE(YEAR(A211),MONTH(A211)+1,1))</f>
        <v>5753</v>
      </c>
      <c r="B212" s="142">
        <f t="shared" si="23"/>
        <v>190</v>
      </c>
      <c r="C212" s="143">
        <f t="shared" si="24"/>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5"/>
        <v>8904.1666666666661</v>
      </c>
    </row>
    <row r="213" spans="1:9" x14ac:dyDescent="0.2">
      <c r="A213" s="86">
        <f t="shared" si="26"/>
        <v>5784</v>
      </c>
      <c r="B213" s="142">
        <f t="shared" si="23"/>
        <v>191</v>
      </c>
      <c r="C213" s="143">
        <f t="shared" si="24"/>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5"/>
        <v>8904.1666666666661</v>
      </c>
    </row>
    <row r="214" spans="1:9" x14ac:dyDescent="0.2">
      <c r="A214" s="86">
        <f t="shared" si="26"/>
        <v>5814</v>
      </c>
      <c r="B214" s="142">
        <f t="shared" si="23"/>
        <v>192</v>
      </c>
      <c r="C214" s="143">
        <f t="shared" si="24"/>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5"/>
        <v>8904.1666666666661</v>
      </c>
    </row>
    <row r="215" spans="1:9" x14ac:dyDescent="0.2">
      <c r="A215" s="86">
        <f t="shared" si="26"/>
        <v>5845</v>
      </c>
      <c r="B215" s="142">
        <f t="shared" si="23"/>
        <v>193</v>
      </c>
      <c r="C215" s="143">
        <f t="shared" si="24"/>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5"/>
        <v>8904.1666666666661</v>
      </c>
    </row>
    <row r="216" spans="1:9" x14ac:dyDescent="0.2">
      <c r="A216" s="86">
        <f t="shared" si="26"/>
        <v>5876</v>
      </c>
      <c r="B216" s="142">
        <f t="shared" si="23"/>
        <v>194</v>
      </c>
      <c r="C216" s="143">
        <f t="shared" si="24"/>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5"/>
        <v>8904.1666666666661</v>
      </c>
    </row>
    <row r="217" spans="1:9" x14ac:dyDescent="0.2">
      <c r="A217" s="86">
        <f t="shared" si="26"/>
        <v>5905</v>
      </c>
      <c r="B217" s="142">
        <f t="shared" si="23"/>
        <v>195</v>
      </c>
      <c r="C217" s="143">
        <f t="shared" si="24"/>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5"/>
        <v>8904.1666666666661</v>
      </c>
    </row>
    <row r="218" spans="1:9" x14ac:dyDescent="0.2">
      <c r="A218" s="86">
        <f t="shared" si="26"/>
        <v>5936</v>
      </c>
      <c r="B218" s="142">
        <f t="shared" si="23"/>
        <v>196</v>
      </c>
      <c r="C218" s="143">
        <f t="shared" si="24"/>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5"/>
        <v>8904.1666666666661</v>
      </c>
    </row>
    <row r="219" spans="1:9" x14ac:dyDescent="0.2">
      <c r="A219" s="86">
        <f t="shared" si="26"/>
        <v>5966</v>
      </c>
      <c r="B219" s="142">
        <f t="shared" si="23"/>
        <v>197</v>
      </c>
      <c r="C219" s="143">
        <f t="shared" si="24"/>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5"/>
        <v>8904.1666666666661</v>
      </c>
    </row>
    <row r="220" spans="1:9" x14ac:dyDescent="0.2">
      <c r="A220" s="86">
        <f t="shared" si="26"/>
        <v>5997</v>
      </c>
      <c r="B220" s="142">
        <f t="shared" si="23"/>
        <v>198</v>
      </c>
      <c r="C220" s="143">
        <f t="shared" si="24"/>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5"/>
        <v>8904.1666666666661</v>
      </c>
    </row>
    <row r="221" spans="1:9" x14ac:dyDescent="0.2">
      <c r="A221" s="86">
        <f t="shared" si="26"/>
        <v>6027</v>
      </c>
      <c r="B221" s="142">
        <f t="shared" si="23"/>
        <v>199</v>
      </c>
      <c r="C221" s="143">
        <f t="shared" si="24"/>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5"/>
        <v>8904.1666666666661</v>
      </c>
    </row>
    <row r="222" spans="1:9" x14ac:dyDescent="0.2">
      <c r="A222" s="86">
        <f t="shared" si="26"/>
        <v>6058</v>
      </c>
      <c r="B222" s="142">
        <f t="shared" si="23"/>
        <v>200</v>
      </c>
      <c r="C222" s="143">
        <f t="shared" si="24"/>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5"/>
        <v>8904.1666666666661</v>
      </c>
    </row>
    <row r="223" spans="1:9" x14ac:dyDescent="0.2">
      <c r="A223" s="86">
        <f t="shared" si="26"/>
        <v>6089</v>
      </c>
      <c r="B223" s="142">
        <f t="shared" si="23"/>
        <v>201</v>
      </c>
      <c r="C223" s="143">
        <f t="shared" si="24"/>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5"/>
        <v>8904.1666666666661</v>
      </c>
    </row>
    <row r="224" spans="1:9" x14ac:dyDescent="0.2">
      <c r="A224" s="86">
        <f t="shared" si="26"/>
        <v>6119</v>
      </c>
      <c r="B224" s="142">
        <f t="shared" si="23"/>
        <v>202</v>
      </c>
      <c r="C224" s="143">
        <f t="shared" si="24"/>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5"/>
        <v>8904.1666666666661</v>
      </c>
    </row>
    <row r="225" spans="1:9" x14ac:dyDescent="0.2">
      <c r="A225" s="86">
        <f t="shared" si="26"/>
        <v>6150</v>
      </c>
      <c r="B225" s="142">
        <f t="shared" si="23"/>
        <v>203</v>
      </c>
      <c r="C225" s="143">
        <f t="shared" si="24"/>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5"/>
        <v>8904.1666666666661</v>
      </c>
    </row>
    <row r="226" spans="1:9" x14ac:dyDescent="0.2">
      <c r="A226" s="86">
        <f t="shared" si="26"/>
        <v>6180</v>
      </c>
      <c r="B226" s="142">
        <f t="shared" si="23"/>
        <v>204</v>
      </c>
      <c r="C226" s="143">
        <f t="shared" si="24"/>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5"/>
        <v>8904.1666666666661</v>
      </c>
    </row>
    <row r="227" spans="1:9" x14ac:dyDescent="0.2">
      <c r="A227" s="86">
        <f t="shared" si="26"/>
        <v>6211</v>
      </c>
      <c r="B227" s="142">
        <f t="shared" si="23"/>
        <v>205</v>
      </c>
      <c r="C227" s="143">
        <f t="shared" si="24"/>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5"/>
        <v>8904.1666666666661</v>
      </c>
    </row>
    <row r="228" spans="1:9" x14ac:dyDescent="0.2">
      <c r="A228" s="86">
        <f t="shared" si="26"/>
        <v>6242</v>
      </c>
      <c r="B228" s="142">
        <f t="shared" si="23"/>
        <v>206</v>
      </c>
      <c r="C228" s="143">
        <f t="shared" si="24"/>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5"/>
        <v>8904.1666666666661</v>
      </c>
    </row>
    <row r="229" spans="1:9" x14ac:dyDescent="0.2">
      <c r="A229" s="86">
        <f t="shared" si="26"/>
        <v>6270</v>
      </c>
      <c r="B229" s="142">
        <f t="shared" si="23"/>
        <v>207</v>
      </c>
      <c r="C229" s="143">
        <f t="shared" si="24"/>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5"/>
        <v>8904.1666666666661</v>
      </c>
    </row>
    <row r="230" spans="1:9" x14ac:dyDescent="0.2">
      <c r="A230" s="86">
        <f t="shared" si="26"/>
        <v>6301</v>
      </c>
      <c r="B230" s="142">
        <f t="shared" si="23"/>
        <v>208</v>
      </c>
      <c r="C230" s="143">
        <f t="shared" si="24"/>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5"/>
        <v>8904.1666666666661</v>
      </c>
    </row>
    <row r="231" spans="1:9" x14ac:dyDescent="0.2">
      <c r="A231" s="86">
        <f t="shared" si="26"/>
        <v>6331</v>
      </c>
      <c r="B231" s="142">
        <f t="shared" si="23"/>
        <v>209</v>
      </c>
      <c r="C231" s="143">
        <f t="shared" si="24"/>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5"/>
        <v>8904.1666666666661</v>
      </c>
    </row>
    <row r="232" spans="1:9" x14ac:dyDescent="0.2">
      <c r="A232" s="86">
        <f t="shared" si="26"/>
        <v>6362</v>
      </c>
      <c r="B232" s="142">
        <f t="shared" si="23"/>
        <v>210</v>
      </c>
      <c r="C232" s="143">
        <f t="shared" si="24"/>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5"/>
        <v>8904.1666666666661</v>
      </c>
    </row>
    <row r="233" spans="1:9" x14ac:dyDescent="0.2">
      <c r="A233" s="86">
        <f t="shared" si="26"/>
        <v>6392</v>
      </c>
      <c r="B233" s="142">
        <f t="shared" si="23"/>
        <v>211</v>
      </c>
      <c r="C233" s="143">
        <f t="shared" si="24"/>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5"/>
        <v>8904.1666666666661</v>
      </c>
    </row>
    <row r="234" spans="1:9" x14ac:dyDescent="0.2">
      <c r="A234" s="86">
        <f t="shared" si="26"/>
        <v>6423</v>
      </c>
      <c r="B234" s="142">
        <f t="shared" si="23"/>
        <v>212</v>
      </c>
      <c r="C234" s="143">
        <f t="shared" si="24"/>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5"/>
        <v>8904.1666666666661</v>
      </c>
    </row>
    <row r="235" spans="1:9" x14ac:dyDescent="0.2">
      <c r="A235" s="86">
        <f t="shared" si="26"/>
        <v>6454</v>
      </c>
      <c r="B235" s="142">
        <f t="shared" si="23"/>
        <v>213</v>
      </c>
      <c r="C235" s="143">
        <f t="shared" si="24"/>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5"/>
        <v>8904.1666666666661</v>
      </c>
    </row>
    <row r="236" spans="1:9" x14ac:dyDescent="0.2">
      <c r="A236" s="86">
        <f t="shared" si="26"/>
        <v>6484</v>
      </c>
      <c r="B236" s="142">
        <f t="shared" si="23"/>
        <v>214</v>
      </c>
      <c r="C236" s="143">
        <f t="shared" si="24"/>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5"/>
        <v>8904.1666666666661</v>
      </c>
    </row>
    <row r="237" spans="1:9" x14ac:dyDescent="0.2">
      <c r="A237" s="86">
        <f t="shared" si="26"/>
        <v>6515</v>
      </c>
      <c r="B237" s="142">
        <f t="shared" si="23"/>
        <v>215</v>
      </c>
      <c r="C237" s="143">
        <f t="shared" si="24"/>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5"/>
        <v>8904.1666666666661</v>
      </c>
    </row>
    <row r="238" spans="1:9" x14ac:dyDescent="0.2">
      <c r="A238" s="86">
        <f t="shared" si="26"/>
        <v>6545</v>
      </c>
      <c r="B238" s="142">
        <f t="shared" si="23"/>
        <v>216</v>
      </c>
      <c r="C238" s="143">
        <f t="shared" si="24"/>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5"/>
        <v>8904.1666666666661</v>
      </c>
    </row>
    <row r="239" spans="1:9" x14ac:dyDescent="0.2">
      <c r="A239" s="86">
        <f t="shared" si="26"/>
        <v>6576</v>
      </c>
      <c r="B239" s="142">
        <f t="shared" si="23"/>
        <v>217</v>
      </c>
      <c r="C239" s="143">
        <f t="shared" si="24"/>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5"/>
        <v>8904.1666666666661</v>
      </c>
    </row>
    <row r="240" spans="1:9" x14ac:dyDescent="0.2">
      <c r="A240" s="86">
        <f t="shared" si="26"/>
        <v>6607</v>
      </c>
      <c r="B240" s="142">
        <f t="shared" si="23"/>
        <v>218</v>
      </c>
      <c r="C240" s="143">
        <f t="shared" si="24"/>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5"/>
        <v>8904.1666666666661</v>
      </c>
    </row>
    <row r="241" spans="1:9" x14ac:dyDescent="0.2">
      <c r="A241" s="86">
        <f t="shared" si="26"/>
        <v>6635</v>
      </c>
      <c r="B241" s="142">
        <f t="shared" si="23"/>
        <v>219</v>
      </c>
      <c r="C241" s="143">
        <f t="shared" si="24"/>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5"/>
        <v>8904.1666666666661</v>
      </c>
    </row>
    <row r="242" spans="1:9" x14ac:dyDescent="0.2">
      <c r="A242" s="86">
        <f t="shared" si="26"/>
        <v>6666</v>
      </c>
      <c r="B242" s="142">
        <f t="shared" si="23"/>
        <v>220</v>
      </c>
      <c r="C242" s="143">
        <f t="shared" si="24"/>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5"/>
        <v>8904.1666666666661</v>
      </c>
    </row>
    <row r="243" spans="1:9" x14ac:dyDescent="0.2">
      <c r="A243" s="86">
        <f t="shared" si="26"/>
        <v>6696</v>
      </c>
      <c r="B243" s="142">
        <f t="shared" ref="B243:B262" si="27">IF(B242="NA","NA",IF((B242+1)&gt;$B$9,"NA",B242+1))</f>
        <v>221</v>
      </c>
      <c r="C243" s="143">
        <f t="shared" ref="C243:C262" si="28">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9">IF(B243="NA","NA",SUM(D243:H243))</f>
        <v>8904.1666666666661</v>
      </c>
    </row>
    <row r="244" spans="1:9" x14ac:dyDescent="0.2">
      <c r="A244" s="86">
        <f t="shared" si="26"/>
        <v>6727</v>
      </c>
      <c r="B244" s="142">
        <f t="shared" si="27"/>
        <v>222</v>
      </c>
      <c r="C244" s="143">
        <f t="shared" si="28"/>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9"/>
        <v>8904.1666666666661</v>
      </c>
    </row>
    <row r="245" spans="1:9" x14ac:dyDescent="0.2">
      <c r="A245" s="86">
        <f t="shared" si="26"/>
        <v>6757</v>
      </c>
      <c r="B245" s="142">
        <f t="shared" si="27"/>
        <v>223</v>
      </c>
      <c r="C245" s="143">
        <f t="shared" si="28"/>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9"/>
        <v>8904.1666666666661</v>
      </c>
    </row>
    <row r="246" spans="1:9" x14ac:dyDescent="0.2">
      <c r="A246" s="86">
        <f t="shared" si="26"/>
        <v>6788</v>
      </c>
      <c r="B246" s="142">
        <f t="shared" si="27"/>
        <v>224</v>
      </c>
      <c r="C246" s="143">
        <f t="shared" si="28"/>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9"/>
        <v>8904.1666666666661</v>
      </c>
    </row>
    <row r="247" spans="1:9" x14ac:dyDescent="0.2">
      <c r="A247" s="86">
        <f t="shared" si="26"/>
        <v>6819</v>
      </c>
      <c r="B247" s="142">
        <f t="shared" si="27"/>
        <v>225</v>
      </c>
      <c r="C247" s="143">
        <f t="shared" si="28"/>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9"/>
        <v>8904.1666666666661</v>
      </c>
    </row>
    <row r="248" spans="1:9" x14ac:dyDescent="0.2">
      <c r="A248" s="86">
        <f t="shared" si="26"/>
        <v>6849</v>
      </c>
      <c r="B248" s="142">
        <f t="shared" si="27"/>
        <v>226</v>
      </c>
      <c r="C248" s="143">
        <f t="shared" si="28"/>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9"/>
        <v>8904.1666666666661</v>
      </c>
    </row>
    <row r="249" spans="1:9" x14ac:dyDescent="0.2">
      <c r="A249" s="86">
        <f t="shared" si="26"/>
        <v>6880</v>
      </c>
      <c r="B249" s="142">
        <f t="shared" si="27"/>
        <v>227</v>
      </c>
      <c r="C249" s="143">
        <f t="shared" si="28"/>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9"/>
        <v>8904.1666666666661</v>
      </c>
    </row>
    <row r="250" spans="1:9" x14ac:dyDescent="0.2">
      <c r="A250" s="86">
        <f t="shared" si="26"/>
        <v>6910</v>
      </c>
      <c r="B250" s="142">
        <f t="shared" si="27"/>
        <v>228</v>
      </c>
      <c r="C250" s="143">
        <f t="shared" si="28"/>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9"/>
        <v>8904.1666666666661</v>
      </c>
    </row>
    <row r="251" spans="1:9" x14ac:dyDescent="0.2">
      <c r="A251" s="86">
        <f t="shared" si="26"/>
        <v>6941</v>
      </c>
      <c r="B251" s="142">
        <f t="shared" si="27"/>
        <v>229</v>
      </c>
      <c r="C251" s="143">
        <f t="shared" si="28"/>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9"/>
        <v>8904.1666666666661</v>
      </c>
    </row>
    <row r="252" spans="1:9" x14ac:dyDescent="0.2">
      <c r="A252" s="86">
        <f t="shared" si="26"/>
        <v>6972</v>
      </c>
      <c r="B252" s="142">
        <f t="shared" si="27"/>
        <v>230</v>
      </c>
      <c r="C252" s="143">
        <f t="shared" si="28"/>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9"/>
        <v>8904.1666666666661</v>
      </c>
    </row>
    <row r="253" spans="1:9" x14ac:dyDescent="0.2">
      <c r="A253" s="86">
        <f t="shared" si="26"/>
        <v>7000</v>
      </c>
      <c r="B253" s="142">
        <f t="shared" si="27"/>
        <v>231</v>
      </c>
      <c r="C253" s="143">
        <f t="shared" si="28"/>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9"/>
        <v>8904.1666666666661</v>
      </c>
    </row>
    <row r="254" spans="1:9" x14ac:dyDescent="0.2">
      <c r="A254" s="86">
        <f t="shared" si="26"/>
        <v>7031</v>
      </c>
      <c r="B254" s="142">
        <f t="shared" si="27"/>
        <v>232</v>
      </c>
      <c r="C254" s="143">
        <f t="shared" si="28"/>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9"/>
        <v>8904.1666666666661</v>
      </c>
    </row>
    <row r="255" spans="1:9" x14ac:dyDescent="0.2">
      <c r="A255" s="86">
        <f t="shared" si="26"/>
        <v>7061</v>
      </c>
      <c r="B255" s="142">
        <f t="shared" si="27"/>
        <v>233</v>
      </c>
      <c r="C255" s="143">
        <f t="shared" si="28"/>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9"/>
        <v>8904.1666666666661</v>
      </c>
    </row>
    <row r="256" spans="1:9" x14ac:dyDescent="0.2">
      <c r="A256" s="86">
        <f t="shared" si="26"/>
        <v>7092</v>
      </c>
      <c r="B256" s="142">
        <f t="shared" si="27"/>
        <v>234</v>
      </c>
      <c r="C256" s="143">
        <f t="shared" si="28"/>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9"/>
        <v>8904.1666666666661</v>
      </c>
    </row>
    <row r="257" spans="1:9" x14ac:dyDescent="0.2">
      <c r="A257" s="86">
        <f t="shared" si="26"/>
        <v>7122</v>
      </c>
      <c r="B257" s="142">
        <f t="shared" si="27"/>
        <v>235</v>
      </c>
      <c r="C257" s="143">
        <f t="shared" si="28"/>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9"/>
        <v>8904.1666666666661</v>
      </c>
    </row>
    <row r="258" spans="1:9" x14ac:dyDescent="0.2">
      <c r="A258" s="86">
        <f t="shared" si="26"/>
        <v>7153</v>
      </c>
      <c r="B258" s="142">
        <f t="shared" si="27"/>
        <v>236</v>
      </c>
      <c r="C258" s="143">
        <f t="shared" si="28"/>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9"/>
        <v>8904.1666666666661</v>
      </c>
    </row>
    <row r="259" spans="1:9" x14ac:dyDescent="0.2">
      <c r="A259" s="86">
        <f t="shared" si="26"/>
        <v>7184</v>
      </c>
      <c r="B259" s="142">
        <f t="shared" si="27"/>
        <v>237</v>
      </c>
      <c r="C259" s="143">
        <f t="shared" si="28"/>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9"/>
        <v>8904.1666666666661</v>
      </c>
    </row>
    <row r="260" spans="1:9" x14ac:dyDescent="0.2">
      <c r="A260" s="86">
        <f t="shared" si="26"/>
        <v>7214</v>
      </c>
      <c r="B260" s="142">
        <f t="shared" si="27"/>
        <v>238</v>
      </c>
      <c r="C260" s="143">
        <f t="shared" si="28"/>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9"/>
        <v>8904.1666666666661</v>
      </c>
    </row>
    <row r="261" spans="1:9" x14ac:dyDescent="0.2">
      <c r="A261" s="86">
        <f t="shared" si="26"/>
        <v>7245</v>
      </c>
      <c r="B261" s="142">
        <f t="shared" si="27"/>
        <v>239</v>
      </c>
      <c r="C261" s="143">
        <f t="shared" si="28"/>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9"/>
        <v>8904.1666666666661</v>
      </c>
    </row>
    <row r="262" spans="1:9" x14ac:dyDescent="0.2">
      <c r="A262" s="87">
        <f t="shared" si="26"/>
        <v>7275</v>
      </c>
      <c r="B262" s="144">
        <f t="shared" si="27"/>
        <v>240</v>
      </c>
      <c r="C262" s="145">
        <f t="shared" si="28"/>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9"/>
        <v>8904.1666666666661</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5" type="noConversion"/>
  <conditionalFormatting sqref="A83:I262">
    <cfRule type="cellIs" dxfId="3"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2019 Tariff (AESO ID No. 2019-016T)
Filename: &amp;F — Page &amp;P of &amp;N&amp;R&amp;8Confidentiality: Proprietary When Competed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62"/>
  <sheetViews>
    <sheetView showGridLines="0" workbookViewId="0">
      <selection activeCell="A6" sqref="A6"/>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172</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t="s">
        <v>321</v>
      </c>
      <c r="C4" s="443" t="str">
        <f>ProjectName</f>
        <v>Project Name</v>
      </c>
      <c r="D4" s="443"/>
      <c r="E4" s="443"/>
      <c r="F4" s="443"/>
      <c r="G4" s="443"/>
      <c r="H4" s="108" t="s">
        <v>1</v>
      </c>
      <c r="I4" s="294">
        <f>'A1 Costs and Contract'!I11</f>
        <v>44197</v>
      </c>
    </row>
    <row r="5" spans="1:11" x14ac:dyDescent="0.2">
      <c r="A5"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 t="shared" ref="B11:B16" si="0">IF(A11=0,0,DAYS360(D11,E11)/30)</f>
        <v>0</v>
      </c>
      <c r="C11" s="515"/>
      <c r="D11" s="165">
        <f>IF(A11=0,0,DATE(YEAR('A1 Costs and Contract'!B49),MONTH('A1 Costs and Contract'!B49),1))</f>
        <v>0</v>
      </c>
      <c r="E11" s="166">
        <f t="shared" ref="E11:E16" si="1">IF(A11=0,0,E10)</f>
        <v>0</v>
      </c>
    </row>
    <row r="12" spans="1:11" x14ac:dyDescent="0.2">
      <c r="A12" s="13">
        <f>'A1 Costs and Contract'!A50</f>
        <v>0</v>
      </c>
      <c r="B12" s="515">
        <f t="shared" si="0"/>
        <v>0</v>
      </c>
      <c r="C12" s="515"/>
      <c r="D12" s="165">
        <f>IF(A12=0,0,DATE(YEAR('A1 Costs and Contract'!B50),MONTH('A1 Costs and Contract'!B50),1))</f>
        <v>0</v>
      </c>
      <c r="E12" s="166">
        <f t="shared" si="1"/>
        <v>0</v>
      </c>
    </row>
    <row r="13" spans="1:11" x14ac:dyDescent="0.2">
      <c r="A13" s="13">
        <f>'A1 Costs and Contract'!A51</f>
        <v>0</v>
      </c>
      <c r="B13" s="515">
        <f t="shared" si="0"/>
        <v>0</v>
      </c>
      <c r="C13" s="515"/>
      <c r="D13" s="165">
        <f>IF(A13=0,0,DATE(YEAR('A1 Costs and Contract'!B51),MONTH('A1 Costs and Contract'!B51),1))</f>
        <v>0</v>
      </c>
      <c r="E13" s="166">
        <f t="shared" si="1"/>
        <v>0</v>
      </c>
    </row>
    <row r="14" spans="1:11" x14ac:dyDescent="0.2">
      <c r="A14" s="13">
        <f>'A1 Costs and Contract'!A52</f>
        <v>0</v>
      </c>
      <c r="B14" s="515">
        <f t="shared" si="0"/>
        <v>0</v>
      </c>
      <c r="C14" s="515"/>
      <c r="D14" s="165">
        <f>IF(A14=0,0,DATE(YEAR('A1 Costs and Contract'!B52),MONTH('A1 Costs and Contract'!B52),1))</f>
        <v>0</v>
      </c>
      <c r="E14" s="166">
        <f t="shared" si="1"/>
        <v>0</v>
      </c>
    </row>
    <row r="15" spans="1:11" x14ac:dyDescent="0.2">
      <c r="A15" s="13">
        <f>'A1 Costs and Contract'!A53</f>
        <v>0</v>
      </c>
      <c r="B15" s="515">
        <f t="shared" si="0"/>
        <v>0</v>
      </c>
      <c r="C15" s="515"/>
      <c r="D15" s="165">
        <f>IF(A15=0,0,DATE(YEAR('A1 Costs and Contract'!B53),MONTH('A1 Costs and Contract'!B53),1))</f>
        <v>0</v>
      </c>
      <c r="E15" s="166">
        <f t="shared" si="1"/>
        <v>0</v>
      </c>
    </row>
    <row r="16" spans="1:11" x14ac:dyDescent="0.2">
      <c r="A16" s="13">
        <f>'A1 Costs and Contract'!A54</f>
        <v>0</v>
      </c>
      <c r="B16" s="515">
        <f t="shared" si="0"/>
        <v>0</v>
      </c>
      <c r="C16" s="515"/>
      <c r="D16" s="165">
        <f>IF(A16=0,0,DATE(YEAR('A1 Costs and Contract'!B54),MONTH('A1 Costs and Contract'!B54),1))</f>
        <v>0</v>
      </c>
      <c r="E16" s="166">
        <f t="shared" si="1"/>
        <v>0</v>
      </c>
    </row>
    <row r="17" spans="1:9" x14ac:dyDescent="0.2">
      <c r="A17" s="13"/>
      <c r="B17" s="515"/>
      <c r="C17" s="515"/>
      <c r="D17" s="165"/>
      <c r="E17" s="166"/>
    </row>
    <row r="18" spans="1:9" x14ac:dyDescent="0.2">
      <c r="A18" s="14"/>
      <c r="B18" s="517"/>
      <c r="C18" s="517"/>
      <c r="D18" s="167"/>
      <c r="E18" s="168"/>
    </row>
    <row r="19" spans="1:9" x14ac:dyDescent="0.2">
      <c r="A19" s="125"/>
      <c r="B19" s="126"/>
      <c r="C19" s="126"/>
      <c r="D19" s="126"/>
    </row>
    <row r="20" spans="1:9" x14ac:dyDescent="0.2">
      <c r="A20" s="484" t="s">
        <v>111</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2">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3">SUM(D23:H23)</f>
        <v>8904.1666666666661</v>
      </c>
    </row>
    <row r="24" spans="1:9" x14ac:dyDescent="0.2">
      <c r="A24" s="86">
        <f>DATE(YEAR(A23),MONTH(A23)+1,1)</f>
        <v>32</v>
      </c>
      <c r="B24" s="142">
        <f t="shared" ref="B24:B55" si="4">B23+1</f>
        <v>2</v>
      </c>
      <c r="C24" s="143">
        <f t="shared" si="2"/>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3"/>
        <v>8904.1666666666661</v>
      </c>
    </row>
    <row r="25" spans="1:9" x14ac:dyDescent="0.2">
      <c r="A25" s="86">
        <f t="shared" ref="A25:A82" si="5">DATE(YEAR(A24),MONTH(A24)+1,1)</f>
        <v>61</v>
      </c>
      <c r="B25" s="142">
        <f t="shared" si="4"/>
        <v>3</v>
      </c>
      <c r="C25" s="143">
        <f t="shared" si="2"/>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3"/>
        <v>8904.1666666666661</v>
      </c>
    </row>
    <row r="26" spans="1:9" x14ac:dyDescent="0.2">
      <c r="A26" s="86">
        <f t="shared" si="5"/>
        <v>92</v>
      </c>
      <c r="B26" s="142">
        <f t="shared" si="4"/>
        <v>4</v>
      </c>
      <c r="C26" s="143">
        <f t="shared" si="2"/>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3"/>
        <v>8904.1666666666661</v>
      </c>
    </row>
    <row r="27" spans="1:9" x14ac:dyDescent="0.2">
      <c r="A27" s="86">
        <f t="shared" si="5"/>
        <v>122</v>
      </c>
      <c r="B27" s="142">
        <f t="shared" si="4"/>
        <v>5</v>
      </c>
      <c r="C27" s="143">
        <f t="shared" si="2"/>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3"/>
        <v>8904.1666666666661</v>
      </c>
    </row>
    <row r="28" spans="1:9" x14ac:dyDescent="0.2">
      <c r="A28" s="86">
        <f t="shared" si="5"/>
        <v>153</v>
      </c>
      <c r="B28" s="142">
        <f t="shared" si="4"/>
        <v>6</v>
      </c>
      <c r="C28" s="143">
        <f t="shared" si="2"/>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3"/>
        <v>8904.1666666666661</v>
      </c>
    </row>
    <row r="29" spans="1:9" x14ac:dyDescent="0.2">
      <c r="A29" s="86">
        <f t="shared" si="5"/>
        <v>183</v>
      </c>
      <c r="B29" s="142">
        <f t="shared" si="4"/>
        <v>7</v>
      </c>
      <c r="C29" s="143">
        <f t="shared" si="2"/>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3"/>
        <v>8904.1666666666661</v>
      </c>
    </row>
    <row r="30" spans="1:9" x14ac:dyDescent="0.2">
      <c r="A30" s="86">
        <f t="shared" si="5"/>
        <v>214</v>
      </c>
      <c r="B30" s="142">
        <f t="shared" si="4"/>
        <v>8</v>
      </c>
      <c r="C30" s="143">
        <f t="shared" si="2"/>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3"/>
        <v>8904.1666666666661</v>
      </c>
    </row>
    <row r="31" spans="1:9" x14ac:dyDescent="0.2">
      <c r="A31" s="86">
        <f t="shared" si="5"/>
        <v>245</v>
      </c>
      <c r="B31" s="142">
        <f t="shared" si="4"/>
        <v>9</v>
      </c>
      <c r="C31" s="143">
        <f t="shared" si="2"/>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3"/>
        <v>8904.1666666666661</v>
      </c>
    </row>
    <row r="32" spans="1:9" x14ac:dyDescent="0.2">
      <c r="A32" s="86">
        <f t="shared" si="5"/>
        <v>275</v>
      </c>
      <c r="B32" s="142">
        <f t="shared" si="4"/>
        <v>10</v>
      </c>
      <c r="C32" s="143">
        <f t="shared" si="2"/>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3"/>
        <v>8904.1666666666661</v>
      </c>
    </row>
    <row r="33" spans="1:9" x14ac:dyDescent="0.2">
      <c r="A33" s="86">
        <f t="shared" si="5"/>
        <v>306</v>
      </c>
      <c r="B33" s="142">
        <f t="shared" si="4"/>
        <v>11</v>
      </c>
      <c r="C33" s="143">
        <f t="shared" si="2"/>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3"/>
        <v>8904.1666666666661</v>
      </c>
    </row>
    <row r="34" spans="1:9" x14ac:dyDescent="0.2">
      <c r="A34" s="86">
        <f t="shared" si="5"/>
        <v>336</v>
      </c>
      <c r="B34" s="142">
        <f t="shared" si="4"/>
        <v>12</v>
      </c>
      <c r="C34" s="143">
        <f t="shared" si="2"/>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3"/>
        <v>8904.1666666666661</v>
      </c>
    </row>
    <row r="35" spans="1:9" x14ac:dyDescent="0.2">
      <c r="A35" s="86">
        <f t="shared" si="5"/>
        <v>367</v>
      </c>
      <c r="B35" s="142">
        <f t="shared" si="4"/>
        <v>13</v>
      </c>
      <c r="C35" s="143">
        <f t="shared" si="2"/>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3"/>
        <v>8904.1666666666661</v>
      </c>
    </row>
    <row r="36" spans="1:9" x14ac:dyDescent="0.2">
      <c r="A36" s="86">
        <f t="shared" si="5"/>
        <v>398</v>
      </c>
      <c r="B36" s="142">
        <f t="shared" si="4"/>
        <v>14</v>
      </c>
      <c r="C36" s="143">
        <f t="shared" si="2"/>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3"/>
        <v>8904.1666666666661</v>
      </c>
    </row>
    <row r="37" spans="1:9" x14ac:dyDescent="0.2">
      <c r="A37" s="86">
        <f t="shared" si="5"/>
        <v>426</v>
      </c>
      <c r="B37" s="142">
        <f t="shared" si="4"/>
        <v>15</v>
      </c>
      <c r="C37" s="143">
        <f t="shared" si="2"/>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3"/>
        <v>8904.1666666666661</v>
      </c>
    </row>
    <row r="38" spans="1:9" x14ac:dyDescent="0.2">
      <c r="A38" s="86">
        <f t="shared" si="5"/>
        <v>457</v>
      </c>
      <c r="B38" s="142">
        <f t="shared" si="4"/>
        <v>16</v>
      </c>
      <c r="C38" s="143">
        <f t="shared" si="2"/>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3"/>
        <v>8904.1666666666661</v>
      </c>
    </row>
    <row r="39" spans="1:9" x14ac:dyDescent="0.2">
      <c r="A39" s="86">
        <f t="shared" si="5"/>
        <v>487</v>
      </c>
      <c r="B39" s="142">
        <f t="shared" si="4"/>
        <v>17</v>
      </c>
      <c r="C39" s="143">
        <f t="shared" si="2"/>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3"/>
        <v>8904.1666666666661</v>
      </c>
    </row>
    <row r="40" spans="1:9" x14ac:dyDescent="0.2">
      <c r="A40" s="86">
        <f t="shared" si="5"/>
        <v>518</v>
      </c>
      <c r="B40" s="142">
        <f t="shared" si="4"/>
        <v>18</v>
      </c>
      <c r="C40" s="143">
        <f t="shared" si="2"/>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3"/>
        <v>8904.1666666666661</v>
      </c>
    </row>
    <row r="41" spans="1:9" x14ac:dyDescent="0.2">
      <c r="A41" s="86">
        <f t="shared" si="5"/>
        <v>548</v>
      </c>
      <c r="B41" s="142">
        <f t="shared" si="4"/>
        <v>19</v>
      </c>
      <c r="C41" s="143">
        <f t="shared" si="2"/>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3"/>
        <v>8904.1666666666661</v>
      </c>
    </row>
    <row r="42" spans="1:9" x14ac:dyDescent="0.2">
      <c r="A42" s="86">
        <f t="shared" si="5"/>
        <v>579</v>
      </c>
      <c r="B42" s="142">
        <f t="shared" si="4"/>
        <v>20</v>
      </c>
      <c r="C42" s="143">
        <f t="shared" si="2"/>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3"/>
        <v>8904.1666666666661</v>
      </c>
    </row>
    <row r="43" spans="1:9" x14ac:dyDescent="0.2">
      <c r="A43" s="86">
        <f t="shared" si="5"/>
        <v>610</v>
      </c>
      <c r="B43" s="142">
        <f t="shared" si="4"/>
        <v>21</v>
      </c>
      <c r="C43" s="143">
        <f t="shared" si="2"/>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3"/>
        <v>8904.1666666666661</v>
      </c>
    </row>
    <row r="44" spans="1:9" x14ac:dyDescent="0.2">
      <c r="A44" s="86">
        <f t="shared" si="5"/>
        <v>640</v>
      </c>
      <c r="B44" s="142">
        <f t="shared" si="4"/>
        <v>22</v>
      </c>
      <c r="C44" s="143">
        <f t="shared" si="2"/>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3"/>
        <v>8904.1666666666661</v>
      </c>
    </row>
    <row r="45" spans="1:9" x14ac:dyDescent="0.2">
      <c r="A45" s="86">
        <f t="shared" si="5"/>
        <v>671</v>
      </c>
      <c r="B45" s="142">
        <f t="shared" si="4"/>
        <v>23</v>
      </c>
      <c r="C45" s="143">
        <f t="shared" si="2"/>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3"/>
        <v>8904.1666666666661</v>
      </c>
    </row>
    <row r="46" spans="1:9" x14ac:dyDescent="0.2">
      <c r="A46" s="86">
        <f t="shared" si="5"/>
        <v>701</v>
      </c>
      <c r="B46" s="142">
        <f t="shared" si="4"/>
        <v>24</v>
      </c>
      <c r="C46" s="143">
        <f t="shared" si="2"/>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3"/>
        <v>8904.1666666666661</v>
      </c>
    </row>
    <row r="47" spans="1:9" x14ac:dyDescent="0.2">
      <c r="A47" s="86">
        <f t="shared" si="5"/>
        <v>732</v>
      </c>
      <c r="B47" s="142">
        <f t="shared" si="4"/>
        <v>25</v>
      </c>
      <c r="C47" s="143">
        <f t="shared" si="2"/>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3"/>
        <v>8904.1666666666661</v>
      </c>
    </row>
    <row r="48" spans="1:9" x14ac:dyDescent="0.2">
      <c r="A48" s="86">
        <f t="shared" si="5"/>
        <v>763</v>
      </c>
      <c r="B48" s="142">
        <f t="shared" si="4"/>
        <v>26</v>
      </c>
      <c r="C48" s="143">
        <f t="shared" si="2"/>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3"/>
        <v>8904.1666666666661</v>
      </c>
    </row>
    <row r="49" spans="1:9" x14ac:dyDescent="0.2">
      <c r="A49" s="86">
        <f t="shared" si="5"/>
        <v>791</v>
      </c>
      <c r="B49" s="142">
        <f t="shared" si="4"/>
        <v>27</v>
      </c>
      <c r="C49" s="143">
        <f t="shared" si="2"/>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3"/>
        <v>8904.1666666666661</v>
      </c>
    </row>
    <row r="50" spans="1:9" x14ac:dyDescent="0.2">
      <c r="A50" s="86">
        <f t="shared" si="5"/>
        <v>822</v>
      </c>
      <c r="B50" s="142">
        <f t="shared" si="4"/>
        <v>28</v>
      </c>
      <c r="C50" s="143">
        <f t="shared" si="2"/>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3"/>
        <v>8904.1666666666661</v>
      </c>
    </row>
    <row r="51" spans="1:9" x14ac:dyDescent="0.2">
      <c r="A51" s="86">
        <f t="shared" si="5"/>
        <v>852</v>
      </c>
      <c r="B51" s="142">
        <f t="shared" si="4"/>
        <v>29</v>
      </c>
      <c r="C51" s="143">
        <f t="shared" si="2"/>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3"/>
        <v>8904.1666666666661</v>
      </c>
    </row>
    <row r="52" spans="1:9" x14ac:dyDescent="0.2">
      <c r="A52" s="86">
        <f t="shared" si="5"/>
        <v>883</v>
      </c>
      <c r="B52" s="142">
        <f t="shared" si="4"/>
        <v>30</v>
      </c>
      <c r="C52" s="143">
        <f t="shared" si="2"/>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3"/>
        <v>8904.1666666666661</v>
      </c>
    </row>
    <row r="53" spans="1:9" x14ac:dyDescent="0.2">
      <c r="A53" s="86">
        <f t="shared" si="5"/>
        <v>913</v>
      </c>
      <c r="B53" s="142">
        <f t="shared" si="4"/>
        <v>31</v>
      </c>
      <c r="C53" s="143">
        <f t="shared" si="2"/>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3"/>
        <v>8904.1666666666661</v>
      </c>
    </row>
    <row r="54" spans="1:9" x14ac:dyDescent="0.2">
      <c r="A54" s="86">
        <f t="shared" si="5"/>
        <v>944</v>
      </c>
      <c r="B54" s="142">
        <f t="shared" si="4"/>
        <v>32</v>
      </c>
      <c r="C54" s="143">
        <f t="shared" si="2"/>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3"/>
        <v>8904.1666666666661</v>
      </c>
    </row>
    <row r="55" spans="1:9" x14ac:dyDescent="0.2">
      <c r="A55" s="86">
        <f t="shared" si="5"/>
        <v>975</v>
      </c>
      <c r="B55" s="142">
        <f t="shared" si="4"/>
        <v>33</v>
      </c>
      <c r="C55" s="143">
        <f t="shared" ref="C55:C82" si="6">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7">SUM(D55:H55)</f>
        <v>8904.1666666666661</v>
      </c>
    </row>
    <row r="56" spans="1:9" x14ac:dyDescent="0.2">
      <c r="A56" s="86">
        <f t="shared" si="5"/>
        <v>1005</v>
      </c>
      <c r="B56" s="142">
        <f t="shared" ref="B56:B82" si="8">B55+1</f>
        <v>34</v>
      </c>
      <c r="C56" s="143">
        <f t="shared" si="6"/>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7"/>
        <v>8904.1666666666661</v>
      </c>
    </row>
    <row r="57" spans="1:9" x14ac:dyDescent="0.2">
      <c r="A57" s="86">
        <f t="shared" si="5"/>
        <v>1036</v>
      </c>
      <c r="B57" s="142">
        <f t="shared" si="8"/>
        <v>35</v>
      </c>
      <c r="C57" s="143">
        <f t="shared" si="6"/>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7"/>
        <v>8904.1666666666661</v>
      </c>
    </row>
    <row r="58" spans="1:9" x14ac:dyDescent="0.2">
      <c r="A58" s="86">
        <f t="shared" si="5"/>
        <v>1066</v>
      </c>
      <c r="B58" s="142">
        <f t="shared" si="8"/>
        <v>36</v>
      </c>
      <c r="C58" s="143">
        <f t="shared" si="6"/>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7"/>
        <v>8904.1666666666661</v>
      </c>
    </row>
    <row r="59" spans="1:9" x14ac:dyDescent="0.2">
      <c r="A59" s="86">
        <f t="shared" si="5"/>
        <v>1097</v>
      </c>
      <c r="B59" s="142">
        <f t="shared" si="8"/>
        <v>37</v>
      </c>
      <c r="C59" s="143">
        <f t="shared" si="6"/>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7"/>
        <v>8904.1666666666661</v>
      </c>
    </row>
    <row r="60" spans="1:9" x14ac:dyDescent="0.2">
      <c r="A60" s="86">
        <f t="shared" si="5"/>
        <v>1128</v>
      </c>
      <c r="B60" s="142">
        <f t="shared" si="8"/>
        <v>38</v>
      </c>
      <c r="C60" s="143">
        <f t="shared" si="6"/>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7"/>
        <v>8904.1666666666661</v>
      </c>
    </row>
    <row r="61" spans="1:9" x14ac:dyDescent="0.2">
      <c r="A61" s="86">
        <f t="shared" si="5"/>
        <v>1156</v>
      </c>
      <c r="B61" s="142">
        <f t="shared" si="8"/>
        <v>39</v>
      </c>
      <c r="C61" s="143">
        <f t="shared" si="6"/>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7"/>
        <v>8904.1666666666661</v>
      </c>
    </row>
    <row r="62" spans="1:9" x14ac:dyDescent="0.2">
      <c r="A62" s="86">
        <f t="shared" si="5"/>
        <v>1187</v>
      </c>
      <c r="B62" s="142">
        <f t="shared" si="8"/>
        <v>40</v>
      </c>
      <c r="C62" s="143">
        <f t="shared" si="6"/>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7"/>
        <v>8904.1666666666661</v>
      </c>
    </row>
    <row r="63" spans="1:9" x14ac:dyDescent="0.2">
      <c r="A63" s="86">
        <f t="shared" si="5"/>
        <v>1217</v>
      </c>
      <c r="B63" s="142">
        <f t="shared" si="8"/>
        <v>41</v>
      </c>
      <c r="C63" s="143">
        <f t="shared" si="6"/>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7"/>
        <v>8904.1666666666661</v>
      </c>
    </row>
    <row r="64" spans="1:9" x14ac:dyDescent="0.2">
      <c r="A64" s="86">
        <f t="shared" si="5"/>
        <v>1248</v>
      </c>
      <c r="B64" s="142">
        <f t="shared" si="8"/>
        <v>42</v>
      </c>
      <c r="C64" s="143">
        <f t="shared" si="6"/>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7"/>
        <v>8904.1666666666661</v>
      </c>
    </row>
    <row r="65" spans="1:9" x14ac:dyDescent="0.2">
      <c r="A65" s="86">
        <f t="shared" si="5"/>
        <v>1278</v>
      </c>
      <c r="B65" s="142">
        <f t="shared" si="8"/>
        <v>43</v>
      </c>
      <c r="C65" s="143">
        <f t="shared" si="6"/>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7"/>
        <v>8904.1666666666661</v>
      </c>
    </row>
    <row r="66" spans="1:9" x14ac:dyDescent="0.2">
      <c r="A66" s="86">
        <f t="shared" si="5"/>
        <v>1309</v>
      </c>
      <c r="B66" s="142">
        <f t="shared" si="8"/>
        <v>44</v>
      </c>
      <c r="C66" s="143">
        <f t="shared" si="6"/>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7"/>
        <v>8904.1666666666661</v>
      </c>
    </row>
    <row r="67" spans="1:9" x14ac:dyDescent="0.2">
      <c r="A67" s="86">
        <f t="shared" si="5"/>
        <v>1340</v>
      </c>
      <c r="B67" s="142">
        <f t="shared" si="8"/>
        <v>45</v>
      </c>
      <c r="C67" s="143">
        <f t="shared" si="6"/>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7"/>
        <v>8904.1666666666661</v>
      </c>
    </row>
    <row r="68" spans="1:9" x14ac:dyDescent="0.2">
      <c r="A68" s="86">
        <f t="shared" si="5"/>
        <v>1370</v>
      </c>
      <c r="B68" s="142">
        <f t="shared" si="8"/>
        <v>46</v>
      </c>
      <c r="C68" s="143">
        <f t="shared" si="6"/>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7"/>
        <v>8904.1666666666661</v>
      </c>
    </row>
    <row r="69" spans="1:9" x14ac:dyDescent="0.2">
      <c r="A69" s="86">
        <f t="shared" si="5"/>
        <v>1401</v>
      </c>
      <c r="B69" s="142">
        <f t="shared" si="8"/>
        <v>47</v>
      </c>
      <c r="C69" s="143">
        <f t="shared" si="6"/>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7"/>
        <v>8904.1666666666661</v>
      </c>
    </row>
    <row r="70" spans="1:9" x14ac:dyDescent="0.2">
      <c r="A70" s="86">
        <f t="shared" si="5"/>
        <v>1431</v>
      </c>
      <c r="B70" s="142">
        <f t="shared" si="8"/>
        <v>48</v>
      </c>
      <c r="C70" s="143">
        <f t="shared" si="6"/>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7"/>
        <v>8904.1666666666661</v>
      </c>
    </row>
    <row r="71" spans="1:9" x14ac:dyDescent="0.2">
      <c r="A71" s="86">
        <f t="shared" si="5"/>
        <v>1462</v>
      </c>
      <c r="B71" s="142">
        <f t="shared" si="8"/>
        <v>49</v>
      </c>
      <c r="C71" s="143">
        <f t="shared" si="6"/>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7"/>
        <v>8904.1666666666661</v>
      </c>
    </row>
    <row r="72" spans="1:9" x14ac:dyDescent="0.2">
      <c r="A72" s="86">
        <f t="shared" si="5"/>
        <v>1493</v>
      </c>
      <c r="B72" s="142">
        <f t="shared" si="8"/>
        <v>50</v>
      </c>
      <c r="C72" s="143">
        <f t="shared" si="6"/>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7"/>
        <v>8904.1666666666661</v>
      </c>
    </row>
    <row r="73" spans="1:9" x14ac:dyDescent="0.2">
      <c r="A73" s="86">
        <f t="shared" si="5"/>
        <v>1522</v>
      </c>
      <c r="B73" s="142">
        <f t="shared" si="8"/>
        <v>51</v>
      </c>
      <c r="C73" s="143">
        <f t="shared" si="6"/>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7"/>
        <v>8904.1666666666661</v>
      </c>
    </row>
    <row r="74" spans="1:9" x14ac:dyDescent="0.2">
      <c r="A74" s="86">
        <f t="shared" si="5"/>
        <v>1553</v>
      </c>
      <c r="B74" s="142">
        <f t="shared" si="8"/>
        <v>52</v>
      </c>
      <c r="C74" s="143">
        <f t="shared" si="6"/>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7"/>
        <v>8904.1666666666661</v>
      </c>
    </row>
    <row r="75" spans="1:9" x14ac:dyDescent="0.2">
      <c r="A75" s="86">
        <f t="shared" si="5"/>
        <v>1583</v>
      </c>
      <c r="B75" s="142">
        <f t="shared" si="8"/>
        <v>53</v>
      </c>
      <c r="C75" s="143">
        <f t="shared" si="6"/>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7"/>
        <v>8904.1666666666661</v>
      </c>
    </row>
    <row r="76" spans="1:9" x14ac:dyDescent="0.2">
      <c r="A76" s="86">
        <f t="shared" si="5"/>
        <v>1614</v>
      </c>
      <c r="B76" s="142">
        <f t="shared" si="8"/>
        <v>54</v>
      </c>
      <c r="C76" s="143">
        <f t="shared" si="6"/>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7"/>
        <v>8904.1666666666661</v>
      </c>
    </row>
    <row r="77" spans="1:9" x14ac:dyDescent="0.2">
      <c r="A77" s="86">
        <f t="shared" si="5"/>
        <v>1644</v>
      </c>
      <c r="B77" s="142">
        <f t="shared" si="8"/>
        <v>55</v>
      </c>
      <c r="C77" s="143">
        <f t="shared" si="6"/>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7"/>
        <v>8904.1666666666661</v>
      </c>
    </row>
    <row r="78" spans="1:9" x14ac:dyDescent="0.2">
      <c r="A78" s="86">
        <f t="shared" si="5"/>
        <v>1675</v>
      </c>
      <c r="B78" s="142">
        <f t="shared" si="8"/>
        <v>56</v>
      </c>
      <c r="C78" s="143">
        <f t="shared" si="6"/>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7"/>
        <v>8904.1666666666661</v>
      </c>
    </row>
    <row r="79" spans="1:9" x14ac:dyDescent="0.2">
      <c r="A79" s="86">
        <f t="shared" si="5"/>
        <v>1706</v>
      </c>
      <c r="B79" s="142">
        <f t="shared" si="8"/>
        <v>57</v>
      </c>
      <c r="C79" s="143">
        <f t="shared" si="6"/>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7"/>
        <v>8904.1666666666661</v>
      </c>
    </row>
    <row r="80" spans="1:9" x14ac:dyDescent="0.2">
      <c r="A80" s="86">
        <f t="shared" si="5"/>
        <v>1736</v>
      </c>
      <c r="B80" s="142">
        <f t="shared" si="8"/>
        <v>58</v>
      </c>
      <c r="C80" s="143">
        <f t="shared" si="6"/>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7"/>
        <v>8904.1666666666661</v>
      </c>
    </row>
    <row r="81" spans="1:9" x14ac:dyDescent="0.2">
      <c r="A81" s="86">
        <f t="shared" si="5"/>
        <v>1767</v>
      </c>
      <c r="B81" s="142">
        <f t="shared" si="8"/>
        <v>59</v>
      </c>
      <c r="C81" s="143">
        <f t="shared" si="6"/>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7"/>
        <v>8904.1666666666661</v>
      </c>
    </row>
    <row r="82" spans="1:9" x14ac:dyDescent="0.2">
      <c r="A82" s="86">
        <f t="shared" si="5"/>
        <v>1797</v>
      </c>
      <c r="B82" s="142">
        <f t="shared" si="8"/>
        <v>60</v>
      </c>
      <c r="C82" s="143">
        <f t="shared" si="6"/>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7"/>
        <v>8904.1666666666661</v>
      </c>
    </row>
    <row r="83" spans="1:9" x14ac:dyDescent="0.2">
      <c r="A83" s="86">
        <f>IF(B83="NA","NA",DATE(YEAR(A82),MONTH(A82)+1,1))</f>
        <v>1828</v>
      </c>
      <c r="B83" s="142">
        <f t="shared" ref="B83:B114" si="9">IF(B82="NA","NA",IF((B82+1)&gt;$B$9,"NA",B82+1))</f>
        <v>61</v>
      </c>
      <c r="C83" s="143">
        <f t="shared" ref="C83:C114" si="10">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11">IF(B83="NA","NA",SUM(D83:H83))</f>
        <v>8904.1666666666661</v>
      </c>
    </row>
    <row r="84" spans="1:9" x14ac:dyDescent="0.2">
      <c r="A84" s="86">
        <f t="shared" ref="A84:A147" si="12">IF(B84="NA","NA",DATE(YEAR(A83),MONTH(A83)+1,1))</f>
        <v>1859</v>
      </c>
      <c r="B84" s="142">
        <f t="shared" si="9"/>
        <v>62</v>
      </c>
      <c r="C84" s="143">
        <f t="shared" si="10"/>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11"/>
        <v>8904.1666666666661</v>
      </c>
    </row>
    <row r="85" spans="1:9" x14ac:dyDescent="0.2">
      <c r="A85" s="86">
        <f t="shared" si="12"/>
        <v>1887</v>
      </c>
      <c r="B85" s="142">
        <f t="shared" si="9"/>
        <v>63</v>
      </c>
      <c r="C85" s="143">
        <f t="shared" si="10"/>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11"/>
        <v>8904.1666666666661</v>
      </c>
    </row>
    <row r="86" spans="1:9" x14ac:dyDescent="0.2">
      <c r="A86" s="86">
        <f t="shared" si="12"/>
        <v>1918</v>
      </c>
      <c r="B86" s="142">
        <f t="shared" si="9"/>
        <v>64</v>
      </c>
      <c r="C86" s="143">
        <f t="shared" si="10"/>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11"/>
        <v>8904.1666666666661</v>
      </c>
    </row>
    <row r="87" spans="1:9" x14ac:dyDescent="0.2">
      <c r="A87" s="86">
        <f t="shared" si="12"/>
        <v>1948</v>
      </c>
      <c r="B87" s="142">
        <f t="shared" si="9"/>
        <v>65</v>
      </c>
      <c r="C87" s="143">
        <f t="shared" si="10"/>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11"/>
        <v>8904.1666666666661</v>
      </c>
    </row>
    <row r="88" spans="1:9" x14ac:dyDescent="0.2">
      <c r="A88" s="86">
        <f t="shared" si="12"/>
        <v>1979</v>
      </c>
      <c r="B88" s="142">
        <f t="shared" si="9"/>
        <v>66</v>
      </c>
      <c r="C88" s="143">
        <f t="shared" si="10"/>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11"/>
        <v>8904.1666666666661</v>
      </c>
    </row>
    <row r="89" spans="1:9" x14ac:dyDescent="0.2">
      <c r="A89" s="86">
        <f t="shared" si="12"/>
        <v>2009</v>
      </c>
      <c r="B89" s="142">
        <f t="shared" si="9"/>
        <v>67</v>
      </c>
      <c r="C89" s="143">
        <f t="shared" si="10"/>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11"/>
        <v>8904.1666666666661</v>
      </c>
    </row>
    <row r="90" spans="1:9" x14ac:dyDescent="0.2">
      <c r="A90" s="86">
        <f t="shared" si="12"/>
        <v>2040</v>
      </c>
      <c r="B90" s="142">
        <f t="shared" si="9"/>
        <v>68</v>
      </c>
      <c r="C90" s="143">
        <f t="shared" si="10"/>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11"/>
        <v>8904.1666666666661</v>
      </c>
    </row>
    <row r="91" spans="1:9" x14ac:dyDescent="0.2">
      <c r="A91" s="86">
        <f t="shared" si="12"/>
        <v>2071</v>
      </c>
      <c r="B91" s="142">
        <f t="shared" si="9"/>
        <v>69</v>
      </c>
      <c r="C91" s="143">
        <f t="shared" si="10"/>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11"/>
        <v>8904.1666666666661</v>
      </c>
    </row>
    <row r="92" spans="1:9" x14ac:dyDescent="0.2">
      <c r="A92" s="86">
        <f t="shared" si="12"/>
        <v>2101</v>
      </c>
      <c r="B92" s="142">
        <f t="shared" si="9"/>
        <v>70</v>
      </c>
      <c r="C92" s="143">
        <f t="shared" si="10"/>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11"/>
        <v>8904.1666666666661</v>
      </c>
    </row>
    <row r="93" spans="1:9" x14ac:dyDescent="0.2">
      <c r="A93" s="86">
        <f t="shared" si="12"/>
        <v>2132</v>
      </c>
      <c r="B93" s="142">
        <f t="shared" si="9"/>
        <v>71</v>
      </c>
      <c r="C93" s="143">
        <f t="shared" si="10"/>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11"/>
        <v>8904.1666666666661</v>
      </c>
    </row>
    <row r="94" spans="1:9" x14ac:dyDescent="0.2">
      <c r="A94" s="86">
        <f t="shared" si="12"/>
        <v>2162</v>
      </c>
      <c r="B94" s="142">
        <f t="shared" si="9"/>
        <v>72</v>
      </c>
      <c r="C94" s="143">
        <f t="shared" si="10"/>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11"/>
        <v>8904.1666666666661</v>
      </c>
    </row>
    <row r="95" spans="1:9" x14ac:dyDescent="0.2">
      <c r="A95" s="86">
        <f t="shared" si="12"/>
        <v>2193</v>
      </c>
      <c r="B95" s="142">
        <f t="shared" si="9"/>
        <v>73</v>
      </c>
      <c r="C95" s="143">
        <f t="shared" si="10"/>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11"/>
        <v>8904.1666666666661</v>
      </c>
    </row>
    <row r="96" spans="1:9" x14ac:dyDescent="0.2">
      <c r="A96" s="86">
        <f t="shared" si="12"/>
        <v>2224</v>
      </c>
      <c r="B96" s="142">
        <f t="shared" si="9"/>
        <v>74</v>
      </c>
      <c r="C96" s="143">
        <f t="shared" si="10"/>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11"/>
        <v>8904.1666666666661</v>
      </c>
    </row>
    <row r="97" spans="1:9" x14ac:dyDescent="0.2">
      <c r="A97" s="86">
        <f t="shared" si="12"/>
        <v>2252</v>
      </c>
      <c r="B97" s="142">
        <f t="shared" si="9"/>
        <v>75</v>
      </c>
      <c r="C97" s="143">
        <f t="shared" si="10"/>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11"/>
        <v>8904.1666666666661</v>
      </c>
    </row>
    <row r="98" spans="1:9" x14ac:dyDescent="0.2">
      <c r="A98" s="86">
        <f t="shared" si="12"/>
        <v>2283</v>
      </c>
      <c r="B98" s="142">
        <f t="shared" si="9"/>
        <v>76</v>
      </c>
      <c r="C98" s="143">
        <f t="shared" si="10"/>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11"/>
        <v>8904.1666666666661</v>
      </c>
    </row>
    <row r="99" spans="1:9" x14ac:dyDescent="0.2">
      <c r="A99" s="86">
        <f t="shared" si="12"/>
        <v>2313</v>
      </c>
      <c r="B99" s="142">
        <f t="shared" si="9"/>
        <v>77</v>
      </c>
      <c r="C99" s="143">
        <f t="shared" si="10"/>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11"/>
        <v>8904.1666666666661</v>
      </c>
    </row>
    <row r="100" spans="1:9" x14ac:dyDescent="0.2">
      <c r="A100" s="86">
        <f t="shared" si="12"/>
        <v>2344</v>
      </c>
      <c r="B100" s="142">
        <f t="shared" si="9"/>
        <v>78</v>
      </c>
      <c r="C100" s="143">
        <f t="shared" si="10"/>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11"/>
        <v>8904.1666666666661</v>
      </c>
    </row>
    <row r="101" spans="1:9" x14ac:dyDescent="0.2">
      <c r="A101" s="86">
        <f t="shared" si="12"/>
        <v>2374</v>
      </c>
      <c r="B101" s="142">
        <f t="shared" si="9"/>
        <v>79</v>
      </c>
      <c r="C101" s="143">
        <f t="shared" si="10"/>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11"/>
        <v>8904.1666666666661</v>
      </c>
    </row>
    <row r="102" spans="1:9" x14ac:dyDescent="0.2">
      <c r="A102" s="86">
        <f t="shared" si="12"/>
        <v>2405</v>
      </c>
      <c r="B102" s="142">
        <f t="shared" si="9"/>
        <v>80</v>
      </c>
      <c r="C102" s="143">
        <f t="shared" si="10"/>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11"/>
        <v>8904.1666666666661</v>
      </c>
    </row>
    <row r="103" spans="1:9" x14ac:dyDescent="0.2">
      <c r="A103" s="86">
        <f t="shared" si="12"/>
        <v>2436</v>
      </c>
      <c r="B103" s="142">
        <f t="shared" si="9"/>
        <v>81</v>
      </c>
      <c r="C103" s="143">
        <f t="shared" si="10"/>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11"/>
        <v>8904.1666666666661</v>
      </c>
    </row>
    <row r="104" spans="1:9" x14ac:dyDescent="0.2">
      <c r="A104" s="86">
        <f t="shared" si="12"/>
        <v>2466</v>
      </c>
      <c r="B104" s="142">
        <f t="shared" si="9"/>
        <v>82</v>
      </c>
      <c r="C104" s="143">
        <f t="shared" si="10"/>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11"/>
        <v>8904.1666666666661</v>
      </c>
    </row>
    <row r="105" spans="1:9" x14ac:dyDescent="0.2">
      <c r="A105" s="86">
        <f t="shared" si="12"/>
        <v>2497</v>
      </c>
      <c r="B105" s="142">
        <f t="shared" si="9"/>
        <v>83</v>
      </c>
      <c r="C105" s="143">
        <f t="shared" si="10"/>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11"/>
        <v>8904.1666666666661</v>
      </c>
    </row>
    <row r="106" spans="1:9" x14ac:dyDescent="0.2">
      <c r="A106" s="86">
        <f t="shared" si="12"/>
        <v>2527</v>
      </c>
      <c r="B106" s="142">
        <f t="shared" si="9"/>
        <v>84</v>
      </c>
      <c r="C106" s="143">
        <f t="shared" si="10"/>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11"/>
        <v>8904.1666666666661</v>
      </c>
    </row>
    <row r="107" spans="1:9" x14ac:dyDescent="0.2">
      <c r="A107" s="86">
        <f t="shared" si="12"/>
        <v>2558</v>
      </c>
      <c r="B107" s="142">
        <f t="shared" si="9"/>
        <v>85</v>
      </c>
      <c r="C107" s="143">
        <f t="shared" si="10"/>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11"/>
        <v>8904.1666666666661</v>
      </c>
    </row>
    <row r="108" spans="1:9" x14ac:dyDescent="0.2">
      <c r="A108" s="86">
        <f t="shared" si="12"/>
        <v>2589</v>
      </c>
      <c r="B108" s="142">
        <f t="shared" si="9"/>
        <v>86</v>
      </c>
      <c r="C108" s="143">
        <f t="shared" si="10"/>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11"/>
        <v>8904.1666666666661</v>
      </c>
    </row>
    <row r="109" spans="1:9" x14ac:dyDescent="0.2">
      <c r="A109" s="86">
        <f t="shared" si="12"/>
        <v>2617</v>
      </c>
      <c r="B109" s="142">
        <f t="shared" si="9"/>
        <v>87</v>
      </c>
      <c r="C109" s="143">
        <f t="shared" si="10"/>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11"/>
        <v>8904.1666666666661</v>
      </c>
    </row>
    <row r="110" spans="1:9" x14ac:dyDescent="0.2">
      <c r="A110" s="86">
        <f t="shared" si="12"/>
        <v>2648</v>
      </c>
      <c r="B110" s="142">
        <f t="shared" si="9"/>
        <v>88</v>
      </c>
      <c r="C110" s="143">
        <f t="shared" si="10"/>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11"/>
        <v>8904.1666666666661</v>
      </c>
    </row>
    <row r="111" spans="1:9" x14ac:dyDescent="0.2">
      <c r="A111" s="86">
        <f t="shared" si="12"/>
        <v>2678</v>
      </c>
      <c r="B111" s="142">
        <f t="shared" si="9"/>
        <v>89</v>
      </c>
      <c r="C111" s="143">
        <f t="shared" si="10"/>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11"/>
        <v>8904.1666666666661</v>
      </c>
    </row>
    <row r="112" spans="1:9" x14ac:dyDescent="0.2">
      <c r="A112" s="86">
        <f t="shared" si="12"/>
        <v>2709</v>
      </c>
      <c r="B112" s="142">
        <f t="shared" si="9"/>
        <v>90</v>
      </c>
      <c r="C112" s="143">
        <f t="shared" si="10"/>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11"/>
        <v>8904.1666666666661</v>
      </c>
    </row>
    <row r="113" spans="1:9" x14ac:dyDescent="0.2">
      <c r="A113" s="86">
        <f t="shared" si="12"/>
        <v>2739</v>
      </c>
      <c r="B113" s="142">
        <f t="shared" si="9"/>
        <v>91</v>
      </c>
      <c r="C113" s="143">
        <f t="shared" si="10"/>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11"/>
        <v>8904.1666666666661</v>
      </c>
    </row>
    <row r="114" spans="1:9" x14ac:dyDescent="0.2">
      <c r="A114" s="86">
        <f t="shared" si="12"/>
        <v>2770</v>
      </c>
      <c r="B114" s="142">
        <f t="shared" si="9"/>
        <v>92</v>
      </c>
      <c r="C114" s="143">
        <f t="shared" si="10"/>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11"/>
        <v>8904.1666666666661</v>
      </c>
    </row>
    <row r="115" spans="1:9" x14ac:dyDescent="0.2">
      <c r="A115" s="86">
        <f t="shared" si="12"/>
        <v>2801</v>
      </c>
      <c r="B115" s="142">
        <f t="shared" ref="B115:B146" si="13">IF(B114="NA","NA",IF((B114+1)&gt;$B$9,"NA",B114+1))</f>
        <v>93</v>
      </c>
      <c r="C115" s="143">
        <f t="shared" ref="C115:C146" si="14">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5">IF(B115="NA","NA",SUM(D115:H115))</f>
        <v>8904.1666666666661</v>
      </c>
    </row>
    <row r="116" spans="1:9" x14ac:dyDescent="0.2">
      <c r="A116" s="86">
        <f t="shared" si="12"/>
        <v>2831</v>
      </c>
      <c r="B116" s="142">
        <f t="shared" si="13"/>
        <v>94</v>
      </c>
      <c r="C116" s="143">
        <f t="shared" si="14"/>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5"/>
        <v>8904.1666666666661</v>
      </c>
    </row>
    <row r="117" spans="1:9" x14ac:dyDescent="0.2">
      <c r="A117" s="86">
        <f t="shared" si="12"/>
        <v>2862</v>
      </c>
      <c r="B117" s="142">
        <f t="shared" si="13"/>
        <v>95</v>
      </c>
      <c r="C117" s="143">
        <f t="shared" si="14"/>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5"/>
        <v>8904.1666666666661</v>
      </c>
    </row>
    <row r="118" spans="1:9" x14ac:dyDescent="0.2">
      <c r="A118" s="86">
        <f t="shared" si="12"/>
        <v>2892</v>
      </c>
      <c r="B118" s="142">
        <f t="shared" si="13"/>
        <v>96</v>
      </c>
      <c r="C118" s="143">
        <f t="shared" si="14"/>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5"/>
        <v>8904.1666666666661</v>
      </c>
    </row>
    <row r="119" spans="1:9" x14ac:dyDescent="0.2">
      <c r="A119" s="86">
        <f t="shared" si="12"/>
        <v>2923</v>
      </c>
      <c r="B119" s="142">
        <f t="shared" si="13"/>
        <v>97</v>
      </c>
      <c r="C119" s="143">
        <f t="shared" si="14"/>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5"/>
        <v>8904.1666666666661</v>
      </c>
    </row>
    <row r="120" spans="1:9" x14ac:dyDescent="0.2">
      <c r="A120" s="86">
        <f t="shared" si="12"/>
        <v>2954</v>
      </c>
      <c r="B120" s="142">
        <f t="shared" si="13"/>
        <v>98</v>
      </c>
      <c r="C120" s="143">
        <f t="shared" si="14"/>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5"/>
        <v>8904.1666666666661</v>
      </c>
    </row>
    <row r="121" spans="1:9" x14ac:dyDescent="0.2">
      <c r="A121" s="86">
        <f t="shared" si="12"/>
        <v>2983</v>
      </c>
      <c r="B121" s="142">
        <f t="shared" si="13"/>
        <v>99</v>
      </c>
      <c r="C121" s="143">
        <f t="shared" si="14"/>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5"/>
        <v>8904.1666666666661</v>
      </c>
    </row>
    <row r="122" spans="1:9" x14ac:dyDescent="0.2">
      <c r="A122" s="86">
        <f t="shared" si="12"/>
        <v>3014</v>
      </c>
      <c r="B122" s="142">
        <f t="shared" si="13"/>
        <v>100</v>
      </c>
      <c r="C122" s="143">
        <f t="shared" si="14"/>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5"/>
        <v>8904.1666666666661</v>
      </c>
    </row>
    <row r="123" spans="1:9" x14ac:dyDescent="0.2">
      <c r="A123" s="86">
        <f t="shared" si="12"/>
        <v>3044</v>
      </c>
      <c r="B123" s="142">
        <f t="shared" si="13"/>
        <v>101</v>
      </c>
      <c r="C123" s="143">
        <f t="shared" si="14"/>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5"/>
        <v>8904.1666666666661</v>
      </c>
    </row>
    <row r="124" spans="1:9" x14ac:dyDescent="0.2">
      <c r="A124" s="86">
        <f t="shared" si="12"/>
        <v>3075</v>
      </c>
      <c r="B124" s="142">
        <f t="shared" si="13"/>
        <v>102</v>
      </c>
      <c r="C124" s="143">
        <f t="shared" si="14"/>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5"/>
        <v>8904.1666666666661</v>
      </c>
    </row>
    <row r="125" spans="1:9" x14ac:dyDescent="0.2">
      <c r="A125" s="86">
        <f t="shared" si="12"/>
        <v>3105</v>
      </c>
      <c r="B125" s="142">
        <f t="shared" si="13"/>
        <v>103</v>
      </c>
      <c r="C125" s="143">
        <f t="shared" si="14"/>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5"/>
        <v>8904.1666666666661</v>
      </c>
    </row>
    <row r="126" spans="1:9" x14ac:dyDescent="0.2">
      <c r="A126" s="86">
        <f t="shared" si="12"/>
        <v>3136</v>
      </c>
      <c r="B126" s="142">
        <f t="shared" si="13"/>
        <v>104</v>
      </c>
      <c r="C126" s="143">
        <f t="shared" si="14"/>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5"/>
        <v>8904.1666666666661</v>
      </c>
    </row>
    <row r="127" spans="1:9" x14ac:dyDescent="0.2">
      <c r="A127" s="86">
        <f t="shared" si="12"/>
        <v>3167</v>
      </c>
      <c r="B127" s="142">
        <f t="shared" si="13"/>
        <v>105</v>
      </c>
      <c r="C127" s="143">
        <f t="shared" si="14"/>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5"/>
        <v>8904.1666666666661</v>
      </c>
    </row>
    <row r="128" spans="1:9" x14ac:dyDescent="0.2">
      <c r="A128" s="86">
        <f t="shared" si="12"/>
        <v>3197</v>
      </c>
      <c r="B128" s="142">
        <f t="shared" si="13"/>
        <v>106</v>
      </c>
      <c r="C128" s="143">
        <f t="shared" si="14"/>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5"/>
        <v>8904.1666666666661</v>
      </c>
    </row>
    <row r="129" spans="1:9" x14ac:dyDescent="0.2">
      <c r="A129" s="86">
        <f t="shared" si="12"/>
        <v>3228</v>
      </c>
      <c r="B129" s="142">
        <f t="shared" si="13"/>
        <v>107</v>
      </c>
      <c r="C129" s="143">
        <f t="shared" si="14"/>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5"/>
        <v>8904.1666666666661</v>
      </c>
    </row>
    <row r="130" spans="1:9" x14ac:dyDescent="0.2">
      <c r="A130" s="86">
        <f t="shared" si="12"/>
        <v>3258</v>
      </c>
      <c r="B130" s="142">
        <f t="shared" si="13"/>
        <v>108</v>
      </c>
      <c r="C130" s="143">
        <f t="shared" si="14"/>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5"/>
        <v>8904.1666666666661</v>
      </c>
    </row>
    <row r="131" spans="1:9" x14ac:dyDescent="0.2">
      <c r="A131" s="86">
        <f t="shared" si="12"/>
        <v>3289</v>
      </c>
      <c r="B131" s="142">
        <f t="shared" si="13"/>
        <v>109</v>
      </c>
      <c r="C131" s="143">
        <f t="shared" si="14"/>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5"/>
        <v>8904.1666666666661</v>
      </c>
    </row>
    <row r="132" spans="1:9" x14ac:dyDescent="0.2">
      <c r="A132" s="86">
        <f t="shared" si="12"/>
        <v>3320</v>
      </c>
      <c r="B132" s="142">
        <f t="shared" si="13"/>
        <v>110</v>
      </c>
      <c r="C132" s="143">
        <f t="shared" si="14"/>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5"/>
        <v>8904.1666666666661</v>
      </c>
    </row>
    <row r="133" spans="1:9" x14ac:dyDescent="0.2">
      <c r="A133" s="86">
        <f t="shared" si="12"/>
        <v>3348</v>
      </c>
      <c r="B133" s="142">
        <f t="shared" si="13"/>
        <v>111</v>
      </c>
      <c r="C133" s="143">
        <f t="shared" si="14"/>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5"/>
        <v>8904.1666666666661</v>
      </c>
    </row>
    <row r="134" spans="1:9" x14ac:dyDescent="0.2">
      <c r="A134" s="86">
        <f t="shared" si="12"/>
        <v>3379</v>
      </c>
      <c r="B134" s="142">
        <f t="shared" si="13"/>
        <v>112</v>
      </c>
      <c r="C134" s="143">
        <f t="shared" si="14"/>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5"/>
        <v>8904.1666666666661</v>
      </c>
    </row>
    <row r="135" spans="1:9" x14ac:dyDescent="0.2">
      <c r="A135" s="86">
        <f t="shared" si="12"/>
        <v>3409</v>
      </c>
      <c r="B135" s="142">
        <f t="shared" si="13"/>
        <v>113</v>
      </c>
      <c r="C135" s="143">
        <f t="shared" si="14"/>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5"/>
        <v>8904.1666666666661</v>
      </c>
    </row>
    <row r="136" spans="1:9" x14ac:dyDescent="0.2">
      <c r="A136" s="86">
        <f t="shared" si="12"/>
        <v>3440</v>
      </c>
      <c r="B136" s="142">
        <f t="shared" si="13"/>
        <v>114</v>
      </c>
      <c r="C136" s="143">
        <f t="shared" si="14"/>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5"/>
        <v>8904.1666666666661</v>
      </c>
    </row>
    <row r="137" spans="1:9" x14ac:dyDescent="0.2">
      <c r="A137" s="86">
        <f t="shared" si="12"/>
        <v>3470</v>
      </c>
      <c r="B137" s="142">
        <f t="shared" si="13"/>
        <v>115</v>
      </c>
      <c r="C137" s="143">
        <f t="shared" si="14"/>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5"/>
        <v>8904.1666666666661</v>
      </c>
    </row>
    <row r="138" spans="1:9" x14ac:dyDescent="0.2">
      <c r="A138" s="86">
        <f t="shared" si="12"/>
        <v>3501</v>
      </c>
      <c r="B138" s="142">
        <f t="shared" si="13"/>
        <v>116</v>
      </c>
      <c r="C138" s="143">
        <f t="shared" si="14"/>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5"/>
        <v>8904.1666666666661</v>
      </c>
    </row>
    <row r="139" spans="1:9" x14ac:dyDescent="0.2">
      <c r="A139" s="86">
        <f t="shared" si="12"/>
        <v>3532</v>
      </c>
      <c r="B139" s="142">
        <f t="shared" si="13"/>
        <v>117</v>
      </c>
      <c r="C139" s="143">
        <f t="shared" si="14"/>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5"/>
        <v>8904.1666666666661</v>
      </c>
    </row>
    <row r="140" spans="1:9" x14ac:dyDescent="0.2">
      <c r="A140" s="86">
        <f t="shared" si="12"/>
        <v>3562</v>
      </c>
      <c r="B140" s="142">
        <f t="shared" si="13"/>
        <v>118</v>
      </c>
      <c r="C140" s="143">
        <f t="shared" si="14"/>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5"/>
        <v>8904.1666666666661</v>
      </c>
    </row>
    <row r="141" spans="1:9" x14ac:dyDescent="0.2">
      <c r="A141" s="86">
        <f t="shared" si="12"/>
        <v>3593</v>
      </c>
      <c r="B141" s="142">
        <f t="shared" si="13"/>
        <v>119</v>
      </c>
      <c r="C141" s="143">
        <f t="shared" si="14"/>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5"/>
        <v>8904.1666666666661</v>
      </c>
    </row>
    <row r="142" spans="1:9" x14ac:dyDescent="0.2">
      <c r="A142" s="86">
        <f t="shared" si="12"/>
        <v>3623</v>
      </c>
      <c r="B142" s="142">
        <f t="shared" si="13"/>
        <v>120</v>
      </c>
      <c r="C142" s="143">
        <f t="shared" si="14"/>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5"/>
        <v>8904.1666666666661</v>
      </c>
    </row>
    <row r="143" spans="1:9" x14ac:dyDescent="0.2">
      <c r="A143" s="86">
        <f t="shared" si="12"/>
        <v>3654</v>
      </c>
      <c r="B143" s="142">
        <f t="shared" si="13"/>
        <v>121</v>
      </c>
      <c r="C143" s="143">
        <f t="shared" si="14"/>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5"/>
        <v>8904.1666666666661</v>
      </c>
    </row>
    <row r="144" spans="1:9" x14ac:dyDescent="0.2">
      <c r="A144" s="86">
        <f t="shared" si="12"/>
        <v>3685</v>
      </c>
      <c r="B144" s="142">
        <f t="shared" si="13"/>
        <v>122</v>
      </c>
      <c r="C144" s="143">
        <f t="shared" si="14"/>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5"/>
        <v>8904.1666666666661</v>
      </c>
    </row>
    <row r="145" spans="1:9" x14ac:dyDescent="0.2">
      <c r="A145" s="86">
        <f t="shared" si="12"/>
        <v>3713</v>
      </c>
      <c r="B145" s="142">
        <f t="shared" si="13"/>
        <v>123</v>
      </c>
      <c r="C145" s="143">
        <f t="shared" si="14"/>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5"/>
        <v>8904.1666666666661</v>
      </c>
    </row>
    <row r="146" spans="1:9" x14ac:dyDescent="0.2">
      <c r="A146" s="86">
        <f t="shared" si="12"/>
        <v>3744</v>
      </c>
      <c r="B146" s="142">
        <f t="shared" si="13"/>
        <v>124</v>
      </c>
      <c r="C146" s="143">
        <f t="shared" si="14"/>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5"/>
        <v>8904.1666666666661</v>
      </c>
    </row>
    <row r="147" spans="1:9" x14ac:dyDescent="0.2">
      <c r="A147" s="86">
        <f t="shared" si="12"/>
        <v>3774</v>
      </c>
      <c r="B147" s="142">
        <f t="shared" ref="B147:B178" si="16">IF(B146="NA","NA",IF((B146+1)&gt;$B$9,"NA",B146+1))</f>
        <v>125</v>
      </c>
      <c r="C147" s="143">
        <f t="shared" ref="C147:C178" si="17">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8">IF(B147="NA","NA",SUM(D147:H147))</f>
        <v>8904.1666666666661</v>
      </c>
    </row>
    <row r="148" spans="1:9" x14ac:dyDescent="0.2">
      <c r="A148" s="86">
        <f t="shared" ref="A148:A211" si="19">IF(B148="NA","NA",DATE(YEAR(A147),MONTH(A147)+1,1))</f>
        <v>3805</v>
      </c>
      <c r="B148" s="142">
        <f t="shared" si="16"/>
        <v>126</v>
      </c>
      <c r="C148" s="143">
        <f t="shared" si="17"/>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8"/>
        <v>8904.1666666666661</v>
      </c>
    </row>
    <row r="149" spans="1:9" x14ac:dyDescent="0.2">
      <c r="A149" s="86">
        <f t="shared" si="19"/>
        <v>3835</v>
      </c>
      <c r="B149" s="142">
        <f t="shared" si="16"/>
        <v>127</v>
      </c>
      <c r="C149" s="143">
        <f t="shared" si="17"/>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8"/>
        <v>8904.1666666666661</v>
      </c>
    </row>
    <row r="150" spans="1:9" x14ac:dyDescent="0.2">
      <c r="A150" s="86">
        <f t="shared" si="19"/>
        <v>3866</v>
      </c>
      <c r="B150" s="142">
        <f t="shared" si="16"/>
        <v>128</v>
      </c>
      <c r="C150" s="143">
        <f t="shared" si="17"/>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8"/>
        <v>8904.1666666666661</v>
      </c>
    </row>
    <row r="151" spans="1:9" x14ac:dyDescent="0.2">
      <c r="A151" s="86">
        <f t="shared" si="19"/>
        <v>3897</v>
      </c>
      <c r="B151" s="142">
        <f t="shared" si="16"/>
        <v>129</v>
      </c>
      <c r="C151" s="143">
        <f t="shared" si="17"/>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8"/>
        <v>8904.1666666666661</v>
      </c>
    </row>
    <row r="152" spans="1:9" x14ac:dyDescent="0.2">
      <c r="A152" s="86">
        <f t="shared" si="19"/>
        <v>3927</v>
      </c>
      <c r="B152" s="142">
        <f t="shared" si="16"/>
        <v>130</v>
      </c>
      <c r="C152" s="143">
        <f t="shared" si="17"/>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8"/>
        <v>8904.1666666666661</v>
      </c>
    </row>
    <row r="153" spans="1:9" x14ac:dyDescent="0.2">
      <c r="A153" s="86">
        <f t="shared" si="19"/>
        <v>3958</v>
      </c>
      <c r="B153" s="142">
        <f t="shared" si="16"/>
        <v>131</v>
      </c>
      <c r="C153" s="143">
        <f t="shared" si="17"/>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8"/>
        <v>8904.1666666666661</v>
      </c>
    </row>
    <row r="154" spans="1:9" x14ac:dyDescent="0.2">
      <c r="A154" s="86">
        <f t="shared" si="19"/>
        <v>3988</v>
      </c>
      <c r="B154" s="142">
        <f t="shared" si="16"/>
        <v>132</v>
      </c>
      <c r="C154" s="143">
        <f t="shared" si="17"/>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8"/>
        <v>8904.1666666666661</v>
      </c>
    </row>
    <row r="155" spans="1:9" x14ac:dyDescent="0.2">
      <c r="A155" s="86">
        <f t="shared" si="19"/>
        <v>4019</v>
      </c>
      <c r="B155" s="142">
        <f t="shared" si="16"/>
        <v>133</v>
      </c>
      <c r="C155" s="143">
        <f t="shared" si="17"/>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8"/>
        <v>8904.1666666666661</v>
      </c>
    </row>
    <row r="156" spans="1:9" x14ac:dyDescent="0.2">
      <c r="A156" s="86">
        <f t="shared" si="19"/>
        <v>4050</v>
      </c>
      <c r="B156" s="142">
        <f t="shared" si="16"/>
        <v>134</v>
      </c>
      <c r="C156" s="143">
        <f t="shared" si="17"/>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8"/>
        <v>8904.1666666666661</v>
      </c>
    </row>
    <row r="157" spans="1:9" x14ac:dyDescent="0.2">
      <c r="A157" s="86">
        <f t="shared" si="19"/>
        <v>4078</v>
      </c>
      <c r="B157" s="142">
        <f t="shared" si="16"/>
        <v>135</v>
      </c>
      <c r="C157" s="143">
        <f t="shared" si="17"/>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8"/>
        <v>8904.1666666666661</v>
      </c>
    </row>
    <row r="158" spans="1:9" x14ac:dyDescent="0.2">
      <c r="A158" s="86">
        <f t="shared" si="19"/>
        <v>4109</v>
      </c>
      <c r="B158" s="142">
        <f t="shared" si="16"/>
        <v>136</v>
      </c>
      <c r="C158" s="143">
        <f t="shared" si="17"/>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8"/>
        <v>8904.1666666666661</v>
      </c>
    </row>
    <row r="159" spans="1:9" x14ac:dyDescent="0.2">
      <c r="A159" s="86">
        <f t="shared" si="19"/>
        <v>4139</v>
      </c>
      <c r="B159" s="142">
        <f t="shared" si="16"/>
        <v>137</v>
      </c>
      <c r="C159" s="143">
        <f t="shared" si="17"/>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8"/>
        <v>8904.1666666666661</v>
      </c>
    </row>
    <row r="160" spans="1:9" x14ac:dyDescent="0.2">
      <c r="A160" s="86">
        <f t="shared" si="19"/>
        <v>4170</v>
      </c>
      <c r="B160" s="142">
        <f t="shared" si="16"/>
        <v>138</v>
      </c>
      <c r="C160" s="143">
        <f t="shared" si="17"/>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8"/>
        <v>8904.1666666666661</v>
      </c>
    </row>
    <row r="161" spans="1:9" x14ac:dyDescent="0.2">
      <c r="A161" s="86">
        <f t="shared" si="19"/>
        <v>4200</v>
      </c>
      <c r="B161" s="142">
        <f t="shared" si="16"/>
        <v>139</v>
      </c>
      <c r="C161" s="143">
        <f t="shared" si="17"/>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8"/>
        <v>8904.1666666666661</v>
      </c>
    </row>
    <row r="162" spans="1:9" x14ac:dyDescent="0.2">
      <c r="A162" s="86">
        <f t="shared" si="19"/>
        <v>4231</v>
      </c>
      <c r="B162" s="142">
        <f t="shared" si="16"/>
        <v>140</v>
      </c>
      <c r="C162" s="143">
        <f t="shared" si="17"/>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8"/>
        <v>8904.1666666666661</v>
      </c>
    </row>
    <row r="163" spans="1:9" x14ac:dyDescent="0.2">
      <c r="A163" s="86">
        <f t="shared" si="19"/>
        <v>4262</v>
      </c>
      <c r="B163" s="142">
        <f t="shared" si="16"/>
        <v>141</v>
      </c>
      <c r="C163" s="143">
        <f t="shared" si="17"/>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8"/>
        <v>8904.1666666666661</v>
      </c>
    </row>
    <row r="164" spans="1:9" x14ac:dyDescent="0.2">
      <c r="A164" s="86">
        <f t="shared" si="19"/>
        <v>4292</v>
      </c>
      <c r="B164" s="142">
        <f t="shared" si="16"/>
        <v>142</v>
      </c>
      <c r="C164" s="143">
        <f t="shared" si="17"/>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8"/>
        <v>8904.1666666666661</v>
      </c>
    </row>
    <row r="165" spans="1:9" x14ac:dyDescent="0.2">
      <c r="A165" s="86">
        <f t="shared" si="19"/>
        <v>4323</v>
      </c>
      <c r="B165" s="142">
        <f t="shared" si="16"/>
        <v>143</v>
      </c>
      <c r="C165" s="143">
        <f t="shared" si="17"/>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8"/>
        <v>8904.1666666666661</v>
      </c>
    </row>
    <row r="166" spans="1:9" x14ac:dyDescent="0.2">
      <c r="A166" s="86">
        <f t="shared" si="19"/>
        <v>4353</v>
      </c>
      <c r="B166" s="142">
        <f t="shared" si="16"/>
        <v>144</v>
      </c>
      <c r="C166" s="143">
        <f t="shared" si="17"/>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8"/>
        <v>8904.1666666666661</v>
      </c>
    </row>
    <row r="167" spans="1:9" x14ac:dyDescent="0.2">
      <c r="A167" s="86">
        <f t="shared" si="19"/>
        <v>4384</v>
      </c>
      <c r="B167" s="142">
        <f t="shared" si="16"/>
        <v>145</v>
      </c>
      <c r="C167" s="143">
        <f t="shared" si="17"/>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8"/>
        <v>8904.1666666666661</v>
      </c>
    </row>
    <row r="168" spans="1:9" x14ac:dyDescent="0.2">
      <c r="A168" s="86">
        <f t="shared" si="19"/>
        <v>4415</v>
      </c>
      <c r="B168" s="142">
        <f t="shared" si="16"/>
        <v>146</v>
      </c>
      <c r="C168" s="143">
        <f t="shared" si="17"/>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8"/>
        <v>8904.1666666666661</v>
      </c>
    </row>
    <row r="169" spans="1:9" x14ac:dyDescent="0.2">
      <c r="A169" s="86">
        <f t="shared" si="19"/>
        <v>4444</v>
      </c>
      <c r="B169" s="142">
        <f t="shared" si="16"/>
        <v>147</v>
      </c>
      <c r="C169" s="143">
        <f t="shared" si="17"/>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8"/>
        <v>8904.1666666666661</v>
      </c>
    </row>
    <row r="170" spans="1:9" x14ac:dyDescent="0.2">
      <c r="A170" s="86">
        <f t="shared" si="19"/>
        <v>4475</v>
      </c>
      <c r="B170" s="142">
        <f t="shared" si="16"/>
        <v>148</v>
      </c>
      <c r="C170" s="143">
        <f t="shared" si="17"/>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8"/>
        <v>8904.1666666666661</v>
      </c>
    </row>
    <row r="171" spans="1:9" x14ac:dyDescent="0.2">
      <c r="A171" s="86">
        <f t="shared" si="19"/>
        <v>4505</v>
      </c>
      <c r="B171" s="142">
        <f t="shared" si="16"/>
        <v>149</v>
      </c>
      <c r="C171" s="143">
        <f t="shared" si="17"/>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8"/>
        <v>8904.1666666666661</v>
      </c>
    </row>
    <row r="172" spans="1:9" x14ac:dyDescent="0.2">
      <c r="A172" s="86">
        <f t="shared" si="19"/>
        <v>4536</v>
      </c>
      <c r="B172" s="142">
        <f t="shared" si="16"/>
        <v>150</v>
      </c>
      <c r="C172" s="143">
        <f t="shared" si="17"/>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8"/>
        <v>8904.1666666666661</v>
      </c>
    </row>
    <row r="173" spans="1:9" x14ac:dyDescent="0.2">
      <c r="A173" s="86">
        <f t="shared" si="19"/>
        <v>4566</v>
      </c>
      <c r="B173" s="142">
        <f t="shared" si="16"/>
        <v>151</v>
      </c>
      <c r="C173" s="143">
        <f t="shared" si="17"/>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8"/>
        <v>8904.1666666666661</v>
      </c>
    </row>
    <row r="174" spans="1:9" x14ac:dyDescent="0.2">
      <c r="A174" s="86">
        <f t="shared" si="19"/>
        <v>4597</v>
      </c>
      <c r="B174" s="142">
        <f t="shared" si="16"/>
        <v>152</v>
      </c>
      <c r="C174" s="143">
        <f t="shared" si="17"/>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8"/>
        <v>8904.1666666666661</v>
      </c>
    </row>
    <row r="175" spans="1:9" x14ac:dyDescent="0.2">
      <c r="A175" s="86">
        <f t="shared" si="19"/>
        <v>4628</v>
      </c>
      <c r="B175" s="142">
        <f t="shared" si="16"/>
        <v>153</v>
      </c>
      <c r="C175" s="143">
        <f t="shared" si="17"/>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8"/>
        <v>8904.1666666666661</v>
      </c>
    </row>
    <row r="176" spans="1:9" x14ac:dyDescent="0.2">
      <c r="A176" s="86">
        <f t="shared" si="19"/>
        <v>4658</v>
      </c>
      <c r="B176" s="142">
        <f t="shared" si="16"/>
        <v>154</v>
      </c>
      <c r="C176" s="143">
        <f t="shared" si="17"/>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8"/>
        <v>8904.1666666666661</v>
      </c>
    </row>
    <row r="177" spans="1:9" x14ac:dyDescent="0.2">
      <c r="A177" s="86">
        <f t="shared" si="19"/>
        <v>4689</v>
      </c>
      <c r="B177" s="142">
        <f t="shared" si="16"/>
        <v>155</v>
      </c>
      <c r="C177" s="143">
        <f t="shared" si="17"/>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8"/>
        <v>8904.1666666666661</v>
      </c>
    </row>
    <row r="178" spans="1:9" x14ac:dyDescent="0.2">
      <c r="A178" s="86">
        <f t="shared" si="19"/>
        <v>4719</v>
      </c>
      <c r="B178" s="142">
        <f t="shared" si="16"/>
        <v>156</v>
      </c>
      <c r="C178" s="143">
        <f t="shared" si="17"/>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8"/>
        <v>8904.1666666666661</v>
      </c>
    </row>
    <row r="179" spans="1:9" x14ac:dyDescent="0.2">
      <c r="A179" s="86">
        <f t="shared" si="19"/>
        <v>4750</v>
      </c>
      <c r="B179" s="142">
        <f t="shared" ref="B179:B210" si="20">IF(B178="NA","NA",IF((B178+1)&gt;$B$9,"NA",B178+1))</f>
        <v>157</v>
      </c>
      <c r="C179" s="143">
        <f t="shared" ref="C179:C210" si="21">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2">IF(B179="NA","NA",SUM(D179:H179))</f>
        <v>8904.1666666666661</v>
      </c>
    </row>
    <row r="180" spans="1:9" x14ac:dyDescent="0.2">
      <c r="A180" s="86">
        <f t="shared" si="19"/>
        <v>4781</v>
      </c>
      <c r="B180" s="142">
        <f t="shared" si="20"/>
        <v>158</v>
      </c>
      <c r="C180" s="143">
        <f t="shared" si="21"/>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2"/>
        <v>8904.1666666666661</v>
      </c>
    </row>
    <row r="181" spans="1:9" x14ac:dyDescent="0.2">
      <c r="A181" s="86">
        <f t="shared" si="19"/>
        <v>4809</v>
      </c>
      <c r="B181" s="142">
        <f t="shared" si="20"/>
        <v>159</v>
      </c>
      <c r="C181" s="143">
        <f t="shared" si="21"/>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2"/>
        <v>8904.1666666666661</v>
      </c>
    </row>
    <row r="182" spans="1:9" x14ac:dyDescent="0.2">
      <c r="A182" s="86">
        <f t="shared" si="19"/>
        <v>4840</v>
      </c>
      <c r="B182" s="142">
        <f t="shared" si="20"/>
        <v>160</v>
      </c>
      <c r="C182" s="143">
        <f t="shared" si="21"/>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2"/>
        <v>8904.1666666666661</v>
      </c>
    </row>
    <row r="183" spans="1:9" x14ac:dyDescent="0.2">
      <c r="A183" s="86">
        <f t="shared" si="19"/>
        <v>4870</v>
      </c>
      <c r="B183" s="142">
        <f t="shared" si="20"/>
        <v>161</v>
      </c>
      <c r="C183" s="143">
        <f t="shared" si="21"/>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2"/>
        <v>8904.1666666666661</v>
      </c>
    </row>
    <row r="184" spans="1:9" x14ac:dyDescent="0.2">
      <c r="A184" s="86">
        <f t="shared" si="19"/>
        <v>4901</v>
      </c>
      <c r="B184" s="142">
        <f t="shared" si="20"/>
        <v>162</v>
      </c>
      <c r="C184" s="143">
        <f t="shared" si="21"/>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2"/>
        <v>8904.1666666666661</v>
      </c>
    </row>
    <row r="185" spans="1:9" x14ac:dyDescent="0.2">
      <c r="A185" s="86">
        <f t="shared" si="19"/>
        <v>4931</v>
      </c>
      <c r="B185" s="142">
        <f t="shared" si="20"/>
        <v>163</v>
      </c>
      <c r="C185" s="143">
        <f t="shared" si="21"/>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2"/>
        <v>8904.1666666666661</v>
      </c>
    </row>
    <row r="186" spans="1:9" x14ac:dyDescent="0.2">
      <c r="A186" s="86">
        <f t="shared" si="19"/>
        <v>4962</v>
      </c>
      <c r="B186" s="142">
        <f t="shared" si="20"/>
        <v>164</v>
      </c>
      <c r="C186" s="143">
        <f t="shared" si="21"/>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2"/>
        <v>8904.1666666666661</v>
      </c>
    </row>
    <row r="187" spans="1:9" x14ac:dyDescent="0.2">
      <c r="A187" s="86">
        <f t="shared" si="19"/>
        <v>4993</v>
      </c>
      <c r="B187" s="142">
        <f t="shared" si="20"/>
        <v>165</v>
      </c>
      <c r="C187" s="143">
        <f t="shared" si="21"/>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2"/>
        <v>8904.1666666666661</v>
      </c>
    </row>
    <row r="188" spans="1:9" x14ac:dyDescent="0.2">
      <c r="A188" s="86">
        <f t="shared" si="19"/>
        <v>5023</v>
      </c>
      <c r="B188" s="142">
        <f t="shared" si="20"/>
        <v>166</v>
      </c>
      <c r="C188" s="143">
        <f t="shared" si="21"/>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2"/>
        <v>8904.1666666666661</v>
      </c>
    </row>
    <row r="189" spans="1:9" x14ac:dyDescent="0.2">
      <c r="A189" s="86">
        <f t="shared" si="19"/>
        <v>5054</v>
      </c>
      <c r="B189" s="142">
        <f t="shared" si="20"/>
        <v>167</v>
      </c>
      <c r="C189" s="143">
        <f t="shared" si="21"/>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2"/>
        <v>8904.1666666666661</v>
      </c>
    </row>
    <row r="190" spans="1:9" x14ac:dyDescent="0.2">
      <c r="A190" s="86">
        <f t="shared" si="19"/>
        <v>5084</v>
      </c>
      <c r="B190" s="142">
        <f t="shared" si="20"/>
        <v>168</v>
      </c>
      <c r="C190" s="143">
        <f t="shared" si="21"/>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2"/>
        <v>8904.1666666666661</v>
      </c>
    </row>
    <row r="191" spans="1:9" x14ac:dyDescent="0.2">
      <c r="A191" s="86">
        <f t="shared" si="19"/>
        <v>5115</v>
      </c>
      <c r="B191" s="142">
        <f t="shared" si="20"/>
        <v>169</v>
      </c>
      <c r="C191" s="143">
        <f t="shared" si="21"/>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2"/>
        <v>8904.1666666666661</v>
      </c>
    </row>
    <row r="192" spans="1:9" x14ac:dyDescent="0.2">
      <c r="A192" s="86">
        <f t="shared" si="19"/>
        <v>5146</v>
      </c>
      <c r="B192" s="142">
        <f t="shared" si="20"/>
        <v>170</v>
      </c>
      <c r="C192" s="143">
        <f t="shared" si="21"/>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2"/>
        <v>8904.1666666666661</v>
      </c>
    </row>
    <row r="193" spans="1:9" x14ac:dyDescent="0.2">
      <c r="A193" s="86">
        <f t="shared" si="19"/>
        <v>5174</v>
      </c>
      <c r="B193" s="142">
        <f t="shared" si="20"/>
        <v>171</v>
      </c>
      <c r="C193" s="143">
        <f t="shared" si="21"/>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2"/>
        <v>8904.1666666666661</v>
      </c>
    </row>
    <row r="194" spans="1:9" x14ac:dyDescent="0.2">
      <c r="A194" s="86">
        <f t="shared" si="19"/>
        <v>5205</v>
      </c>
      <c r="B194" s="142">
        <f t="shared" si="20"/>
        <v>172</v>
      </c>
      <c r="C194" s="143">
        <f t="shared" si="21"/>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2"/>
        <v>8904.1666666666661</v>
      </c>
    </row>
    <row r="195" spans="1:9" x14ac:dyDescent="0.2">
      <c r="A195" s="86">
        <f t="shared" si="19"/>
        <v>5235</v>
      </c>
      <c r="B195" s="142">
        <f t="shared" si="20"/>
        <v>173</v>
      </c>
      <c r="C195" s="143">
        <f t="shared" si="21"/>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2"/>
        <v>8904.1666666666661</v>
      </c>
    </row>
    <row r="196" spans="1:9" x14ac:dyDescent="0.2">
      <c r="A196" s="86">
        <f t="shared" si="19"/>
        <v>5266</v>
      </c>
      <c r="B196" s="142">
        <f t="shared" si="20"/>
        <v>174</v>
      </c>
      <c r="C196" s="143">
        <f t="shared" si="21"/>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2"/>
        <v>8904.1666666666661</v>
      </c>
    </row>
    <row r="197" spans="1:9" x14ac:dyDescent="0.2">
      <c r="A197" s="86">
        <f t="shared" si="19"/>
        <v>5296</v>
      </c>
      <c r="B197" s="142">
        <f t="shared" si="20"/>
        <v>175</v>
      </c>
      <c r="C197" s="143">
        <f t="shared" si="21"/>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2"/>
        <v>8904.1666666666661</v>
      </c>
    </row>
    <row r="198" spans="1:9" x14ac:dyDescent="0.2">
      <c r="A198" s="86">
        <f t="shared" si="19"/>
        <v>5327</v>
      </c>
      <c r="B198" s="142">
        <f t="shared" si="20"/>
        <v>176</v>
      </c>
      <c r="C198" s="143">
        <f t="shared" si="21"/>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2"/>
        <v>8904.1666666666661</v>
      </c>
    </row>
    <row r="199" spans="1:9" x14ac:dyDescent="0.2">
      <c r="A199" s="86">
        <f t="shared" si="19"/>
        <v>5358</v>
      </c>
      <c r="B199" s="142">
        <f t="shared" si="20"/>
        <v>177</v>
      </c>
      <c r="C199" s="143">
        <f t="shared" si="21"/>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2"/>
        <v>8904.1666666666661</v>
      </c>
    </row>
    <row r="200" spans="1:9" x14ac:dyDescent="0.2">
      <c r="A200" s="86">
        <f t="shared" si="19"/>
        <v>5388</v>
      </c>
      <c r="B200" s="142">
        <f t="shared" si="20"/>
        <v>178</v>
      </c>
      <c r="C200" s="143">
        <f t="shared" si="21"/>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2"/>
        <v>8904.1666666666661</v>
      </c>
    </row>
    <row r="201" spans="1:9" x14ac:dyDescent="0.2">
      <c r="A201" s="86">
        <f t="shared" si="19"/>
        <v>5419</v>
      </c>
      <c r="B201" s="142">
        <f t="shared" si="20"/>
        <v>179</v>
      </c>
      <c r="C201" s="143">
        <f t="shared" si="21"/>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2"/>
        <v>8904.1666666666661</v>
      </c>
    </row>
    <row r="202" spans="1:9" x14ac:dyDescent="0.2">
      <c r="A202" s="86">
        <f t="shared" si="19"/>
        <v>5449</v>
      </c>
      <c r="B202" s="142">
        <f t="shared" si="20"/>
        <v>180</v>
      </c>
      <c r="C202" s="143">
        <f t="shared" si="21"/>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2"/>
        <v>8904.1666666666661</v>
      </c>
    </row>
    <row r="203" spans="1:9" x14ac:dyDescent="0.2">
      <c r="A203" s="86">
        <f t="shared" si="19"/>
        <v>5480</v>
      </c>
      <c r="B203" s="142">
        <f t="shared" si="20"/>
        <v>181</v>
      </c>
      <c r="C203" s="143">
        <f t="shared" si="21"/>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2"/>
        <v>8904.1666666666661</v>
      </c>
    </row>
    <row r="204" spans="1:9" x14ac:dyDescent="0.2">
      <c r="A204" s="86">
        <f t="shared" si="19"/>
        <v>5511</v>
      </c>
      <c r="B204" s="142">
        <f t="shared" si="20"/>
        <v>182</v>
      </c>
      <c r="C204" s="143">
        <f t="shared" si="21"/>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2"/>
        <v>8904.1666666666661</v>
      </c>
    </row>
    <row r="205" spans="1:9" x14ac:dyDescent="0.2">
      <c r="A205" s="86">
        <f t="shared" si="19"/>
        <v>5539</v>
      </c>
      <c r="B205" s="142">
        <f t="shared" si="20"/>
        <v>183</v>
      </c>
      <c r="C205" s="143">
        <f t="shared" si="21"/>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2"/>
        <v>8904.1666666666661</v>
      </c>
    </row>
    <row r="206" spans="1:9" x14ac:dyDescent="0.2">
      <c r="A206" s="86">
        <f t="shared" si="19"/>
        <v>5570</v>
      </c>
      <c r="B206" s="142">
        <f t="shared" si="20"/>
        <v>184</v>
      </c>
      <c r="C206" s="143">
        <f t="shared" si="21"/>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2"/>
        <v>8904.1666666666661</v>
      </c>
    </row>
    <row r="207" spans="1:9" x14ac:dyDescent="0.2">
      <c r="A207" s="86">
        <f t="shared" si="19"/>
        <v>5600</v>
      </c>
      <c r="B207" s="142">
        <f t="shared" si="20"/>
        <v>185</v>
      </c>
      <c r="C207" s="143">
        <f t="shared" si="21"/>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2"/>
        <v>8904.1666666666661</v>
      </c>
    </row>
    <row r="208" spans="1:9" x14ac:dyDescent="0.2">
      <c r="A208" s="86">
        <f t="shared" si="19"/>
        <v>5631</v>
      </c>
      <c r="B208" s="142">
        <f t="shared" si="20"/>
        <v>186</v>
      </c>
      <c r="C208" s="143">
        <f t="shared" si="21"/>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2"/>
        <v>8904.1666666666661</v>
      </c>
    </row>
    <row r="209" spans="1:9" x14ac:dyDescent="0.2">
      <c r="A209" s="86">
        <f t="shared" si="19"/>
        <v>5661</v>
      </c>
      <c r="B209" s="142">
        <f t="shared" si="20"/>
        <v>187</v>
      </c>
      <c r="C209" s="143">
        <f t="shared" si="21"/>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2"/>
        <v>8904.1666666666661</v>
      </c>
    </row>
    <row r="210" spans="1:9" x14ac:dyDescent="0.2">
      <c r="A210" s="86">
        <f t="shared" si="19"/>
        <v>5692</v>
      </c>
      <c r="B210" s="142">
        <f t="shared" si="20"/>
        <v>188</v>
      </c>
      <c r="C210" s="143">
        <f t="shared" si="21"/>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2"/>
        <v>8904.1666666666661</v>
      </c>
    </row>
    <row r="211" spans="1:9" x14ac:dyDescent="0.2">
      <c r="A211" s="86">
        <f t="shared" si="19"/>
        <v>5723</v>
      </c>
      <c r="B211" s="142">
        <f t="shared" ref="B211:B242" si="23">IF(B210="NA","NA",IF((B210+1)&gt;$B$9,"NA",B210+1))</f>
        <v>189</v>
      </c>
      <c r="C211" s="143">
        <f t="shared" ref="C211:C242" si="24">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5">IF(B211="NA","NA",SUM(D211:H211))</f>
        <v>8904.1666666666661</v>
      </c>
    </row>
    <row r="212" spans="1:9" x14ac:dyDescent="0.2">
      <c r="A212" s="86">
        <f t="shared" ref="A212:A262" si="26">IF(B212="NA","NA",DATE(YEAR(A211),MONTH(A211)+1,1))</f>
        <v>5753</v>
      </c>
      <c r="B212" s="142">
        <f t="shared" si="23"/>
        <v>190</v>
      </c>
      <c r="C212" s="143">
        <f t="shared" si="24"/>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5"/>
        <v>8904.1666666666661</v>
      </c>
    </row>
    <row r="213" spans="1:9" x14ac:dyDescent="0.2">
      <c r="A213" s="86">
        <f t="shared" si="26"/>
        <v>5784</v>
      </c>
      <c r="B213" s="142">
        <f t="shared" si="23"/>
        <v>191</v>
      </c>
      <c r="C213" s="143">
        <f t="shared" si="24"/>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5"/>
        <v>8904.1666666666661</v>
      </c>
    </row>
    <row r="214" spans="1:9" x14ac:dyDescent="0.2">
      <c r="A214" s="86">
        <f t="shared" si="26"/>
        <v>5814</v>
      </c>
      <c r="B214" s="142">
        <f t="shared" si="23"/>
        <v>192</v>
      </c>
      <c r="C214" s="143">
        <f t="shared" si="24"/>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5"/>
        <v>8904.1666666666661</v>
      </c>
    </row>
    <row r="215" spans="1:9" x14ac:dyDescent="0.2">
      <c r="A215" s="86">
        <f t="shared" si="26"/>
        <v>5845</v>
      </c>
      <c r="B215" s="142">
        <f t="shared" si="23"/>
        <v>193</v>
      </c>
      <c r="C215" s="143">
        <f t="shared" si="24"/>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5"/>
        <v>8904.1666666666661</v>
      </c>
    </row>
    <row r="216" spans="1:9" x14ac:dyDescent="0.2">
      <c r="A216" s="86">
        <f t="shared" si="26"/>
        <v>5876</v>
      </c>
      <c r="B216" s="142">
        <f t="shared" si="23"/>
        <v>194</v>
      </c>
      <c r="C216" s="143">
        <f t="shared" si="24"/>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5"/>
        <v>8904.1666666666661</v>
      </c>
    </row>
    <row r="217" spans="1:9" x14ac:dyDescent="0.2">
      <c r="A217" s="86">
        <f t="shared" si="26"/>
        <v>5905</v>
      </c>
      <c r="B217" s="142">
        <f t="shared" si="23"/>
        <v>195</v>
      </c>
      <c r="C217" s="143">
        <f t="shared" si="24"/>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5"/>
        <v>8904.1666666666661</v>
      </c>
    </row>
    <row r="218" spans="1:9" x14ac:dyDescent="0.2">
      <c r="A218" s="86">
        <f t="shared" si="26"/>
        <v>5936</v>
      </c>
      <c r="B218" s="142">
        <f t="shared" si="23"/>
        <v>196</v>
      </c>
      <c r="C218" s="143">
        <f t="shared" si="24"/>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5"/>
        <v>8904.1666666666661</v>
      </c>
    </row>
    <row r="219" spans="1:9" x14ac:dyDescent="0.2">
      <c r="A219" s="86">
        <f t="shared" si="26"/>
        <v>5966</v>
      </c>
      <c r="B219" s="142">
        <f t="shared" si="23"/>
        <v>197</v>
      </c>
      <c r="C219" s="143">
        <f t="shared" si="24"/>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5"/>
        <v>8904.1666666666661</v>
      </c>
    </row>
    <row r="220" spans="1:9" x14ac:dyDescent="0.2">
      <c r="A220" s="86">
        <f t="shared" si="26"/>
        <v>5997</v>
      </c>
      <c r="B220" s="142">
        <f t="shared" si="23"/>
        <v>198</v>
      </c>
      <c r="C220" s="143">
        <f t="shared" si="24"/>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5"/>
        <v>8904.1666666666661</v>
      </c>
    </row>
    <row r="221" spans="1:9" x14ac:dyDescent="0.2">
      <c r="A221" s="86">
        <f t="shared" si="26"/>
        <v>6027</v>
      </c>
      <c r="B221" s="142">
        <f t="shared" si="23"/>
        <v>199</v>
      </c>
      <c r="C221" s="143">
        <f t="shared" si="24"/>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5"/>
        <v>8904.1666666666661</v>
      </c>
    </row>
    <row r="222" spans="1:9" x14ac:dyDescent="0.2">
      <c r="A222" s="86">
        <f t="shared" si="26"/>
        <v>6058</v>
      </c>
      <c r="B222" s="142">
        <f t="shared" si="23"/>
        <v>200</v>
      </c>
      <c r="C222" s="143">
        <f t="shared" si="24"/>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5"/>
        <v>8904.1666666666661</v>
      </c>
    </row>
    <row r="223" spans="1:9" x14ac:dyDescent="0.2">
      <c r="A223" s="86">
        <f t="shared" si="26"/>
        <v>6089</v>
      </c>
      <c r="B223" s="142">
        <f t="shared" si="23"/>
        <v>201</v>
      </c>
      <c r="C223" s="143">
        <f t="shared" si="24"/>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5"/>
        <v>8904.1666666666661</v>
      </c>
    </row>
    <row r="224" spans="1:9" x14ac:dyDescent="0.2">
      <c r="A224" s="86">
        <f t="shared" si="26"/>
        <v>6119</v>
      </c>
      <c r="B224" s="142">
        <f t="shared" si="23"/>
        <v>202</v>
      </c>
      <c r="C224" s="143">
        <f t="shared" si="24"/>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5"/>
        <v>8904.1666666666661</v>
      </c>
    </row>
    <row r="225" spans="1:9" x14ac:dyDescent="0.2">
      <c r="A225" s="86">
        <f t="shared" si="26"/>
        <v>6150</v>
      </c>
      <c r="B225" s="142">
        <f t="shared" si="23"/>
        <v>203</v>
      </c>
      <c r="C225" s="143">
        <f t="shared" si="24"/>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5"/>
        <v>8904.1666666666661</v>
      </c>
    </row>
    <row r="226" spans="1:9" x14ac:dyDescent="0.2">
      <c r="A226" s="86">
        <f t="shared" si="26"/>
        <v>6180</v>
      </c>
      <c r="B226" s="142">
        <f t="shared" si="23"/>
        <v>204</v>
      </c>
      <c r="C226" s="143">
        <f t="shared" si="24"/>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5"/>
        <v>8904.1666666666661</v>
      </c>
    </row>
    <row r="227" spans="1:9" x14ac:dyDescent="0.2">
      <c r="A227" s="86">
        <f t="shared" si="26"/>
        <v>6211</v>
      </c>
      <c r="B227" s="142">
        <f t="shared" si="23"/>
        <v>205</v>
      </c>
      <c r="C227" s="143">
        <f t="shared" si="24"/>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5"/>
        <v>8904.1666666666661</v>
      </c>
    </row>
    <row r="228" spans="1:9" x14ac:dyDescent="0.2">
      <c r="A228" s="86">
        <f t="shared" si="26"/>
        <v>6242</v>
      </c>
      <c r="B228" s="142">
        <f t="shared" si="23"/>
        <v>206</v>
      </c>
      <c r="C228" s="143">
        <f t="shared" si="24"/>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5"/>
        <v>8904.1666666666661</v>
      </c>
    </row>
    <row r="229" spans="1:9" x14ac:dyDescent="0.2">
      <c r="A229" s="86">
        <f t="shared" si="26"/>
        <v>6270</v>
      </c>
      <c r="B229" s="142">
        <f t="shared" si="23"/>
        <v>207</v>
      </c>
      <c r="C229" s="143">
        <f t="shared" si="24"/>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5"/>
        <v>8904.1666666666661</v>
      </c>
    </row>
    <row r="230" spans="1:9" x14ac:dyDescent="0.2">
      <c r="A230" s="86">
        <f t="shared" si="26"/>
        <v>6301</v>
      </c>
      <c r="B230" s="142">
        <f t="shared" si="23"/>
        <v>208</v>
      </c>
      <c r="C230" s="143">
        <f t="shared" si="24"/>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5"/>
        <v>8904.1666666666661</v>
      </c>
    </row>
    <row r="231" spans="1:9" x14ac:dyDescent="0.2">
      <c r="A231" s="86">
        <f t="shared" si="26"/>
        <v>6331</v>
      </c>
      <c r="B231" s="142">
        <f t="shared" si="23"/>
        <v>209</v>
      </c>
      <c r="C231" s="143">
        <f t="shared" si="24"/>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5"/>
        <v>8904.1666666666661</v>
      </c>
    </row>
    <row r="232" spans="1:9" x14ac:dyDescent="0.2">
      <c r="A232" s="86">
        <f t="shared" si="26"/>
        <v>6362</v>
      </c>
      <c r="B232" s="142">
        <f t="shared" si="23"/>
        <v>210</v>
      </c>
      <c r="C232" s="143">
        <f t="shared" si="24"/>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5"/>
        <v>8904.1666666666661</v>
      </c>
    </row>
    <row r="233" spans="1:9" x14ac:dyDescent="0.2">
      <c r="A233" s="86">
        <f t="shared" si="26"/>
        <v>6392</v>
      </c>
      <c r="B233" s="142">
        <f t="shared" si="23"/>
        <v>211</v>
      </c>
      <c r="C233" s="143">
        <f t="shared" si="24"/>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5"/>
        <v>8904.1666666666661</v>
      </c>
    </row>
    <row r="234" spans="1:9" x14ac:dyDescent="0.2">
      <c r="A234" s="86">
        <f t="shared" si="26"/>
        <v>6423</v>
      </c>
      <c r="B234" s="142">
        <f t="shared" si="23"/>
        <v>212</v>
      </c>
      <c r="C234" s="143">
        <f t="shared" si="24"/>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5"/>
        <v>8904.1666666666661</v>
      </c>
    </row>
    <row r="235" spans="1:9" x14ac:dyDescent="0.2">
      <c r="A235" s="86">
        <f t="shared" si="26"/>
        <v>6454</v>
      </c>
      <c r="B235" s="142">
        <f t="shared" si="23"/>
        <v>213</v>
      </c>
      <c r="C235" s="143">
        <f t="shared" si="24"/>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5"/>
        <v>8904.1666666666661</v>
      </c>
    </row>
    <row r="236" spans="1:9" x14ac:dyDescent="0.2">
      <c r="A236" s="86">
        <f t="shared" si="26"/>
        <v>6484</v>
      </c>
      <c r="B236" s="142">
        <f t="shared" si="23"/>
        <v>214</v>
      </c>
      <c r="C236" s="143">
        <f t="shared" si="24"/>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5"/>
        <v>8904.1666666666661</v>
      </c>
    </row>
    <row r="237" spans="1:9" x14ac:dyDescent="0.2">
      <c r="A237" s="86">
        <f t="shared" si="26"/>
        <v>6515</v>
      </c>
      <c r="B237" s="142">
        <f t="shared" si="23"/>
        <v>215</v>
      </c>
      <c r="C237" s="143">
        <f t="shared" si="24"/>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5"/>
        <v>8904.1666666666661</v>
      </c>
    </row>
    <row r="238" spans="1:9" x14ac:dyDescent="0.2">
      <c r="A238" s="86">
        <f t="shared" si="26"/>
        <v>6545</v>
      </c>
      <c r="B238" s="142">
        <f t="shared" si="23"/>
        <v>216</v>
      </c>
      <c r="C238" s="143">
        <f t="shared" si="24"/>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5"/>
        <v>8904.1666666666661</v>
      </c>
    </row>
    <row r="239" spans="1:9" x14ac:dyDescent="0.2">
      <c r="A239" s="86">
        <f t="shared" si="26"/>
        <v>6576</v>
      </c>
      <c r="B239" s="142">
        <f t="shared" si="23"/>
        <v>217</v>
      </c>
      <c r="C239" s="143">
        <f t="shared" si="24"/>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5"/>
        <v>8904.1666666666661</v>
      </c>
    </row>
    <row r="240" spans="1:9" x14ac:dyDescent="0.2">
      <c r="A240" s="86">
        <f t="shared" si="26"/>
        <v>6607</v>
      </c>
      <c r="B240" s="142">
        <f t="shared" si="23"/>
        <v>218</v>
      </c>
      <c r="C240" s="143">
        <f t="shared" si="24"/>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5"/>
        <v>8904.1666666666661</v>
      </c>
    </row>
    <row r="241" spans="1:9" x14ac:dyDescent="0.2">
      <c r="A241" s="86">
        <f t="shared" si="26"/>
        <v>6635</v>
      </c>
      <c r="B241" s="142">
        <f t="shared" si="23"/>
        <v>219</v>
      </c>
      <c r="C241" s="143">
        <f t="shared" si="24"/>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5"/>
        <v>8904.1666666666661</v>
      </c>
    </row>
    <row r="242" spans="1:9" x14ac:dyDescent="0.2">
      <c r="A242" s="86">
        <f t="shared" si="26"/>
        <v>6666</v>
      </c>
      <c r="B242" s="142">
        <f t="shared" si="23"/>
        <v>220</v>
      </c>
      <c r="C242" s="143">
        <f t="shared" si="24"/>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5"/>
        <v>8904.1666666666661</v>
      </c>
    </row>
    <row r="243" spans="1:9" x14ac:dyDescent="0.2">
      <c r="A243" s="86">
        <f t="shared" si="26"/>
        <v>6696</v>
      </c>
      <c r="B243" s="142">
        <f t="shared" ref="B243:B262" si="27">IF(B242="NA","NA",IF((B242+1)&gt;$B$9,"NA",B242+1))</f>
        <v>221</v>
      </c>
      <c r="C243" s="143">
        <f t="shared" ref="C243:C262" si="28">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9">IF(B243="NA","NA",SUM(D243:H243))</f>
        <v>8904.1666666666661</v>
      </c>
    </row>
    <row r="244" spans="1:9" x14ac:dyDescent="0.2">
      <c r="A244" s="86">
        <f t="shared" si="26"/>
        <v>6727</v>
      </c>
      <c r="B244" s="142">
        <f t="shared" si="27"/>
        <v>222</v>
      </c>
      <c r="C244" s="143">
        <f t="shared" si="28"/>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9"/>
        <v>8904.1666666666661</v>
      </c>
    </row>
    <row r="245" spans="1:9" x14ac:dyDescent="0.2">
      <c r="A245" s="86">
        <f t="shared" si="26"/>
        <v>6757</v>
      </c>
      <c r="B245" s="142">
        <f t="shared" si="27"/>
        <v>223</v>
      </c>
      <c r="C245" s="143">
        <f t="shared" si="28"/>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9"/>
        <v>8904.1666666666661</v>
      </c>
    </row>
    <row r="246" spans="1:9" x14ac:dyDescent="0.2">
      <c r="A246" s="86">
        <f t="shared" si="26"/>
        <v>6788</v>
      </c>
      <c r="B246" s="142">
        <f t="shared" si="27"/>
        <v>224</v>
      </c>
      <c r="C246" s="143">
        <f t="shared" si="28"/>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9"/>
        <v>8904.1666666666661</v>
      </c>
    </row>
    <row r="247" spans="1:9" x14ac:dyDescent="0.2">
      <c r="A247" s="86">
        <f t="shared" si="26"/>
        <v>6819</v>
      </c>
      <c r="B247" s="142">
        <f t="shared" si="27"/>
        <v>225</v>
      </c>
      <c r="C247" s="143">
        <f t="shared" si="28"/>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9"/>
        <v>8904.1666666666661</v>
      </c>
    </row>
    <row r="248" spans="1:9" x14ac:dyDescent="0.2">
      <c r="A248" s="86">
        <f t="shared" si="26"/>
        <v>6849</v>
      </c>
      <c r="B248" s="142">
        <f t="shared" si="27"/>
        <v>226</v>
      </c>
      <c r="C248" s="143">
        <f t="shared" si="28"/>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9"/>
        <v>8904.1666666666661</v>
      </c>
    </row>
    <row r="249" spans="1:9" x14ac:dyDescent="0.2">
      <c r="A249" s="86">
        <f t="shared" si="26"/>
        <v>6880</v>
      </c>
      <c r="B249" s="142">
        <f t="shared" si="27"/>
        <v>227</v>
      </c>
      <c r="C249" s="143">
        <f t="shared" si="28"/>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9"/>
        <v>8904.1666666666661</v>
      </c>
    </row>
    <row r="250" spans="1:9" x14ac:dyDescent="0.2">
      <c r="A250" s="86">
        <f t="shared" si="26"/>
        <v>6910</v>
      </c>
      <c r="B250" s="142">
        <f t="shared" si="27"/>
        <v>228</v>
      </c>
      <c r="C250" s="143">
        <f t="shared" si="28"/>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9"/>
        <v>8904.1666666666661</v>
      </c>
    </row>
    <row r="251" spans="1:9" x14ac:dyDescent="0.2">
      <c r="A251" s="86">
        <f t="shared" si="26"/>
        <v>6941</v>
      </c>
      <c r="B251" s="142">
        <f t="shared" si="27"/>
        <v>229</v>
      </c>
      <c r="C251" s="143">
        <f t="shared" si="28"/>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9"/>
        <v>8904.1666666666661</v>
      </c>
    </row>
    <row r="252" spans="1:9" x14ac:dyDescent="0.2">
      <c r="A252" s="86">
        <f t="shared" si="26"/>
        <v>6972</v>
      </c>
      <c r="B252" s="142">
        <f t="shared" si="27"/>
        <v>230</v>
      </c>
      <c r="C252" s="143">
        <f t="shared" si="28"/>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9"/>
        <v>8904.1666666666661</v>
      </c>
    </row>
    <row r="253" spans="1:9" x14ac:dyDescent="0.2">
      <c r="A253" s="86">
        <f t="shared" si="26"/>
        <v>7000</v>
      </c>
      <c r="B253" s="142">
        <f t="shared" si="27"/>
        <v>231</v>
      </c>
      <c r="C253" s="143">
        <f t="shared" si="28"/>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9"/>
        <v>8904.1666666666661</v>
      </c>
    </row>
    <row r="254" spans="1:9" x14ac:dyDescent="0.2">
      <c r="A254" s="86">
        <f t="shared" si="26"/>
        <v>7031</v>
      </c>
      <c r="B254" s="142">
        <f t="shared" si="27"/>
        <v>232</v>
      </c>
      <c r="C254" s="143">
        <f t="shared" si="28"/>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9"/>
        <v>8904.1666666666661</v>
      </c>
    </row>
    <row r="255" spans="1:9" x14ac:dyDescent="0.2">
      <c r="A255" s="86">
        <f t="shared" si="26"/>
        <v>7061</v>
      </c>
      <c r="B255" s="142">
        <f t="shared" si="27"/>
        <v>233</v>
      </c>
      <c r="C255" s="143">
        <f t="shared" si="28"/>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9"/>
        <v>8904.1666666666661</v>
      </c>
    </row>
    <row r="256" spans="1:9" x14ac:dyDescent="0.2">
      <c r="A256" s="86">
        <f t="shared" si="26"/>
        <v>7092</v>
      </c>
      <c r="B256" s="142">
        <f t="shared" si="27"/>
        <v>234</v>
      </c>
      <c r="C256" s="143">
        <f t="shared" si="28"/>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9"/>
        <v>8904.1666666666661</v>
      </c>
    </row>
    <row r="257" spans="1:9" x14ac:dyDescent="0.2">
      <c r="A257" s="86">
        <f t="shared" si="26"/>
        <v>7122</v>
      </c>
      <c r="B257" s="142">
        <f t="shared" si="27"/>
        <v>235</v>
      </c>
      <c r="C257" s="143">
        <f t="shared" si="28"/>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9"/>
        <v>8904.1666666666661</v>
      </c>
    </row>
    <row r="258" spans="1:9" x14ac:dyDescent="0.2">
      <c r="A258" s="86">
        <f t="shared" si="26"/>
        <v>7153</v>
      </c>
      <c r="B258" s="142">
        <f t="shared" si="27"/>
        <v>236</v>
      </c>
      <c r="C258" s="143">
        <f t="shared" si="28"/>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9"/>
        <v>8904.1666666666661</v>
      </c>
    </row>
    <row r="259" spans="1:9" x14ac:dyDescent="0.2">
      <c r="A259" s="86">
        <f t="shared" si="26"/>
        <v>7184</v>
      </c>
      <c r="B259" s="142">
        <f t="shared" si="27"/>
        <v>237</v>
      </c>
      <c r="C259" s="143">
        <f t="shared" si="28"/>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9"/>
        <v>8904.1666666666661</v>
      </c>
    </row>
    <row r="260" spans="1:9" x14ac:dyDescent="0.2">
      <c r="A260" s="86">
        <f t="shared" si="26"/>
        <v>7214</v>
      </c>
      <c r="B260" s="142">
        <f t="shared" si="27"/>
        <v>238</v>
      </c>
      <c r="C260" s="143">
        <f t="shared" si="28"/>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9"/>
        <v>8904.1666666666661</v>
      </c>
    </row>
    <row r="261" spans="1:9" x14ac:dyDescent="0.2">
      <c r="A261" s="86">
        <f t="shared" si="26"/>
        <v>7245</v>
      </c>
      <c r="B261" s="142">
        <f t="shared" si="27"/>
        <v>239</v>
      </c>
      <c r="C261" s="143">
        <f t="shared" si="28"/>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9"/>
        <v>8904.1666666666661</v>
      </c>
    </row>
    <row r="262" spans="1:9" x14ac:dyDescent="0.2">
      <c r="A262" s="87">
        <f t="shared" si="26"/>
        <v>7275</v>
      </c>
      <c r="B262" s="144">
        <f t="shared" si="27"/>
        <v>240</v>
      </c>
      <c r="C262" s="145">
        <f t="shared" si="28"/>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9"/>
        <v>8904.1666666666661</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5" type="noConversion"/>
  <conditionalFormatting sqref="A83:I262">
    <cfRule type="cellIs" dxfId="2"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2019 Tariff (AESO ID No. 2019-016T)
Filename: &amp;F — Page &amp;P of &amp;N&amp;R&amp;8Confidentiality: Proprietary When Competed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4"/>
  <sheetViews>
    <sheetView showGridLines="0" zoomScaleNormal="100" workbookViewId="0">
      <selection activeCell="D50" sqref="D50"/>
    </sheetView>
  </sheetViews>
  <sheetFormatPr defaultRowHeight="12.75" x14ac:dyDescent="0.2"/>
  <cols>
    <col min="1" max="1" width="4" customWidth="1"/>
    <col min="2" max="2" width="12.7109375" customWidth="1"/>
    <col min="3" max="3" width="19.28515625" customWidth="1"/>
    <col min="4" max="4" width="21.28515625" customWidth="1"/>
    <col min="5" max="5" width="19.28515625" customWidth="1"/>
    <col min="6" max="6" width="12.7109375" customWidth="1"/>
    <col min="7" max="7" width="9.7109375" customWidth="1"/>
  </cols>
  <sheetData>
    <row r="1" spans="1:2" ht="10.9" customHeight="1" x14ac:dyDescent="0.2"/>
    <row r="6" spans="1:2" s="306" customFormat="1" ht="18" customHeight="1" x14ac:dyDescent="0.2"/>
    <row r="7" spans="1:2" s="177" customFormat="1" x14ac:dyDescent="0.2">
      <c r="B7" s="251" t="s">
        <v>183</v>
      </c>
    </row>
    <row r="8" spans="1:2" s="177" customFormat="1" x14ac:dyDescent="0.2">
      <c r="B8" s="315" t="s">
        <v>284</v>
      </c>
    </row>
    <row r="9" spans="1:2" s="177" customFormat="1" x14ac:dyDescent="0.2">
      <c r="B9" s="251" t="s">
        <v>184</v>
      </c>
    </row>
    <row r="10" spans="1:2" s="260" customFormat="1" ht="9" x14ac:dyDescent="0.15"/>
    <row r="11" spans="1:2" s="262" customFormat="1" ht="16.5" x14ac:dyDescent="0.2">
      <c r="A11" s="263"/>
      <c r="B11" s="262" t="s">
        <v>154</v>
      </c>
    </row>
    <row r="12" spans="1:2" s="177" customFormat="1" x14ac:dyDescent="0.2">
      <c r="B12" s="315" t="s">
        <v>285</v>
      </c>
    </row>
    <row r="13" spans="1:2" s="177" customFormat="1" x14ac:dyDescent="0.2">
      <c r="B13" s="315" t="s">
        <v>286</v>
      </c>
    </row>
    <row r="14" spans="1:2" s="177" customFormat="1" x14ac:dyDescent="0.2">
      <c r="B14" s="251" t="s">
        <v>186</v>
      </c>
    </row>
    <row r="15" spans="1:2" s="260" customFormat="1" ht="9" x14ac:dyDescent="0.15"/>
    <row r="16" spans="1:2" s="262" customFormat="1" ht="16.5" x14ac:dyDescent="0.2">
      <c r="A16" s="263"/>
      <c r="B16" s="262" t="s">
        <v>155</v>
      </c>
    </row>
    <row r="17" spans="1:2" s="177" customFormat="1" x14ac:dyDescent="0.2">
      <c r="B17" s="251" t="s">
        <v>187</v>
      </c>
    </row>
    <row r="18" spans="1:2" s="177" customFormat="1" x14ac:dyDescent="0.2">
      <c r="B18" s="176" t="s">
        <v>287</v>
      </c>
    </row>
    <row r="19" spans="1:2" s="175" customFormat="1" ht="12" x14ac:dyDescent="0.2"/>
    <row r="20" spans="1:2" s="177" customFormat="1" x14ac:dyDescent="0.2">
      <c r="B20" s="251" t="s">
        <v>156</v>
      </c>
    </row>
    <row r="21" spans="1:2" s="177" customFormat="1" x14ac:dyDescent="0.2">
      <c r="B21" s="176" t="s">
        <v>236</v>
      </c>
    </row>
    <row r="22" spans="1:2" s="177" customFormat="1" x14ac:dyDescent="0.2">
      <c r="B22" s="176" t="s">
        <v>288</v>
      </c>
    </row>
    <row r="23" spans="1:2" s="177" customFormat="1" x14ac:dyDescent="0.2">
      <c r="B23" s="177" t="s">
        <v>289</v>
      </c>
    </row>
    <row r="24" spans="1:2" s="175" customFormat="1" ht="12" x14ac:dyDescent="0.2"/>
    <row r="25" spans="1:2" s="177" customFormat="1" x14ac:dyDescent="0.2">
      <c r="B25" s="251" t="s">
        <v>157</v>
      </c>
    </row>
    <row r="26" spans="1:2" s="177" customFormat="1" x14ac:dyDescent="0.2">
      <c r="B26" s="315" t="s">
        <v>290</v>
      </c>
    </row>
    <row r="27" spans="1:2" s="177" customFormat="1" x14ac:dyDescent="0.2">
      <c r="B27" s="176" t="s">
        <v>291</v>
      </c>
    </row>
    <row r="28" spans="1:2" s="177" customFormat="1" x14ac:dyDescent="0.2">
      <c r="B28" s="176" t="s">
        <v>292</v>
      </c>
    </row>
    <row r="29" spans="1:2" s="260" customFormat="1" ht="9" x14ac:dyDescent="0.15"/>
    <row r="30" spans="1:2" s="262" customFormat="1" ht="16.5" x14ac:dyDescent="0.2">
      <c r="A30" s="263"/>
      <c r="B30" s="262" t="s">
        <v>158</v>
      </c>
    </row>
    <row r="31" spans="1:2" s="273" customFormat="1" x14ac:dyDescent="0.2">
      <c r="B31" s="297" t="s">
        <v>261</v>
      </c>
    </row>
    <row r="32" spans="1:2" s="273" customFormat="1" x14ac:dyDescent="0.2">
      <c r="B32" s="297" t="s">
        <v>293</v>
      </c>
    </row>
    <row r="33" spans="2:9" s="273" customFormat="1" x14ac:dyDescent="0.2">
      <c r="B33" s="297" t="s">
        <v>294</v>
      </c>
    </row>
    <row r="34" spans="2:9" s="273" customFormat="1" x14ac:dyDescent="0.2">
      <c r="B34" s="297" t="s">
        <v>262</v>
      </c>
    </row>
    <row r="35" spans="2:9" s="175" customFormat="1" x14ac:dyDescent="0.2">
      <c r="B35" s="297" t="s">
        <v>263</v>
      </c>
    </row>
    <row r="36" spans="2:9" s="175" customFormat="1" ht="12" x14ac:dyDescent="0.2"/>
    <row r="37" spans="2:9" s="177" customFormat="1" x14ac:dyDescent="0.2">
      <c r="B37" s="176" t="s">
        <v>295</v>
      </c>
      <c r="I37" s="273"/>
    </row>
    <row r="38" spans="2:9" s="177" customFormat="1" x14ac:dyDescent="0.2">
      <c r="B38" s="251" t="s">
        <v>201</v>
      </c>
    </row>
    <row r="39" spans="2:9" s="175" customFormat="1" ht="12" x14ac:dyDescent="0.2"/>
    <row r="40" spans="2:9" s="177" customFormat="1" x14ac:dyDescent="0.2">
      <c r="B40" s="297" t="s">
        <v>296</v>
      </c>
      <c r="C40" s="273"/>
      <c r="D40" s="273"/>
      <c r="E40" s="273"/>
      <c r="F40" s="273"/>
      <c r="G40" s="273"/>
      <c r="I40" s="273"/>
    </row>
    <row r="41" spans="2:9" s="177" customFormat="1" x14ac:dyDescent="0.2">
      <c r="B41" s="397" t="s">
        <v>202</v>
      </c>
      <c r="C41" s="273"/>
      <c r="D41" s="273"/>
      <c r="E41" s="273"/>
      <c r="F41" s="273"/>
      <c r="G41" s="273"/>
    </row>
    <row r="42" spans="2:9" s="177" customFormat="1" x14ac:dyDescent="0.2">
      <c r="B42" s="297" t="s">
        <v>297</v>
      </c>
      <c r="C42" s="273"/>
      <c r="D42" s="273"/>
      <c r="E42" s="273"/>
      <c r="F42" s="273"/>
      <c r="G42" s="273"/>
    </row>
    <row r="43" spans="2:9" s="177" customFormat="1" x14ac:dyDescent="0.2">
      <c r="B43" s="297" t="s">
        <v>298</v>
      </c>
      <c r="C43" s="273"/>
      <c r="D43" s="273"/>
      <c r="E43" s="273"/>
      <c r="F43" s="273"/>
      <c r="G43" s="273"/>
    </row>
    <row r="44" spans="2:9" s="177" customFormat="1" x14ac:dyDescent="0.2">
      <c r="B44" s="297" t="s">
        <v>223</v>
      </c>
      <c r="C44" s="273"/>
      <c r="D44" s="273"/>
      <c r="E44" s="273"/>
      <c r="F44" s="273"/>
      <c r="G44" s="273"/>
    </row>
    <row r="45" spans="2:9" s="177" customFormat="1" x14ac:dyDescent="0.2">
      <c r="B45" s="297" t="s">
        <v>224</v>
      </c>
      <c r="C45" s="273"/>
      <c r="D45" s="273"/>
      <c r="E45" s="273"/>
      <c r="F45" s="273"/>
      <c r="G45" s="273"/>
    </row>
    <row r="46" spans="2:9" s="177" customFormat="1" x14ac:dyDescent="0.2">
      <c r="B46" s="297" t="s">
        <v>225</v>
      </c>
      <c r="C46" s="273"/>
      <c r="D46" s="273"/>
      <c r="E46" s="273"/>
      <c r="F46" s="273"/>
      <c r="G46" s="273"/>
    </row>
    <row r="47" spans="2:9" s="175" customFormat="1" ht="12" x14ac:dyDescent="0.2">
      <c r="B47" s="398"/>
      <c r="C47" s="398"/>
      <c r="D47" s="398"/>
      <c r="E47" s="398"/>
      <c r="F47" s="398"/>
      <c r="G47" s="398"/>
    </row>
    <row r="48" spans="2:9" s="177" customFormat="1" x14ac:dyDescent="0.2">
      <c r="B48" s="251" t="s">
        <v>159</v>
      </c>
    </row>
    <row r="49" spans="2:9" s="177" customFormat="1" x14ac:dyDescent="0.2">
      <c r="B49" s="176" t="s">
        <v>264</v>
      </c>
      <c r="I49" s="273"/>
    </row>
    <row r="50" spans="2:9" s="177" customFormat="1" x14ac:dyDescent="0.2">
      <c r="B50" s="251" t="s">
        <v>160</v>
      </c>
    </row>
    <row r="51" spans="2:9" s="177" customFormat="1" x14ac:dyDescent="0.2">
      <c r="B51" s="251" t="s">
        <v>188</v>
      </c>
    </row>
    <row r="52" spans="2:9" s="177" customFormat="1" x14ac:dyDescent="0.2">
      <c r="B52" s="176" t="s">
        <v>299</v>
      </c>
    </row>
    <row r="53" spans="2:9" s="177" customFormat="1" x14ac:dyDescent="0.2">
      <c r="B53" s="176" t="s">
        <v>300</v>
      </c>
    </row>
    <row r="54" spans="2:9" s="175" customFormat="1" ht="12" x14ac:dyDescent="0.2"/>
    <row r="55" spans="2:9" s="177" customFormat="1" x14ac:dyDescent="0.2">
      <c r="B55" s="315" t="s">
        <v>301</v>
      </c>
    </row>
    <row r="56" spans="2:9" s="177" customFormat="1" x14ac:dyDescent="0.2">
      <c r="B56" s="176" t="s">
        <v>265</v>
      </c>
    </row>
    <row r="57" spans="2:9" s="175" customFormat="1" ht="12" x14ac:dyDescent="0.2"/>
    <row r="61" spans="2:9" s="177" customFormat="1" ht="9" customHeight="1" x14ac:dyDescent="0.2">
      <c r="B61" s="251"/>
    </row>
    <row r="62" spans="2:9" s="250" customFormat="1" ht="11.25" x14ac:dyDescent="0.2">
      <c r="B62" s="280"/>
      <c r="D62" s="252"/>
      <c r="F62" s="281"/>
    </row>
    <row r="63" spans="2:9" s="177" customFormat="1" x14ac:dyDescent="0.2"/>
    <row r="64" spans="2:9" s="177" customFormat="1" x14ac:dyDescent="0.2"/>
  </sheetData>
  <printOptions horizontalCentered="1"/>
  <pageMargins left="0.75" right="0.75" top="0.5" bottom="0.5" header="0.5" footer="0.25"/>
  <pageSetup scale="92" orientation="portrait" r:id="rId1"/>
  <headerFooter alignWithMargins="0">
    <oddFooter>&amp;L&amp;8Posted: 2021-01-08&amp;C&amp;8Page 2&amp;R&amp;8Public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62"/>
  <sheetViews>
    <sheetView showGridLines="0" workbookViewId="0">
      <selection activeCell="A6" sqref="A6"/>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173</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t="s">
        <v>321</v>
      </c>
      <c r="C4" s="443" t="str">
        <f>ProjectName</f>
        <v>Project Name</v>
      </c>
      <c r="D4" s="443"/>
      <c r="E4" s="443"/>
      <c r="F4" s="443"/>
      <c r="G4" s="443"/>
      <c r="H4" s="108" t="s">
        <v>1</v>
      </c>
      <c r="I4" s="294">
        <f>'A1 Costs and Contract'!I11</f>
        <v>44197</v>
      </c>
    </row>
    <row r="5" spans="1:11" x14ac:dyDescent="0.2">
      <c r="A5"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 t="shared" ref="B11:B17" si="0">IF(A11=0,0,DAYS360(D11,E11)/30)</f>
        <v>0</v>
      </c>
      <c r="C11" s="515"/>
      <c r="D11" s="165">
        <f>IF(A11=0,0,DATE(YEAR('A1 Costs and Contract'!B49),MONTH('A1 Costs and Contract'!B49),1))</f>
        <v>0</v>
      </c>
      <c r="E11" s="166">
        <f t="shared" ref="E11:E17" si="1">IF(A11=0,0,E10)</f>
        <v>0</v>
      </c>
    </row>
    <row r="12" spans="1:11" x14ac:dyDescent="0.2">
      <c r="A12" s="13">
        <f>'A1 Costs and Contract'!A50</f>
        <v>0</v>
      </c>
      <c r="B12" s="515">
        <f t="shared" si="0"/>
        <v>0</v>
      </c>
      <c r="C12" s="515"/>
      <c r="D12" s="165">
        <f>IF(A12=0,0,DATE(YEAR('A1 Costs and Contract'!B50),MONTH('A1 Costs and Contract'!B50),1))</f>
        <v>0</v>
      </c>
      <c r="E12" s="166">
        <f t="shared" si="1"/>
        <v>0</v>
      </c>
    </row>
    <row r="13" spans="1:11" x14ac:dyDescent="0.2">
      <c r="A13" s="13">
        <f>'A1 Costs and Contract'!A51</f>
        <v>0</v>
      </c>
      <c r="B13" s="515">
        <f t="shared" si="0"/>
        <v>0</v>
      </c>
      <c r="C13" s="515"/>
      <c r="D13" s="165">
        <f>IF(A13=0,0,DATE(YEAR('A1 Costs and Contract'!B51),MONTH('A1 Costs and Contract'!B51),1))</f>
        <v>0</v>
      </c>
      <c r="E13" s="166">
        <f t="shared" si="1"/>
        <v>0</v>
      </c>
    </row>
    <row r="14" spans="1:11" x14ac:dyDescent="0.2">
      <c r="A14" s="13">
        <f>'A1 Costs and Contract'!A52</f>
        <v>0</v>
      </c>
      <c r="B14" s="515">
        <f t="shared" si="0"/>
        <v>0</v>
      </c>
      <c r="C14" s="515"/>
      <c r="D14" s="165">
        <f>IF(A14=0,0,DATE(YEAR('A1 Costs and Contract'!B52),MONTH('A1 Costs and Contract'!B52),1))</f>
        <v>0</v>
      </c>
      <c r="E14" s="166">
        <f t="shared" si="1"/>
        <v>0</v>
      </c>
    </row>
    <row r="15" spans="1:11" x14ac:dyDescent="0.2">
      <c r="A15" s="13">
        <f>'A1 Costs and Contract'!A53</f>
        <v>0</v>
      </c>
      <c r="B15" s="515">
        <f t="shared" si="0"/>
        <v>0</v>
      </c>
      <c r="C15" s="515"/>
      <c r="D15" s="165">
        <f>IF(A15=0,0,DATE(YEAR('A1 Costs and Contract'!B53),MONTH('A1 Costs and Contract'!B53),1))</f>
        <v>0</v>
      </c>
      <c r="E15" s="166">
        <f t="shared" si="1"/>
        <v>0</v>
      </c>
    </row>
    <row r="16" spans="1:11" x14ac:dyDescent="0.2">
      <c r="A16" s="13">
        <f>'A1 Costs and Contract'!A54</f>
        <v>0</v>
      </c>
      <c r="B16" s="515">
        <f t="shared" si="0"/>
        <v>0</v>
      </c>
      <c r="C16" s="515"/>
      <c r="D16" s="165">
        <f>IF(A16=0,0,DATE(YEAR('A1 Costs and Contract'!B54),MONTH('A1 Costs and Contract'!B54),1))</f>
        <v>0</v>
      </c>
      <c r="E16" s="166">
        <f t="shared" si="1"/>
        <v>0</v>
      </c>
    </row>
    <row r="17" spans="1:9" x14ac:dyDescent="0.2">
      <c r="A17" s="13">
        <f>'A1 Costs and Contract'!A55</f>
        <v>0</v>
      </c>
      <c r="B17" s="515">
        <f t="shared" si="0"/>
        <v>0</v>
      </c>
      <c r="C17" s="515"/>
      <c r="D17" s="165">
        <f>IF(A17=0,0,DATE(YEAR('A1 Costs and Contract'!B55),MONTH('A1 Costs and Contract'!B55),1))</f>
        <v>0</v>
      </c>
      <c r="E17" s="166">
        <f t="shared" si="1"/>
        <v>0</v>
      </c>
    </row>
    <row r="18" spans="1:9" x14ac:dyDescent="0.2">
      <c r="A18" s="14"/>
      <c r="B18" s="517"/>
      <c r="C18" s="517"/>
      <c r="D18" s="167"/>
      <c r="E18" s="168"/>
    </row>
    <row r="19" spans="1:9" x14ac:dyDescent="0.2">
      <c r="A19" s="125"/>
      <c r="B19" s="126"/>
      <c r="C19" s="126"/>
      <c r="D19" s="126"/>
    </row>
    <row r="20" spans="1:9" x14ac:dyDescent="0.2">
      <c r="A20" s="484" t="s">
        <v>110</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54" si="2">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3">SUM(D23:H23)</f>
        <v>8904.1666666666661</v>
      </c>
    </row>
    <row r="24" spans="1:9" x14ac:dyDescent="0.2">
      <c r="A24" s="86">
        <f>DATE(YEAR(A23),MONTH(A23)+1,1)</f>
        <v>32</v>
      </c>
      <c r="B24" s="142">
        <f t="shared" ref="B24:B55" si="4">B23+1</f>
        <v>2</v>
      </c>
      <c r="C24" s="143">
        <f t="shared" si="2"/>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3"/>
        <v>8904.1666666666661</v>
      </c>
    </row>
    <row r="25" spans="1:9" x14ac:dyDescent="0.2">
      <c r="A25" s="86">
        <f t="shared" ref="A25:A82" si="5">DATE(YEAR(A24),MONTH(A24)+1,1)</f>
        <v>61</v>
      </c>
      <c r="B25" s="142">
        <f t="shared" si="4"/>
        <v>3</v>
      </c>
      <c r="C25" s="143">
        <f t="shared" si="2"/>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3"/>
        <v>8904.1666666666661</v>
      </c>
    </row>
    <row r="26" spans="1:9" x14ac:dyDescent="0.2">
      <c r="A26" s="86">
        <f t="shared" si="5"/>
        <v>92</v>
      </c>
      <c r="B26" s="142">
        <f t="shared" si="4"/>
        <v>4</v>
      </c>
      <c r="C26" s="143">
        <f t="shared" si="2"/>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3"/>
        <v>8904.1666666666661</v>
      </c>
    </row>
    <row r="27" spans="1:9" x14ac:dyDescent="0.2">
      <c r="A27" s="86">
        <f t="shared" si="5"/>
        <v>122</v>
      </c>
      <c r="B27" s="142">
        <f t="shared" si="4"/>
        <v>5</v>
      </c>
      <c r="C27" s="143">
        <f t="shared" si="2"/>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3"/>
        <v>8904.1666666666661</v>
      </c>
    </row>
    <row r="28" spans="1:9" x14ac:dyDescent="0.2">
      <c r="A28" s="86">
        <f t="shared" si="5"/>
        <v>153</v>
      </c>
      <c r="B28" s="142">
        <f t="shared" si="4"/>
        <v>6</v>
      </c>
      <c r="C28" s="143">
        <f t="shared" si="2"/>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3"/>
        <v>8904.1666666666661</v>
      </c>
    </row>
    <row r="29" spans="1:9" x14ac:dyDescent="0.2">
      <c r="A29" s="86">
        <f t="shared" si="5"/>
        <v>183</v>
      </c>
      <c r="B29" s="142">
        <f t="shared" si="4"/>
        <v>7</v>
      </c>
      <c r="C29" s="143">
        <f t="shared" si="2"/>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3"/>
        <v>8904.1666666666661</v>
      </c>
    </row>
    <row r="30" spans="1:9" x14ac:dyDescent="0.2">
      <c r="A30" s="86">
        <f t="shared" si="5"/>
        <v>214</v>
      </c>
      <c r="B30" s="142">
        <f t="shared" si="4"/>
        <v>8</v>
      </c>
      <c r="C30" s="143">
        <f t="shared" si="2"/>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3"/>
        <v>8904.1666666666661</v>
      </c>
    </row>
    <row r="31" spans="1:9" x14ac:dyDescent="0.2">
      <c r="A31" s="86">
        <f t="shared" si="5"/>
        <v>245</v>
      </c>
      <c r="B31" s="142">
        <f t="shared" si="4"/>
        <v>9</v>
      </c>
      <c r="C31" s="143">
        <f t="shared" si="2"/>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3"/>
        <v>8904.1666666666661</v>
      </c>
    </row>
    <row r="32" spans="1:9" x14ac:dyDescent="0.2">
      <c r="A32" s="86">
        <f t="shared" si="5"/>
        <v>275</v>
      </c>
      <c r="B32" s="142">
        <f t="shared" si="4"/>
        <v>10</v>
      </c>
      <c r="C32" s="143">
        <f t="shared" si="2"/>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3"/>
        <v>8904.1666666666661</v>
      </c>
    </row>
    <row r="33" spans="1:9" x14ac:dyDescent="0.2">
      <c r="A33" s="86">
        <f t="shared" si="5"/>
        <v>306</v>
      </c>
      <c r="B33" s="142">
        <f t="shared" si="4"/>
        <v>11</v>
      </c>
      <c r="C33" s="143">
        <f t="shared" si="2"/>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3"/>
        <v>8904.1666666666661</v>
      </c>
    </row>
    <row r="34" spans="1:9" x14ac:dyDescent="0.2">
      <c r="A34" s="86">
        <f t="shared" si="5"/>
        <v>336</v>
      </c>
      <c r="B34" s="142">
        <f t="shared" si="4"/>
        <v>12</v>
      </c>
      <c r="C34" s="143">
        <f t="shared" si="2"/>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3"/>
        <v>8904.1666666666661</v>
      </c>
    </row>
    <row r="35" spans="1:9" x14ac:dyDescent="0.2">
      <c r="A35" s="86">
        <f t="shared" si="5"/>
        <v>367</v>
      </c>
      <c r="B35" s="142">
        <f t="shared" si="4"/>
        <v>13</v>
      </c>
      <c r="C35" s="143">
        <f t="shared" si="2"/>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3"/>
        <v>8904.1666666666661</v>
      </c>
    </row>
    <row r="36" spans="1:9" x14ac:dyDescent="0.2">
      <c r="A36" s="86">
        <f t="shared" si="5"/>
        <v>398</v>
      </c>
      <c r="B36" s="142">
        <f t="shared" si="4"/>
        <v>14</v>
      </c>
      <c r="C36" s="143">
        <f t="shared" si="2"/>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3"/>
        <v>8904.1666666666661</v>
      </c>
    </row>
    <row r="37" spans="1:9" x14ac:dyDescent="0.2">
      <c r="A37" s="86">
        <f t="shared" si="5"/>
        <v>426</v>
      </c>
      <c r="B37" s="142">
        <f t="shared" si="4"/>
        <v>15</v>
      </c>
      <c r="C37" s="143">
        <f t="shared" si="2"/>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3"/>
        <v>8904.1666666666661</v>
      </c>
    </row>
    <row r="38" spans="1:9" x14ac:dyDescent="0.2">
      <c r="A38" s="86">
        <f t="shared" si="5"/>
        <v>457</v>
      </c>
      <c r="B38" s="142">
        <f t="shared" si="4"/>
        <v>16</v>
      </c>
      <c r="C38" s="143">
        <f t="shared" si="2"/>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3"/>
        <v>8904.1666666666661</v>
      </c>
    </row>
    <row r="39" spans="1:9" x14ac:dyDescent="0.2">
      <c r="A39" s="86">
        <f t="shared" si="5"/>
        <v>487</v>
      </c>
      <c r="B39" s="142">
        <f t="shared" si="4"/>
        <v>17</v>
      </c>
      <c r="C39" s="143">
        <f t="shared" si="2"/>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3"/>
        <v>8904.1666666666661</v>
      </c>
    </row>
    <row r="40" spans="1:9" x14ac:dyDescent="0.2">
      <c r="A40" s="86">
        <f t="shared" si="5"/>
        <v>518</v>
      </c>
      <c r="B40" s="142">
        <f t="shared" si="4"/>
        <v>18</v>
      </c>
      <c r="C40" s="143">
        <f t="shared" si="2"/>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3"/>
        <v>8904.1666666666661</v>
      </c>
    </row>
    <row r="41" spans="1:9" x14ac:dyDescent="0.2">
      <c r="A41" s="86">
        <f t="shared" si="5"/>
        <v>548</v>
      </c>
      <c r="B41" s="142">
        <f t="shared" si="4"/>
        <v>19</v>
      </c>
      <c r="C41" s="143">
        <f t="shared" si="2"/>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3"/>
        <v>8904.1666666666661</v>
      </c>
    </row>
    <row r="42" spans="1:9" x14ac:dyDescent="0.2">
      <c r="A42" s="86">
        <f t="shared" si="5"/>
        <v>579</v>
      </c>
      <c r="B42" s="142">
        <f t="shared" si="4"/>
        <v>20</v>
      </c>
      <c r="C42" s="143">
        <f t="shared" si="2"/>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3"/>
        <v>8904.1666666666661</v>
      </c>
    </row>
    <row r="43" spans="1:9" x14ac:dyDescent="0.2">
      <c r="A43" s="86">
        <f t="shared" si="5"/>
        <v>610</v>
      </c>
      <c r="B43" s="142">
        <f t="shared" si="4"/>
        <v>21</v>
      </c>
      <c r="C43" s="143">
        <f t="shared" si="2"/>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3"/>
        <v>8904.1666666666661</v>
      </c>
    </row>
    <row r="44" spans="1:9" x14ac:dyDescent="0.2">
      <c r="A44" s="86">
        <f t="shared" si="5"/>
        <v>640</v>
      </c>
      <c r="B44" s="142">
        <f t="shared" si="4"/>
        <v>22</v>
      </c>
      <c r="C44" s="143">
        <f t="shared" si="2"/>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3"/>
        <v>8904.1666666666661</v>
      </c>
    </row>
    <row r="45" spans="1:9" x14ac:dyDescent="0.2">
      <c r="A45" s="86">
        <f t="shared" si="5"/>
        <v>671</v>
      </c>
      <c r="B45" s="142">
        <f t="shared" si="4"/>
        <v>23</v>
      </c>
      <c r="C45" s="143">
        <f t="shared" si="2"/>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3"/>
        <v>8904.1666666666661</v>
      </c>
    </row>
    <row r="46" spans="1:9" x14ac:dyDescent="0.2">
      <c r="A46" s="86">
        <f t="shared" si="5"/>
        <v>701</v>
      </c>
      <c r="B46" s="142">
        <f t="shared" si="4"/>
        <v>24</v>
      </c>
      <c r="C46" s="143">
        <f t="shared" si="2"/>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3"/>
        <v>8904.1666666666661</v>
      </c>
    </row>
    <row r="47" spans="1:9" x14ac:dyDescent="0.2">
      <c r="A47" s="86">
        <f t="shared" si="5"/>
        <v>732</v>
      </c>
      <c r="B47" s="142">
        <f t="shared" si="4"/>
        <v>25</v>
      </c>
      <c r="C47" s="143">
        <f t="shared" si="2"/>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3"/>
        <v>8904.1666666666661</v>
      </c>
    </row>
    <row r="48" spans="1:9" x14ac:dyDescent="0.2">
      <c r="A48" s="86">
        <f t="shared" si="5"/>
        <v>763</v>
      </c>
      <c r="B48" s="142">
        <f t="shared" si="4"/>
        <v>26</v>
      </c>
      <c r="C48" s="143">
        <f t="shared" si="2"/>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3"/>
        <v>8904.1666666666661</v>
      </c>
    </row>
    <row r="49" spans="1:9" x14ac:dyDescent="0.2">
      <c r="A49" s="86">
        <f t="shared" si="5"/>
        <v>791</v>
      </c>
      <c r="B49" s="142">
        <f t="shared" si="4"/>
        <v>27</v>
      </c>
      <c r="C49" s="143">
        <f t="shared" si="2"/>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3"/>
        <v>8904.1666666666661</v>
      </c>
    </row>
    <row r="50" spans="1:9" x14ac:dyDescent="0.2">
      <c r="A50" s="86">
        <f t="shared" si="5"/>
        <v>822</v>
      </c>
      <c r="B50" s="142">
        <f t="shared" si="4"/>
        <v>28</v>
      </c>
      <c r="C50" s="143">
        <f t="shared" si="2"/>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3"/>
        <v>8904.1666666666661</v>
      </c>
    </row>
    <row r="51" spans="1:9" x14ac:dyDescent="0.2">
      <c r="A51" s="86">
        <f t="shared" si="5"/>
        <v>852</v>
      </c>
      <c r="B51" s="142">
        <f t="shared" si="4"/>
        <v>29</v>
      </c>
      <c r="C51" s="143">
        <f t="shared" si="2"/>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3"/>
        <v>8904.1666666666661</v>
      </c>
    </row>
    <row r="52" spans="1:9" x14ac:dyDescent="0.2">
      <c r="A52" s="86">
        <f t="shared" si="5"/>
        <v>883</v>
      </c>
      <c r="B52" s="142">
        <f t="shared" si="4"/>
        <v>30</v>
      </c>
      <c r="C52" s="143">
        <f t="shared" si="2"/>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3"/>
        <v>8904.1666666666661</v>
      </c>
    </row>
    <row r="53" spans="1:9" x14ac:dyDescent="0.2">
      <c r="A53" s="86">
        <f t="shared" si="5"/>
        <v>913</v>
      </c>
      <c r="B53" s="142">
        <f t="shared" si="4"/>
        <v>31</v>
      </c>
      <c r="C53" s="143">
        <f t="shared" si="2"/>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3"/>
        <v>8904.1666666666661</v>
      </c>
    </row>
    <row r="54" spans="1:9" x14ac:dyDescent="0.2">
      <c r="A54" s="86">
        <f t="shared" si="5"/>
        <v>944</v>
      </c>
      <c r="B54" s="142">
        <f t="shared" si="4"/>
        <v>32</v>
      </c>
      <c r="C54" s="143">
        <f t="shared" si="2"/>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3"/>
        <v>8904.1666666666661</v>
      </c>
    </row>
    <row r="55" spans="1:9" x14ac:dyDescent="0.2">
      <c r="A55" s="86">
        <f t="shared" si="5"/>
        <v>975</v>
      </c>
      <c r="B55" s="142">
        <f t="shared" si="4"/>
        <v>33</v>
      </c>
      <c r="C55" s="143">
        <f t="shared" ref="C55:C82" si="6">MATCH($B$9-B55+1,$B$9:$B$18,-1)</f>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7">SUM(D55:H55)</f>
        <v>8904.1666666666661</v>
      </c>
    </row>
    <row r="56" spans="1:9" x14ac:dyDescent="0.2">
      <c r="A56" s="86">
        <f t="shared" si="5"/>
        <v>1005</v>
      </c>
      <c r="B56" s="142">
        <f t="shared" ref="B56:B82" si="8">B55+1</f>
        <v>34</v>
      </c>
      <c r="C56" s="143">
        <f t="shared" si="6"/>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7"/>
        <v>8904.1666666666661</v>
      </c>
    </row>
    <row r="57" spans="1:9" x14ac:dyDescent="0.2">
      <c r="A57" s="86">
        <f t="shared" si="5"/>
        <v>1036</v>
      </c>
      <c r="B57" s="142">
        <f t="shared" si="8"/>
        <v>35</v>
      </c>
      <c r="C57" s="143">
        <f t="shared" si="6"/>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7"/>
        <v>8904.1666666666661</v>
      </c>
    </row>
    <row r="58" spans="1:9" x14ac:dyDescent="0.2">
      <c r="A58" s="86">
        <f t="shared" si="5"/>
        <v>1066</v>
      </c>
      <c r="B58" s="142">
        <f t="shared" si="8"/>
        <v>36</v>
      </c>
      <c r="C58" s="143">
        <f t="shared" si="6"/>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7"/>
        <v>8904.1666666666661</v>
      </c>
    </row>
    <row r="59" spans="1:9" x14ac:dyDescent="0.2">
      <c r="A59" s="86">
        <f t="shared" si="5"/>
        <v>1097</v>
      </c>
      <c r="B59" s="142">
        <f t="shared" si="8"/>
        <v>37</v>
      </c>
      <c r="C59" s="143">
        <f t="shared" si="6"/>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7"/>
        <v>8904.1666666666661</v>
      </c>
    </row>
    <row r="60" spans="1:9" x14ac:dyDescent="0.2">
      <c r="A60" s="86">
        <f t="shared" si="5"/>
        <v>1128</v>
      </c>
      <c r="B60" s="142">
        <f t="shared" si="8"/>
        <v>38</v>
      </c>
      <c r="C60" s="143">
        <f t="shared" si="6"/>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7"/>
        <v>8904.1666666666661</v>
      </c>
    </row>
    <row r="61" spans="1:9" x14ac:dyDescent="0.2">
      <c r="A61" s="86">
        <f t="shared" si="5"/>
        <v>1156</v>
      </c>
      <c r="B61" s="142">
        <f t="shared" si="8"/>
        <v>39</v>
      </c>
      <c r="C61" s="143">
        <f t="shared" si="6"/>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7"/>
        <v>8904.1666666666661</v>
      </c>
    </row>
    <row r="62" spans="1:9" x14ac:dyDescent="0.2">
      <c r="A62" s="86">
        <f t="shared" si="5"/>
        <v>1187</v>
      </c>
      <c r="B62" s="142">
        <f t="shared" si="8"/>
        <v>40</v>
      </c>
      <c r="C62" s="143">
        <f t="shared" si="6"/>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7"/>
        <v>8904.1666666666661</v>
      </c>
    </row>
    <row r="63" spans="1:9" x14ac:dyDescent="0.2">
      <c r="A63" s="86">
        <f t="shared" si="5"/>
        <v>1217</v>
      </c>
      <c r="B63" s="142">
        <f t="shared" si="8"/>
        <v>41</v>
      </c>
      <c r="C63" s="143">
        <f t="shared" si="6"/>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7"/>
        <v>8904.1666666666661</v>
      </c>
    </row>
    <row r="64" spans="1:9" x14ac:dyDescent="0.2">
      <c r="A64" s="86">
        <f t="shared" si="5"/>
        <v>1248</v>
      </c>
      <c r="B64" s="142">
        <f t="shared" si="8"/>
        <v>42</v>
      </c>
      <c r="C64" s="143">
        <f t="shared" si="6"/>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7"/>
        <v>8904.1666666666661</v>
      </c>
    </row>
    <row r="65" spans="1:9" x14ac:dyDescent="0.2">
      <c r="A65" s="86">
        <f t="shared" si="5"/>
        <v>1278</v>
      </c>
      <c r="B65" s="142">
        <f t="shared" si="8"/>
        <v>43</v>
      </c>
      <c r="C65" s="143">
        <f t="shared" si="6"/>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7"/>
        <v>8904.1666666666661</v>
      </c>
    </row>
    <row r="66" spans="1:9" x14ac:dyDescent="0.2">
      <c r="A66" s="86">
        <f t="shared" si="5"/>
        <v>1309</v>
      </c>
      <c r="B66" s="142">
        <f t="shared" si="8"/>
        <v>44</v>
      </c>
      <c r="C66" s="143">
        <f t="shared" si="6"/>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7"/>
        <v>8904.1666666666661</v>
      </c>
    </row>
    <row r="67" spans="1:9" x14ac:dyDescent="0.2">
      <c r="A67" s="86">
        <f t="shared" si="5"/>
        <v>1340</v>
      </c>
      <c r="B67" s="142">
        <f t="shared" si="8"/>
        <v>45</v>
      </c>
      <c r="C67" s="143">
        <f t="shared" si="6"/>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7"/>
        <v>8904.1666666666661</v>
      </c>
    </row>
    <row r="68" spans="1:9" x14ac:dyDescent="0.2">
      <c r="A68" s="86">
        <f t="shared" si="5"/>
        <v>1370</v>
      </c>
      <c r="B68" s="142">
        <f t="shared" si="8"/>
        <v>46</v>
      </c>
      <c r="C68" s="143">
        <f t="shared" si="6"/>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7"/>
        <v>8904.1666666666661</v>
      </c>
    </row>
    <row r="69" spans="1:9" x14ac:dyDescent="0.2">
      <c r="A69" s="86">
        <f t="shared" si="5"/>
        <v>1401</v>
      </c>
      <c r="B69" s="142">
        <f t="shared" si="8"/>
        <v>47</v>
      </c>
      <c r="C69" s="143">
        <f t="shared" si="6"/>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7"/>
        <v>8904.1666666666661</v>
      </c>
    </row>
    <row r="70" spans="1:9" x14ac:dyDescent="0.2">
      <c r="A70" s="86">
        <f t="shared" si="5"/>
        <v>1431</v>
      </c>
      <c r="B70" s="142">
        <f t="shared" si="8"/>
        <v>48</v>
      </c>
      <c r="C70" s="143">
        <f t="shared" si="6"/>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7"/>
        <v>8904.1666666666661</v>
      </c>
    </row>
    <row r="71" spans="1:9" x14ac:dyDescent="0.2">
      <c r="A71" s="86">
        <f t="shared" si="5"/>
        <v>1462</v>
      </c>
      <c r="B71" s="142">
        <f t="shared" si="8"/>
        <v>49</v>
      </c>
      <c r="C71" s="143">
        <f t="shared" si="6"/>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7"/>
        <v>8904.1666666666661</v>
      </c>
    </row>
    <row r="72" spans="1:9" x14ac:dyDescent="0.2">
      <c r="A72" s="86">
        <f t="shared" si="5"/>
        <v>1493</v>
      </c>
      <c r="B72" s="142">
        <f t="shared" si="8"/>
        <v>50</v>
      </c>
      <c r="C72" s="143">
        <f t="shared" si="6"/>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7"/>
        <v>8904.1666666666661</v>
      </c>
    </row>
    <row r="73" spans="1:9" x14ac:dyDescent="0.2">
      <c r="A73" s="86">
        <f t="shared" si="5"/>
        <v>1522</v>
      </c>
      <c r="B73" s="142">
        <f t="shared" si="8"/>
        <v>51</v>
      </c>
      <c r="C73" s="143">
        <f t="shared" si="6"/>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7"/>
        <v>8904.1666666666661</v>
      </c>
    </row>
    <row r="74" spans="1:9" x14ac:dyDescent="0.2">
      <c r="A74" s="86">
        <f t="shared" si="5"/>
        <v>1553</v>
      </c>
      <c r="B74" s="142">
        <f t="shared" si="8"/>
        <v>52</v>
      </c>
      <c r="C74" s="143">
        <f t="shared" si="6"/>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7"/>
        <v>8904.1666666666661</v>
      </c>
    </row>
    <row r="75" spans="1:9" x14ac:dyDescent="0.2">
      <c r="A75" s="86">
        <f t="shared" si="5"/>
        <v>1583</v>
      </c>
      <c r="B75" s="142">
        <f t="shared" si="8"/>
        <v>53</v>
      </c>
      <c r="C75" s="143">
        <f t="shared" si="6"/>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7"/>
        <v>8904.1666666666661</v>
      </c>
    </row>
    <row r="76" spans="1:9" x14ac:dyDescent="0.2">
      <c r="A76" s="86">
        <f t="shared" si="5"/>
        <v>1614</v>
      </c>
      <c r="B76" s="142">
        <f t="shared" si="8"/>
        <v>54</v>
      </c>
      <c r="C76" s="143">
        <f t="shared" si="6"/>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7"/>
        <v>8904.1666666666661</v>
      </c>
    </row>
    <row r="77" spans="1:9" x14ac:dyDescent="0.2">
      <c r="A77" s="86">
        <f t="shared" si="5"/>
        <v>1644</v>
      </c>
      <c r="B77" s="142">
        <f t="shared" si="8"/>
        <v>55</v>
      </c>
      <c r="C77" s="143">
        <f t="shared" si="6"/>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7"/>
        <v>8904.1666666666661</v>
      </c>
    </row>
    <row r="78" spans="1:9" x14ac:dyDescent="0.2">
      <c r="A78" s="86">
        <f t="shared" si="5"/>
        <v>1675</v>
      </c>
      <c r="B78" s="142">
        <f t="shared" si="8"/>
        <v>56</v>
      </c>
      <c r="C78" s="143">
        <f t="shared" si="6"/>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7"/>
        <v>8904.1666666666661</v>
      </c>
    </row>
    <row r="79" spans="1:9" x14ac:dyDescent="0.2">
      <c r="A79" s="86">
        <f t="shared" si="5"/>
        <v>1706</v>
      </c>
      <c r="B79" s="142">
        <f t="shared" si="8"/>
        <v>57</v>
      </c>
      <c r="C79" s="143">
        <f t="shared" si="6"/>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7"/>
        <v>8904.1666666666661</v>
      </c>
    </row>
    <row r="80" spans="1:9" x14ac:dyDescent="0.2">
      <c r="A80" s="86">
        <f t="shared" si="5"/>
        <v>1736</v>
      </c>
      <c r="B80" s="142">
        <f t="shared" si="8"/>
        <v>58</v>
      </c>
      <c r="C80" s="143">
        <f t="shared" si="6"/>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7"/>
        <v>8904.1666666666661</v>
      </c>
    </row>
    <row r="81" spans="1:9" x14ac:dyDescent="0.2">
      <c r="A81" s="86">
        <f t="shared" si="5"/>
        <v>1767</v>
      </c>
      <c r="B81" s="142">
        <f t="shared" si="8"/>
        <v>59</v>
      </c>
      <c r="C81" s="143">
        <f t="shared" si="6"/>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7"/>
        <v>8904.1666666666661</v>
      </c>
    </row>
    <row r="82" spans="1:9" x14ac:dyDescent="0.2">
      <c r="A82" s="86">
        <f t="shared" si="5"/>
        <v>1797</v>
      </c>
      <c r="B82" s="142">
        <f t="shared" si="8"/>
        <v>60</v>
      </c>
      <c r="C82" s="143">
        <f t="shared" si="6"/>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7"/>
        <v>8904.1666666666661</v>
      </c>
    </row>
    <row r="83" spans="1:9" x14ac:dyDescent="0.2">
      <c r="A83" s="86">
        <f>IF(B83="NA","NA",DATE(YEAR(A82),MONTH(A82)+1,1))</f>
        <v>1828</v>
      </c>
      <c r="B83" s="142">
        <f t="shared" ref="B83:B114" si="9">IF(B82="NA","NA",IF((B82+1)&gt;$B$9,"NA",B82+1))</f>
        <v>61</v>
      </c>
      <c r="C83" s="143">
        <f t="shared" ref="C83:C114" si="10">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11">IF(B83="NA","NA",SUM(D83:H83))</f>
        <v>8904.1666666666661</v>
      </c>
    </row>
    <row r="84" spans="1:9" x14ac:dyDescent="0.2">
      <c r="A84" s="86">
        <f t="shared" ref="A84:A147" si="12">IF(B84="NA","NA",DATE(YEAR(A83),MONTH(A83)+1,1))</f>
        <v>1859</v>
      </c>
      <c r="B84" s="142">
        <f t="shared" si="9"/>
        <v>62</v>
      </c>
      <c r="C84" s="143">
        <f t="shared" si="10"/>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11"/>
        <v>8904.1666666666661</v>
      </c>
    </row>
    <row r="85" spans="1:9" x14ac:dyDescent="0.2">
      <c r="A85" s="86">
        <f t="shared" si="12"/>
        <v>1887</v>
      </c>
      <c r="B85" s="142">
        <f t="shared" si="9"/>
        <v>63</v>
      </c>
      <c r="C85" s="143">
        <f t="shared" si="10"/>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11"/>
        <v>8904.1666666666661</v>
      </c>
    </row>
    <row r="86" spans="1:9" x14ac:dyDescent="0.2">
      <c r="A86" s="86">
        <f t="shared" si="12"/>
        <v>1918</v>
      </c>
      <c r="B86" s="142">
        <f t="shared" si="9"/>
        <v>64</v>
      </c>
      <c r="C86" s="143">
        <f t="shared" si="10"/>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11"/>
        <v>8904.1666666666661</v>
      </c>
    </row>
    <row r="87" spans="1:9" x14ac:dyDescent="0.2">
      <c r="A87" s="86">
        <f t="shared" si="12"/>
        <v>1948</v>
      </c>
      <c r="B87" s="142">
        <f t="shared" si="9"/>
        <v>65</v>
      </c>
      <c r="C87" s="143">
        <f t="shared" si="10"/>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11"/>
        <v>8904.1666666666661</v>
      </c>
    </row>
    <row r="88" spans="1:9" x14ac:dyDescent="0.2">
      <c r="A88" s="86">
        <f t="shared" si="12"/>
        <v>1979</v>
      </c>
      <c r="B88" s="142">
        <f t="shared" si="9"/>
        <v>66</v>
      </c>
      <c r="C88" s="143">
        <f t="shared" si="10"/>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11"/>
        <v>8904.1666666666661</v>
      </c>
    </row>
    <row r="89" spans="1:9" x14ac:dyDescent="0.2">
      <c r="A89" s="86">
        <f t="shared" si="12"/>
        <v>2009</v>
      </c>
      <c r="B89" s="142">
        <f t="shared" si="9"/>
        <v>67</v>
      </c>
      <c r="C89" s="143">
        <f t="shared" si="10"/>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11"/>
        <v>8904.1666666666661</v>
      </c>
    </row>
    <row r="90" spans="1:9" x14ac:dyDescent="0.2">
      <c r="A90" s="86">
        <f t="shared" si="12"/>
        <v>2040</v>
      </c>
      <c r="B90" s="142">
        <f t="shared" si="9"/>
        <v>68</v>
      </c>
      <c r="C90" s="143">
        <f t="shared" si="10"/>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11"/>
        <v>8904.1666666666661</v>
      </c>
    </row>
    <row r="91" spans="1:9" x14ac:dyDescent="0.2">
      <c r="A91" s="86">
        <f t="shared" si="12"/>
        <v>2071</v>
      </c>
      <c r="B91" s="142">
        <f t="shared" si="9"/>
        <v>69</v>
      </c>
      <c r="C91" s="143">
        <f t="shared" si="10"/>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11"/>
        <v>8904.1666666666661</v>
      </c>
    </row>
    <row r="92" spans="1:9" x14ac:dyDescent="0.2">
      <c r="A92" s="86">
        <f t="shared" si="12"/>
        <v>2101</v>
      </c>
      <c r="B92" s="142">
        <f t="shared" si="9"/>
        <v>70</v>
      </c>
      <c r="C92" s="143">
        <f t="shared" si="10"/>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11"/>
        <v>8904.1666666666661</v>
      </c>
    </row>
    <row r="93" spans="1:9" x14ac:dyDescent="0.2">
      <c r="A93" s="86">
        <f t="shared" si="12"/>
        <v>2132</v>
      </c>
      <c r="B93" s="142">
        <f t="shared" si="9"/>
        <v>71</v>
      </c>
      <c r="C93" s="143">
        <f t="shared" si="10"/>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11"/>
        <v>8904.1666666666661</v>
      </c>
    </row>
    <row r="94" spans="1:9" x14ac:dyDescent="0.2">
      <c r="A94" s="86">
        <f t="shared" si="12"/>
        <v>2162</v>
      </c>
      <c r="B94" s="142">
        <f t="shared" si="9"/>
        <v>72</v>
      </c>
      <c r="C94" s="143">
        <f t="shared" si="10"/>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11"/>
        <v>8904.1666666666661</v>
      </c>
    </row>
    <row r="95" spans="1:9" x14ac:dyDescent="0.2">
      <c r="A95" s="86">
        <f t="shared" si="12"/>
        <v>2193</v>
      </c>
      <c r="B95" s="142">
        <f t="shared" si="9"/>
        <v>73</v>
      </c>
      <c r="C95" s="143">
        <f t="shared" si="10"/>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11"/>
        <v>8904.1666666666661</v>
      </c>
    </row>
    <row r="96" spans="1:9" x14ac:dyDescent="0.2">
      <c r="A96" s="86">
        <f t="shared" si="12"/>
        <v>2224</v>
      </c>
      <c r="B96" s="142">
        <f t="shared" si="9"/>
        <v>74</v>
      </c>
      <c r="C96" s="143">
        <f t="shared" si="10"/>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11"/>
        <v>8904.1666666666661</v>
      </c>
    </row>
    <row r="97" spans="1:9" x14ac:dyDescent="0.2">
      <c r="A97" s="86">
        <f t="shared" si="12"/>
        <v>2252</v>
      </c>
      <c r="B97" s="142">
        <f t="shared" si="9"/>
        <v>75</v>
      </c>
      <c r="C97" s="143">
        <f t="shared" si="10"/>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11"/>
        <v>8904.1666666666661</v>
      </c>
    </row>
    <row r="98" spans="1:9" x14ac:dyDescent="0.2">
      <c r="A98" s="86">
        <f t="shared" si="12"/>
        <v>2283</v>
      </c>
      <c r="B98" s="142">
        <f t="shared" si="9"/>
        <v>76</v>
      </c>
      <c r="C98" s="143">
        <f t="shared" si="10"/>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11"/>
        <v>8904.1666666666661</v>
      </c>
    </row>
    <row r="99" spans="1:9" x14ac:dyDescent="0.2">
      <c r="A99" s="86">
        <f t="shared" si="12"/>
        <v>2313</v>
      </c>
      <c r="B99" s="142">
        <f t="shared" si="9"/>
        <v>77</v>
      </c>
      <c r="C99" s="143">
        <f t="shared" si="10"/>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11"/>
        <v>8904.1666666666661</v>
      </c>
    </row>
    <row r="100" spans="1:9" x14ac:dyDescent="0.2">
      <c r="A100" s="86">
        <f t="shared" si="12"/>
        <v>2344</v>
      </c>
      <c r="B100" s="142">
        <f t="shared" si="9"/>
        <v>78</v>
      </c>
      <c r="C100" s="143">
        <f t="shared" si="10"/>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11"/>
        <v>8904.1666666666661</v>
      </c>
    </row>
    <row r="101" spans="1:9" x14ac:dyDescent="0.2">
      <c r="A101" s="86">
        <f t="shared" si="12"/>
        <v>2374</v>
      </c>
      <c r="B101" s="142">
        <f t="shared" si="9"/>
        <v>79</v>
      </c>
      <c r="C101" s="143">
        <f t="shared" si="10"/>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11"/>
        <v>8904.1666666666661</v>
      </c>
    </row>
    <row r="102" spans="1:9" x14ac:dyDescent="0.2">
      <c r="A102" s="86">
        <f t="shared" si="12"/>
        <v>2405</v>
      </c>
      <c r="B102" s="142">
        <f t="shared" si="9"/>
        <v>80</v>
      </c>
      <c r="C102" s="143">
        <f t="shared" si="10"/>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11"/>
        <v>8904.1666666666661</v>
      </c>
    </row>
    <row r="103" spans="1:9" x14ac:dyDescent="0.2">
      <c r="A103" s="86">
        <f t="shared" si="12"/>
        <v>2436</v>
      </c>
      <c r="B103" s="142">
        <f t="shared" si="9"/>
        <v>81</v>
      </c>
      <c r="C103" s="143">
        <f t="shared" si="10"/>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11"/>
        <v>8904.1666666666661</v>
      </c>
    </row>
    <row r="104" spans="1:9" x14ac:dyDescent="0.2">
      <c r="A104" s="86">
        <f t="shared" si="12"/>
        <v>2466</v>
      </c>
      <c r="B104" s="142">
        <f t="shared" si="9"/>
        <v>82</v>
      </c>
      <c r="C104" s="143">
        <f t="shared" si="10"/>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11"/>
        <v>8904.1666666666661</v>
      </c>
    </row>
    <row r="105" spans="1:9" x14ac:dyDescent="0.2">
      <c r="A105" s="86">
        <f t="shared" si="12"/>
        <v>2497</v>
      </c>
      <c r="B105" s="142">
        <f t="shared" si="9"/>
        <v>83</v>
      </c>
      <c r="C105" s="143">
        <f t="shared" si="10"/>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11"/>
        <v>8904.1666666666661</v>
      </c>
    </row>
    <row r="106" spans="1:9" x14ac:dyDescent="0.2">
      <c r="A106" s="86">
        <f t="shared" si="12"/>
        <v>2527</v>
      </c>
      <c r="B106" s="142">
        <f t="shared" si="9"/>
        <v>84</v>
      </c>
      <c r="C106" s="143">
        <f t="shared" si="10"/>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11"/>
        <v>8904.1666666666661</v>
      </c>
    </row>
    <row r="107" spans="1:9" x14ac:dyDescent="0.2">
      <c r="A107" s="86">
        <f t="shared" si="12"/>
        <v>2558</v>
      </c>
      <c r="B107" s="142">
        <f t="shared" si="9"/>
        <v>85</v>
      </c>
      <c r="C107" s="143">
        <f t="shared" si="10"/>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11"/>
        <v>8904.1666666666661</v>
      </c>
    </row>
    <row r="108" spans="1:9" x14ac:dyDescent="0.2">
      <c r="A108" s="86">
        <f t="shared" si="12"/>
        <v>2589</v>
      </c>
      <c r="B108" s="142">
        <f t="shared" si="9"/>
        <v>86</v>
      </c>
      <c r="C108" s="143">
        <f t="shared" si="10"/>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11"/>
        <v>8904.1666666666661</v>
      </c>
    </row>
    <row r="109" spans="1:9" x14ac:dyDescent="0.2">
      <c r="A109" s="86">
        <f t="shared" si="12"/>
        <v>2617</v>
      </c>
      <c r="B109" s="142">
        <f t="shared" si="9"/>
        <v>87</v>
      </c>
      <c r="C109" s="143">
        <f t="shared" si="10"/>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11"/>
        <v>8904.1666666666661</v>
      </c>
    </row>
    <row r="110" spans="1:9" x14ac:dyDescent="0.2">
      <c r="A110" s="86">
        <f t="shared" si="12"/>
        <v>2648</v>
      </c>
      <c r="B110" s="142">
        <f t="shared" si="9"/>
        <v>88</v>
      </c>
      <c r="C110" s="143">
        <f t="shared" si="10"/>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11"/>
        <v>8904.1666666666661</v>
      </c>
    </row>
    <row r="111" spans="1:9" x14ac:dyDescent="0.2">
      <c r="A111" s="86">
        <f t="shared" si="12"/>
        <v>2678</v>
      </c>
      <c r="B111" s="142">
        <f t="shared" si="9"/>
        <v>89</v>
      </c>
      <c r="C111" s="143">
        <f t="shared" si="10"/>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11"/>
        <v>8904.1666666666661</v>
      </c>
    </row>
    <row r="112" spans="1:9" x14ac:dyDescent="0.2">
      <c r="A112" s="86">
        <f t="shared" si="12"/>
        <v>2709</v>
      </c>
      <c r="B112" s="142">
        <f t="shared" si="9"/>
        <v>90</v>
      </c>
      <c r="C112" s="143">
        <f t="shared" si="10"/>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11"/>
        <v>8904.1666666666661</v>
      </c>
    </row>
    <row r="113" spans="1:9" x14ac:dyDescent="0.2">
      <c r="A113" s="86">
        <f t="shared" si="12"/>
        <v>2739</v>
      </c>
      <c r="B113" s="142">
        <f t="shared" si="9"/>
        <v>91</v>
      </c>
      <c r="C113" s="143">
        <f t="shared" si="10"/>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11"/>
        <v>8904.1666666666661</v>
      </c>
    </row>
    <row r="114" spans="1:9" x14ac:dyDescent="0.2">
      <c r="A114" s="86">
        <f t="shared" si="12"/>
        <v>2770</v>
      </c>
      <c r="B114" s="142">
        <f t="shared" si="9"/>
        <v>92</v>
      </c>
      <c r="C114" s="143">
        <f t="shared" si="10"/>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11"/>
        <v>8904.1666666666661</v>
      </c>
    </row>
    <row r="115" spans="1:9" x14ac:dyDescent="0.2">
      <c r="A115" s="86">
        <f t="shared" si="12"/>
        <v>2801</v>
      </c>
      <c r="B115" s="142">
        <f t="shared" ref="B115:B146" si="13">IF(B114="NA","NA",IF((B114+1)&gt;$B$9,"NA",B114+1))</f>
        <v>93</v>
      </c>
      <c r="C115" s="143">
        <f t="shared" ref="C115:C146" si="14">IF(B115="NA","NA",MATCH($B$9-B115+1,$B$9:$B$18,-1))</f>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5">IF(B115="NA","NA",SUM(D115:H115))</f>
        <v>8904.1666666666661</v>
      </c>
    </row>
    <row r="116" spans="1:9" x14ac:dyDescent="0.2">
      <c r="A116" s="86">
        <f t="shared" si="12"/>
        <v>2831</v>
      </c>
      <c r="B116" s="142">
        <f t="shared" si="13"/>
        <v>94</v>
      </c>
      <c r="C116" s="143">
        <f t="shared" si="14"/>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5"/>
        <v>8904.1666666666661</v>
      </c>
    </row>
    <row r="117" spans="1:9" x14ac:dyDescent="0.2">
      <c r="A117" s="86">
        <f t="shared" si="12"/>
        <v>2862</v>
      </c>
      <c r="B117" s="142">
        <f t="shared" si="13"/>
        <v>95</v>
      </c>
      <c r="C117" s="143">
        <f t="shared" si="14"/>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5"/>
        <v>8904.1666666666661</v>
      </c>
    </row>
    <row r="118" spans="1:9" x14ac:dyDescent="0.2">
      <c r="A118" s="86">
        <f t="shared" si="12"/>
        <v>2892</v>
      </c>
      <c r="B118" s="142">
        <f t="shared" si="13"/>
        <v>96</v>
      </c>
      <c r="C118" s="143">
        <f t="shared" si="14"/>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5"/>
        <v>8904.1666666666661</v>
      </c>
    </row>
    <row r="119" spans="1:9" x14ac:dyDescent="0.2">
      <c r="A119" s="86">
        <f t="shared" si="12"/>
        <v>2923</v>
      </c>
      <c r="B119" s="142">
        <f t="shared" si="13"/>
        <v>97</v>
      </c>
      <c r="C119" s="143">
        <f t="shared" si="14"/>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5"/>
        <v>8904.1666666666661</v>
      </c>
    </row>
    <row r="120" spans="1:9" x14ac:dyDescent="0.2">
      <c r="A120" s="86">
        <f t="shared" si="12"/>
        <v>2954</v>
      </c>
      <c r="B120" s="142">
        <f t="shared" si="13"/>
        <v>98</v>
      </c>
      <c r="C120" s="143">
        <f t="shared" si="14"/>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5"/>
        <v>8904.1666666666661</v>
      </c>
    </row>
    <row r="121" spans="1:9" x14ac:dyDescent="0.2">
      <c r="A121" s="86">
        <f t="shared" si="12"/>
        <v>2983</v>
      </c>
      <c r="B121" s="142">
        <f t="shared" si="13"/>
        <v>99</v>
      </c>
      <c r="C121" s="143">
        <f t="shared" si="14"/>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5"/>
        <v>8904.1666666666661</v>
      </c>
    </row>
    <row r="122" spans="1:9" x14ac:dyDescent="0.2">
      <c r="A122" s="86">
        <f t="shared" si="12"/>
        <v>3014</v>
      </c>
      <c r="B122" s="142">
        <f t="shared" si="13"/>
        <v>100</v>
      </c>
      <c r="C122" s="143">
        <f t="shared" si="14"/>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5"/>
        <v>8904.1666666666661</v>
      </c>
    </row>
    <row r="123" spans="1:9" x14ac:dyDescent="0.2">
      <c r="A123" s="86">
        <f t="shared" si="12"/>
        <v>3044</v>
      </c>
      <c r="B123" s="142">
        <f t="shared" si="13"/>
        <v>101</v>
      </c>
      <c r="C123" s="143">
        <f t="shared" si="14"/>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5"/>
        <v>8904.1666666666661</v>
      </c>
    </row>
    <row r="124" spans="1:9" x14ac:dyDescent="0.2">
      <c r="A124" s="86">
        <f t="shared" si="12"/>
        <v>3075</v>
      </c>
      <c r="B124" s="142">
        <f t="shared" si="13"/>
        <v>102</v>
      </c>
      <c r="C124" s="143">
        <f t="shared" si="14"/>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5"/>
        <v>8904.1666666666661</v>
      </c>
    </row>
    <row r="125" spans="1:9" x14ac:dyDescent="0.2">
      <c r="A125" s="86">
        <f t="shared" si="12"/>
        <v>3105</v>
      </c>
      <c r="B125" s="142">
        <f t="shared" si="13"/>
        <v>103</v>
      </c>
      <c r="C125" s="143">
        <f t="shared" si="14"/>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5"/>
        <v>8904.1666666666661</v>
      </c>
    </row>
    <row r="126" spans="1:9" x14ac:dyDescent="0.2">
      <c r="A126" s="86">
        <f t="shared" si="12"/>
        <v>3136</v>
      </c>
      <c r="B126" s="142">
        <f t="shared" si="13"/>
        <v>104</v>
      </c>
      <c r="C126" s="143">
        <f t="shared" si="14"/>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5"/>
        <v>8904.1666666666661</v>
      </c>
    </row>
    <row r="127" spans="1:9" x14ac:dyDescent="0.2">
      <c r="A127" s="86">
        <f t="shared" si="12"/>
        <v>3167</v>
      </c>
      <c r="B127" s="142">
        <f t="shared" si="13"/>
        <v>105</v>
      </c>
      <c r="C127" s="143">
        <f t="shared" si="14"/>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5"/>
        <v>8904.1666666666661</v>
      </c>
    </row>
    <row r="128" spans="1:9" x14ac:dyDescent="0.2">
      <c r="A128" s="86">
        <f t="shared" si="12"/>
        <v>3197</v>
      </c>
      <c r="B128" s="142">
        <f t="shared" si="13"/>
        <v>106</v>
      </c>
      <c r="C128" s="143">
        <f t="shared" si="14"/>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5"/>
        <v>8904.1666666666661</v>
      </c>
    </row>
    <row r="129" spans="1:9" x14ac:dyDescent="0.2">
      <c r="A129" s="86">
        <f t="shared" si="12"/>
        <v>3228</v>
      </c>
      <c r="B129" s="142">
        <f t="shared" si="13"/>
        <v>107</v>
      </c>
      <c r="C129" s="143">
        <f t="shared" si="14"/>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5"/>
        <v>8904.1666666666661</v>
      </c>
    </row>
    <row r="130" spans="1:9" x14ac:dyDescent="0.2">
      <c r="A130" s="86">
        <f t="shared" si="12"/>
        <v>3258</v>
      </c>
      <c r="B130" s="142">
        <f t="shared" si="13"/>
        <v>108</v>
      </c>
      <c r="C130" s="143">
        <f t="shared" si="14"/>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5"/>
        <v>8904.1666666666661</v>
      </c>
    </row>
    <row r="131" spans="1:9" x14ac:dyDescent="0.2">
      <c r="A131" s="86">
        <f t="shared" si="12"/>
        <v>3289</v>
      </c>
      <c r="B131" s="142">
        <f t="shared" si="13"/>
        <v>109</v>
      </c>
      <c r="C131" s="143">
        <f t="shared" si="14"/>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5"/>
        <v>8904.1666666666661</v>
      </c>
    </row>
    <row r="132" spans="1:9" x14ac:dyDescent="0.2">
      <c r="A132" s="86">
        <f t="shared" si="12"/>
        <v>3320</v>
      </c>
      <c r="B132" s="142">
        <f t="shared" si="13"/>
        <v>110</v>
      </c>
      <c r="C132" s="143">
        <f t="shared" si="14"/>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5"/>
        <v>8904.1666666666661</v>
      </c>
    </row>
    <row r="133" spans="1:9" x14ac:dyDescent="0.2">
      <c r="A133" s="86">
        <f t="shared" si="12"/>
        <v>3348</v>
      </c>
      <c r="B133" s="142">
        <f t="shared" si="13"/>
        <v>111</v>
      </c>
      <c r="C133" s="143">
        <f t="shared" si="14"/>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5"/>
        <v>8904.1666666666661</v>
      </c>
    </row>
    <row r="134" spans="1:9" x14ac:dyDescent="0.2">
      <c r="A134" s="86">
        <f t="shared" si="12"/>
        <v>3379</v>
      </c>
      <c r="B134" s="142">
        <f t="shared" si="13"/>
        <v>112</v>
      </c>
      <c r="C134" s="143">
        <f t="shared" si="14"/>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5"/>
        <v>8904.1666666666661</v>
      </c>
    </row>
    <row r="135" spans="1:9" x14ac:dyDescent="0.2">
      <c r="A135" s="86">
        <f t="shared" si="12"/>
        <v>3409</v>
      </c>
      <c r="B135" s="142">
        <f t="shared" si="13"/>
        <v>113</v>
      </c>
      <c r="C135" s="143">
        <f t="shared" si="14"/>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5"/>
        <v>8904.1666666666661</v>
      </c>
    </row>
    <row r="136" spans="1:9" x14ac:dyDescent="0.2">
      <c r="A136" s="86">
        <f t="shared" si="12"/>
        <v>3440</v>
      </c>
      <c r="B136" s="142">
        <f t="shared" si="13"/>
        <v>114</v>
      </c>
      <c r="C136" s="143">
        <f t="shared" si="14"/>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5"/>
        <v>8904.1666666666661</v>
      </c>
    </row>
    <row r="137" spans="1:9" x14ac:dyDescent="0.2">
      <c r="A137" s="86">
        <f t="shared" si="12"/>
        <v>3470</v>
      </c>
      <c r="B137" s="142">
        <f t="shared" si="13"/>
        <v>115</v>
      </c>
      <c r="C137" s="143">
        <f t="shared" si="14"/>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5"/>
        <v>8904.1666666666661</v>
      </c>
    </row>
    <row r="138" spans="1:9" x14ac:dyDescent="0.2">
      <c r="A138" s="86">
        <f t="shared" si="12"/>
        <v>3501</v>
      </c>
      <c r="B138" s="142">
        <f t="shared" si="13"/>
        <v>116</v>
      </c>
      <c r="C138" s="143">
        <f t="shared" si="14"/>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5"/>
        <v>8904.1666666666661</v>
      </c>
    </row>
    <row r="139" spans="1:9" x14ac:dyDescent="0.2">
      <c r="A139" s="86">
        <f t="shared" si="12"/>
        <v>3532</v>
      </c>
      <c r="B139" s="142">
        <f t="shared" si="13"/>
        <v>117</v>
      </c>
      <c r="C139" s="143">
        <f t="shared" si="14"/>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5"/>
        <v>8904.1666666666661</v>
      </c>
    </row>
    <row r="140" spans="1:9" x14ac:dyDescent="0.2">
      <c r="A140" s="86">
        <f t="shared" si="12"/>
        <v>3562</v>
      </c>
      <c r="B140" s="142">
        <f t="shared" si="13"/>
        <v>118</v>
      </c>
      <c r="C140" s="143">
        <f t="shared" si="14"/>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5"/>
        <v>8904.1666666666661</v>
      </c>
    </row>
    <row r="141" spans="1:9" x14ac:dyDescent="0.2">
      <c r="A141" s="86">
        <f t="shared" si="12"/>
        <v>3593</v>
      </c>
      <c r="B141" s="142">
        <f t="shared" si="13"/>
        <v>119</v>
      </c>
      <c r="C141" s="143">
        <f t="shared" si="14"/>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5"/>
        <v>8904.1666666666661</v>
      </c>
    </row>
    <row r="142" spans="1:9" x14ac:dyDescent="0.2">
      <c r="A142" s="86">
        <f t="shared" si="12"/>
        <v>3623</v>
      </c>
      <c r="B142" s="142">
        <f t="shared" si="13"/>
        <v>120</v>
      </c>
      <c r="C142" s="143">
        <f t="shared" si="14"/>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5"/>
        <v>8904.1666666666661</v>
      </c>
    </row>
    <row r="143" spans="1:9" x14ac:dyDescent="0.2">
      <c r="A143" s="86">
        <f t="shared" si="12"/>
        <v>3654</v>
      </c>
      <c r="B143" s="142">
        <f t="shared" si="13"/>
        <v>121</v>
      </c>
      <c r="C143" s="143">
        <f t="shared" si="14"/>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5"/>
        <v>8904.1666666666661</v>
      </c>
    </row>
    <row r="144" spans="1:9" x14ac:dyDescent="0.2">
      <c r="A144" s="86">
        <f t="shared" si="12"/>
        <v>3685</v>
      </c>
      <c r="B144" s="142">
        <f t="shared" si="13"/>
        <v>122</v>
      </c>
      <c r="C144" s="143">
        <f t="shared" si="14"/>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5"/>
        <v>8904.1666666666661</v>
      </c>
    </row>
    <row r="145" spans="1:9" x14ac:dyDescent="0.2">
      <c r="A145" s="86">
        <f t="shared" si="12"/>
        <v>3713</v>
      </c>
      <c r="B145" s="142">
        <f t="shared" si="13"/>
        <v>123</v>
      </c>
      <c r="C145" s="143">
        <f t="shared" si="14"/>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5"/>
        <v>8904.1666666666661</v>
      </c>
    </row>
    <row r="146" spans="1:9" x14ac:dyDescent="0.2">
      <c r="A146" s="86">
        <f t="shared" si="12"/>
        <v>3744</v>
      </c>
      <c r="B146" s="142">
        <f t="shared" si="13"/>
        <v>124</v>
      </c>
      <c r="C146" s="143">
        <f t="shared" si="14"/>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5"/>
        <v>8904.1666666666661</v>
      </c>
    </row>
    <row r="147" spans="1:9" x14ac:dyDescent="0.2">
      <c r="A147" s="86">
        <f t="shared" si="12"/>
        <v>3774</v>
      </c>
      <c r="B147" s="142">
        <f t="shared" ref="B147:B178" si="16">IF(B146="NA","NA",IF((B146+1)&gt;$B$9,"NA",B146+1))</f>
        <v>125</v>
      </c>
      <c r="C147" s="143">
        <f t="shared" ref="C147:C178" si="17">IF(B147="NA","NA",MATCH($B$9-B147+1,$B$9:$B$18,-1))</f>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8">IF(B147="NA","NA",SUM(D147:H147))</f>
        <v>8904.1666666666661</v>
      </c>
    </row>
    <row r="148" spans="1:9" x14ac:dyDescent="0.2">
      <c r="A148" s="86">
        <f t="shared" ref="A148:A211" si="19">IF(B148="NA","NA",DATE(YEAR(A147),MONTH(A147)+1,1))</f>
        <v>3805</v>
      </c>
      <c r="B148" s="142">
        <f t="shared" si="16"/>
        <v>126</v>
      </c>
      <c r="C148" s="143">
        <f t="shared" si="17"/>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8"/>
        <v>8904.1666666666661</v>
      </c>
    </row>
    <row r="149" spans="1:9" x14ac:dyDescent="0.2">
      <c r="A149" s="86">
        <f t="shared" si="19"/>
        <v>3835</v>
      </c>
      <c r="B149" s="142">
        <f t="shared" si="16"/>
        <v>127</v>
      </c>
      <c r="C149" s="143">
        <f t="shared" si="17"/>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8"/>
        <v>8904.1666666666661</v>
      </c>
    </row>
    <row r="150" spans="1:9" x14ac:dyDescent="0.2">
      <c r="A150" s="86">
        <f t="shared" si="19"/>
        <v>3866</v>
      </c>
      <c r="B150" s="142">
        <f t="shared" si="16"/>
        <v>128</v>
      </c>
      <c r="C150" s="143">
        <f t="shared" si="17"/>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8"/>
        <v>8904.1666666666661</v>
      </c>
    </row>
    <row r="151" spans="1:9" x14ac:dyDescent="0.2">
      <c r="A151" s="86">
        <f t="shared" si="19"/>
        <v>3897</v>
      </c>
      <c r="B151" s="142">
        <f t="shared" si="16"/>
        <v>129</v>
      </c>
      <c r="C151" s="143">
        <f t="shared" si="17"/>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8"/>
        <v>8904.1666666666661</v>
      </c>
    </row>
    <row r="152" spans="1:9" x14ac:dyDescent="0.2">
      <c r="A152" s="86">
        <f t="shared" si="19"/>
        <v>3927</v>
      </c>
      <c r="B152" s="142">
        <f t="shared" si="16"/>
        <v>130</v>
      </c>
      <c r="C152" s="143">
        <f t="shared" si="17"/>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8"/>
        <v>8904.1666666666661</v>
      </c>
    </row>
    <row r="153" spans="1:9" x14ac:dyDescent="0.2">
      <c r="A153" s="86">
        <f t="shared" si="19"/>
        <v>3958</v>
      </c>
      <c r="B153" s="142">
        <f t="shared" si="16"/>
        <v>131</v>
      </c>
      <c r="C153" s="143">
        <f t="shared" si="17"/>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8"/>
        <v>8904.1666666666661</v>
      </c>
    </row>
    <row r="154" spans="1:9" x14ac:dyDescent="0.2">
      <c r="A154" s="86">
        <f t="shared" si="19"/>
        <v>3988</v>
      </c>
      <c r="B154" s="142">
        <f t="shared" si="16"/>
        <v>132</v>
      </c>
      <c r="C154" s="143">
        <f t="shared" si="17"/>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8"/>
        <v>8904.1666666666661</v>
      </c>
    </row>
    <row r="155" spans="1:9" x14ac:dyDescent="0.2">
      <c r="A155" s="86">
        <f t="shared" si="19"/>
        <v>4019</v>
      </c>
      <c r="B155" s="142">
        <f t="shared" si="16"/>
        <v>133</v>
      </c>
      <c r="C155" s="143">
        <f t="shared" si="17"/>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8"/>
        <v>8904.1666666666661</v>
      </c>
    </row>
    <row r="156" spans="1:9" x14ac:dyDescent="0.2">
      <c r="A156" s="86">
        <f t="shared" si="19"/>
        <v>4050</v>
      </c>
      <c r="B156" s="142">
        <f t="shared" si="16"/>
        <v>134</v>
      </c>
      <c r="C156" s="143">
        <f t="shared" si="17"/>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8"/>
        <v>8904.1666666666661</v>
      </c>
    </row>
    <row r="157" spans="1:9" x14ac:dyDescent="0.2">
      <c r="A157" s="86">
        <f t="shared" si="19"/>
        <v>4078</v>
      </c>
      <c r="B157" s="142">
        <f t="shared" si="16"/>
        <v>135</v>
      </c>
      <c r="C157" s="143">
        <f t="shared" si="17"/>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8"/>
        <v>8904.1666666666661</v>
      </c>
    </row>
    <row r="158" spans="1:9" x14ac:dyDescent="0.2">
      <c r="A158" s="86">
        <f t="shared" si="19"/>
        <v>4109</v>
      </c>
      <c r="B158" s="142">
        <f t="shared" si="16"/>
        <v>136</v>
      </c>
      <c r="C158" s="143">
        <f t="shared" si="17"/>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8"/>
        <v>8904.1666666666661</v>
      </c>
    </row>
    <row r="159" spans="1:9" x14ac:dyDescent="0.2">
      <c r="A159" s="86">
        <f t="shared" si="19"/>
        <v>4139</v>
      </c>
      <c r="B159" s="142">
        <f t="shared" si="16"/>
        <v>137</v>
      </c>
      <c r="C159" s="143">
        <f t="shared" si="17"/>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8"/>
        <v>8904.1666666666661</v>
      </c>
    </row>
    <row r="160" spans="1:9" x14ac:dyDescent="0.2">
      <c r="A160" s="86">
        <f t="shared" si="19"/>
        <v>4170</v>
      </c>
      <c r="B160" s="142">
        <f t="shared" si="16"/>
        <v>138</v>
      </c>
      <c r="C160" s="143">
        <f t="shared" si="17"/>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8"/>
        <v>8904.1666666666661</v>
      </c>
    </row>
    <row r="161" spans="1:9" x14ac:dyDescent="0.2">
      <c r="A161" s="86">
        <f t="shared" si="19"/>
        <v>4200</v>
      </c>
      <c r="B161" s="142">
        <f t="shared" si="16"/>
        <v>139</v>
      </c>
      <c r="C161" s="143">
        <f t="shared" si="17"/>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8"/>
        <v>8904.1666666666661</v>
      </c>
    </row>
    <row r="162" spans="1:9" x14ac:dyDescent="0.2">
      <c r="A162" s="86">
        <f t="shared" si="19"/>
        <v>4231</v>
      </c>
      <c r="B162" s="142">
        <f t="shared" si="16"/>
        <v>140</v>
      </c>
      <c r="C162" s="143">
        <f t="shared" si="17"/>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8"/>
        <v>8904.1666666666661</v>
      </c>
    </row>
    <row r="163" spans="1:9" x14ac:dyDescent="0.2">
      <c r="A163" s="86">
        <f t="shared" si="19"/>
        <v>4262</v>
      </c>
      <c r="B163" s="142">
        <f t="shared" si="16"/>
        <v>141</v>
      </c>
      <c r="C163" s="143">
        <f t="shared" si="17"/>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8"/>
        <v>8904.1666666666661</v>
      </c>
    </row>
    <row r="164" spans="1:9" x14ac:dyDescent="0.2">
      <c r="A164" s="86">
        <f t="shared" si="19"/>
        <v>4292</v>
      </c>
      <c r="B164" s="142">
        <f t="shared" si="16"/>
        <v>142</v>
      </c>
      <c r="C164" s="143">
        <f t="shared" si="17"/>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8"/>
        <v>8904.1666666666661</v>
      </c>
    </row>
    <row r="165" spans="1:9" x14ac:dyDescent="0.2">
      <c r="A165" s="86">
        <f t="shared" si="19"/>
        <v>4323</v>
      </c>
      <c r="B165" s="142">
        <f t="shared" si="16"/>
        <v>143</v>
      </c>
      <c r="C165" s="143">
        <f t="shared" si="17"/>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8"/>
        <v>8904.1666666666661</v>
      </c>
    </row>
    <row r="166" spans="1:9" x14ac:dyDescent="0.2">
      <c r="A166" s="86">
        <f t="shared" si="19"/>
        <v>4353</v>
      </c>
      <c r="B166" s="142">
        <f t="shared" si="16"/>
        <v>144</v>
      </c>
      <c r="C166" s="143">
        <f t="shared" si="17"/>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8"/>
        <v>8904.1666666666661</v>
      </c>
    </row>
    <row r="167" spans="1:9" x14ac:dyDescent="0.2">
      <c r="A167" s="86">
        <f t="shared" si="19"/>
        <v>4384</v>
      </c>
      <c r="B167" s="142">
        <f t="shared" si="16"/>
        <v>145</v>
      </c>
      <c r="C167" s="143">
        <f t="shared" si="17"/>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8"/>
        <v>8904.1666666666661</v>
      </c>
    </row>
    <row r="168" spans="1:9" x14ac:dyDescent="0.2">
      <c r="A168" s="86">
        <f t="shared" si="19"/>
        <v>4415</v>
      </c>
      <c r="B168" s="142">
        <f t="shared" si="16"/>
        <v>146</v>
      </c>
      <c r="C168" s="143">
        <f t="shared" si="17"/>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8"/>
        <v>8904.1666666666661</v>
      </c>
    </row>
    <row r="169" spans="1:9" x14ac:dyDescent="0.2">
      <c r="A169" s="86">
        <f t="shared" si="19"/>
        <v>4444</v>
      </c>
      <c r="B169" s="142">
        <f t="shared" si="16"/>
        <v>147</v>
      </c>
      <c r="C169" s="143">
        <f t="shared" si="17"/>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8"/>
        <v>8904.1666666666661</v>
      </c>
    </row>
    <row r="170" spans="1:9" x14ac:dyDescent="0.2">
      <c r="A170" s="86">
        <f t="shared" si="19"/>
        <v>4475</v>
      </c>
      <c r="B170" s="142">
        <f t="shared" si="16"/>
        <v>148</v>
      </c>
      <c r="C170" s="143">
        <f t="shared" si="17"/>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8"/>
        <v>8904.1666666666661</v>
      </c>
    </row>
    <row r="171" spans="1:9" x14ac:dyDescent="0.2">
      <c r="A171" s="86">
        <f t="shared" si="19"/>
        <v>4505</v>
      </c>
      <c r="B171" s="142">
        <f t="shared" si="16"/>
        <v>149</v>
      </c>
      <c r="C171" s="143">
        <f t="shared" si="17"/>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8"/>
        <v>8904.1666666666661</v>
      </c>
    </row>
    <row r="172" spans="1:9" x14ac:dyDescent="0.2">
      <c r="A172" s="86">
        <f t="shared" si="19"/>
        <v>4536</v>
      </c>
      <c r="B172" s="142">
        <f t="shared" si="16"/>
        <v>150</v>
      </c>
      <c r="C172" s="143">
        <f t="shared" si="17"/>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8"/>
        <v>8904.1666666666661</v>
      </c>
    </row>
    <row r="173" spans="1:9" x14ac:dyDescent="0.2">
      <c r="A173" s="86">
        <f t="shared" si="19"/>
        <v>4566</v>
      </c>
      <c r="B173" s="142">
        <f t="shared" si="16"/>
        <v>151</v>
      </c>
      <c r="C173" s="143">
        <f t="shared" si="17"/>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8"/>
        <v>8904.1666666666661</v>
      </c>
    </row>
    <row r="174" spans="1:9" x14ac:dyDescent="0.2">
      <c r="A174" s="86">
        <f t="shared" si="19"/>
        <v>4597</v>
      </c>
      <c r="B174" s="142">
        <f t="shared" si="16"/>
        <v>152</v>
      </c>
      <c r="C174" s="143">
        <f t="shared" si="17"/>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8"/>
        <v>8904.1666666666661</v>
      </c>
    </row>
    <row r="175" spans="1:9" x14ac:dyDescent="0.2">
      <c r="A175" s="86">
        <f t="shared" si="19"/>
        <v>4628</v>
      </c>
      <c r="B175" s="142">
        <f t="shared" si="16"/>
        <v>153</v>
      </c>
      <c r="C175" s="143">
        <f t="shared" si="17"/>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8"/>
        <v>8904.1666666666661</v>
      </c>
    </row>
    <row r="176" spans="1:9" x14ac:dyDescent="0.2">
      <c r="A176" s="86">
        <f t="shared" si="19"/>
        <v>4658</v>
      </c>
      <c r="B176" s="142">
        <f t="shared" si="16"/>
        <v>154</v>
      </c>
      <c r="C176" s="143">
        <f t="shared" si="17"/>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8"/>
        <v>8904.1666666666661</v>
      </c>
    </row>
    <row r="177" spans="1:9" x14ac:dyDescent="0.2">
      <c r="A177" s="86">
        <f t="shared" si="19"/>
        <v>4689</v>
      </c>
      <c r="B177" s="142">
        <f t="shared" si="16"/>
        <v>155</v>
      </c>
      <c r="C177" s="143">
        <f t="shared" si="17"/>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8"/>
        <v>8904.1666666666661</v>
      </c>
    </row>
    <row r="178" spans="1:9" x14ac:dyDescent="0.2">
      <c r="A178" s="86">
        <f t="shared" si="19"/>
        <v>4719</v>
      </c>
      <c r="B178" s="142">
        <f t="shared" si="16"/>
        <v>156</v>
      </c>
      <c r="C178" s="143">
        <f t="shared" si="17"/>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8"/>
        <v>8904.1666666666661</v>
      </c>
    </row>
    <row r="179" spans="1:9" x14ac:dyDescent="0.2">
      <c r="A179" s="86">
        <f t="shared" si="19"/>
        <v>4750</v>
      </c>
      <c r="B179" s="142">
        <f t="shared" ref="B179:B210" si="20">IF(B178="NA","NA",IF((B178+1)&gt;$B$9,"NA",B178+1))</f>
        <v>157</v>
      </c>
      <c r="C179" s="143">
        <f t="shared" ref="C179:C210" si="21">IF(B179="NA","NA",MATCH($B$9-B179+1,$B$9:$B$18,-1))</f>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22">IF(B179="NA","NA",SUM(D179:H179))</f>
        <v>8904.1666666666661</v>
      </c>
    </row>
    <row r="180" spans="1:9" x14ac:dyDescent="0.2">
      <c r="A180" s="86">
        <f t="shared" si="19"/>
        <v>4781</v>
      </c>
      <c r="B180" s="142">
        <f t="shared" si="20"/>
        <v>158</v>
      </c>
      <c r="C180" s="143">
        <f t="shared" si="21"/>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22"/>
        <v>8904.1666666666661</v>
      </c>
    </row>
    <row r="181" spans="1:9" x14ac:dyDescent="0.2">
      <c r="A181" s="86">
        <f t="shared" si="19"/>
        <v>4809</v>
      </c>
      <c r="B181" s="142">
        <f t="shared" si="20"/>
        <v>159</v>
      </c>
      <c r="C181" s="143">
        <f t="shared" si="21"/>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22"/>
        <v>8904.1666666666661</v>
      </c>
    </row>
    <row r="182" spans="1:9" x14ac:dyDescent="0.2">
      <c r="A182" s="86">
        <f t="shared" si="19"/>
        <v>4840</v>
      </c>
      <c r="B182" s="142">
        <f t="shared" si="20"/>
        <v>160</v>
      </c>
      <c r="C182" s="143">
        <f t="shared" si="21"/>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22"/>
        <v>8904.1666666666661</v>
      </c>
    </row>
    <row r="183" spans="1:9" x14ac:dyDescent="0.2">
      <c r="A183" s="86">
        <f t="shared" si="19"/>
        <v>4870</v>
      </c>
      <c r="B183" s="142">
        <f t="shared" si="20"/>
        <v>161</v>
      </c>
      <c r="C183" s="143">
        <f t="shared" si="21"/>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22"/>
        <v>8904.1666666666661</v>
      </c>
    </row>
    <row r="184" spans="1:9" x14ac:dyDescent="0.2">
      <c r="A184" s="86">
        <f t="shared" si="19"/>
        <v>4901</v>
      </c>
      <c r="B184" s="142">
        <f t="shared" si="20"/>
        <v>162</v>
      </c>
      <c r="C184" s="143">
        <f t="shared" si="21"/>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22"/>
        <v>8904.1666666666661</v>
      </c>
    </row>
    <row r="185" spans="1:9" x14ac:dyDescent="0.2">
      <c r="A185" s="86">
        <f t="shared" si="19"/>
        <v>4931</v>
      </c>
      <c r="B185" s="142">
        <f t="shared" si="20"/>
        <v>163</v>
      </c>
      <c r="C185" s="143">
        <f t="shared" si="21"/>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22"/>
        <v>8904.1666666666661</v>
      </c>
    </row>
    <row r="186" spans="1:9" x14ac:dyDescent="0.2">
      <c r="A186" s="86">
        <f t="shared" si="19"/>
        <v>4962</v>
      </c>
      <c r="B186" s="142">
        <f t="shared" si="20"/>
        <v>164</v>
      </c>
      <c r="C186" s="143">
        <f t="shared" si="21"/>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22"/>
        <v>8904.1666666666661</v>
      </c>
    </row>
    <row r="187" spans="1:9" x14ac:dyDescent="0.2">
      <c r="A187" s="86">
        <f t="shared" si="19"/>
        <v>4993</v>
      </c>
      <c r="B187" s="142">
        <f t="shared" si="20"/>
        <v>165</v>
      </c>
      <c r="C187" s="143">
        <f t="shared" si="21"/>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22"/>
        <v>8904.1666666666661</v>
      </c>
    </row>
    <row r="188" spans="1:9" x14ac:dyDescent="0.2">
      <c r="A188" s="86">
        <f t="shared" si="19"/>
        <v>5023</v>
      </c>
      <c r="B188" s="142">
        <f t="shared" si="20"/>
        <v>166</v>
      </c>
      <c r="C188" s="143">
        <f t="shared" si="21"/>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22"/>
        <v>8904.1666666666661</v>
      </c>
    </row>
    <row r="189" spans="1:9" x14ac:dyDescent="0.2">
      <c r="A189" s="86">
        <f t="shared" si="19"/>
        <v>5054</v>
      </c>
      <c r="B189" s="142">
        <f t="shared" si="20"/>
        <v>167</v>
      </c>
      <c r="C189" s="143">
        <f t="shared" si="21"/>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22"/>
        <v>8904.1666666666661</v>
      </c>
    </row>
    <row r="190" spans="1:9" x14ac:dyDescent="0.2">
      <c r="A190" s="86">
        <f t="shared" si="19"/>
        <v>5084</v>
      </c>
      <c r="B190" s="142">
        <f t="shared" si="20"/>
        <v>168</v>
      </c>
      <c r="C190" s="143">
        <f t="shared" si="21"/>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22"/>
        <v>8904.1666666666661</v>
      </c>
    </row>
    <row r="191" spans="1:9" x14ac:dyDescent="0.2">
      <c r="A191" s="86">
        <f t="shared" si="19"/>
        <v>5115</v>
      </c>
      <c r="B191" s="142">
        <f t="shared" si="20"/>
        <v>169</v>
      </c>
      <c r="C191" s="143">
        <f t="shared" si="21"/>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22"/>
        <v>8904.1666666666661</v>
      </c>
    </row>
    <row r="192" spans="1:9" x14ac:dyDescent="0.2">
      <c r="A192" s="86">
        <f t="shared" si="19"/>
        <v>5146</v>
      </c>
      <c r="B192" s="142">
        <f t="shared" si="20"/>
        <v>170</v>
      </c>
      <c r="C192" s="143">
        <f t="shared" si="21"/>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22"/>
        <v>8904.1666666666661</v>
      </c>
    </row>
    <row r="193" spans="1:9" x14ac:dyDescent="0.2">
      <c r="A193" s="86">
        <f t="shared" si="19"/>
        <v>5174</v>
      </c>
      <c r="B193" s="142">
        <f t="shared" si="20"/>
        <v>171</v>
      </c>
      <c r="C193" s="143">
        <f t="shared" si="21"/>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22"/>
        <v>8904.1666666666661</v>
      </c>
    </row>
    <row r="194" spans="1:9" x14ac:dyDescent="0.2">
      <c r="A194" s="86">
        <f t="shared" si="19"/>
        <v>5205</v>
      </c>
      <c r="B194" s="142">
        <f t="shared" si="20"/>
        <v>172</v>
      </c>
      <c r="C194" s="143">
        <f t="shared" si="21"/>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22"/>
        <v>8904.1666666666661</v>
      </c>
    </row>
    <row r="195" spans="1:9" x14ac:dyDescent="0.2">
      <c r="A195" s="86">
        <f t="shared" si="19"/>
        <v>5235</v>
      </c>
      <c r="B195" s="142">
        <f t="shared" si="20"/>
        <v>173</v>
      </c>
      <c r="C195" s="143">
        <f t="shared" si="21"/>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22"/>
        <v>8904.1666666666661</v>
      </c>
    </row>
    <row r="196" spans="1:9" x14ac:dyDescent="0.2">
      <c r="A196" s="86">
        <f t="shared" si="19"/>
        <v>5266</v>
      </c>
      <c r="B196" s="142">
        <f t="shared" si="20"/>
        <v>174</v>
      </c>
      <c r="C196" s="143">
        <f t="shared" si="21"/>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22"/>
        <v>8904.1666666666661</v>
      </c>
    </row>
    <row r="197" spans="1:9" x14ac:dyDescent="0.2">
      <c r="A197" s="86">
        <f t="shared" si="19"/>
        <v>5296</v>
      </c>
      <c r="B197" s="142">
        <f t="shared" si="20"/>
        <v>175</v>
      </c>
      <c r="C197" s="143">
        <f t="shared" si="21"/>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22"/>
        <v>8904.1666666666661</v>
      </c>
    </row>
    <row r="198" spans="1:9" x14ac:dyDescent="0.2">
      <c r="A198" s="86">
        <f t="shared" si="19"/>
        <v>5327</v>
      </c>
      <c r="B198" s="142">
        <f t="shared" si="20"/>
        <v>176</v>
      </c>
      <c r="C198" s="143">
        <f t="shared" si="21"/>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22"/>
        <v>8904.1666666666661</v>
      </c>
    </row>
    <row r="199" spans="1:9" x14ac:dyDescent="0.2">
      <c r="A199" s="86">
        <f t="shared" si="19"/>
        <v>5358</v>
      </c>
      <c r="B199" s="142">
        <f t="shared" si="20"/>
        <v>177</v>
      </c>
      <c r="C199" s="143">
        <f t="shared" si="21"/>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22"/>
        <v>8904.1666666666661</v>
      </c>
    </row>
    <row r="200" spans="1:9" x14ac:dyDescent="0.2">
      <c r="A200" s="86">
        <f t="shared" si="19"/>
        <v>5388</v>
      </c>
      <c r="B200" s="142">
        <f t="shared" si="20"/>
        <v>178</v>
      </c>
      <c r="C200" s="143">
        <f t="shared" si="21"/>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22"/>
        <v>8904.1666666666661</v>
      </c>
    </row>
    <row r="201" spans="1:9" x14ac:dyDescent="0.2">
      <c r="A201" s="86">
        <f t="shared" si="19"/>
        <v>5419</v>
      </c>
      <c r="B201" s="142">
        <f t="shared" si="20"/>
        <v>179</v>
      </c>
      <c r="C201" s="143">
        <f t="shared" si="21"/>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22"/>
        <v>8904.1666666666661</v>
      </c>
    </row>
    <row r="202" spans="1:9" x14ac:dyDescent="0.2">
      <c r="A202" s="86">
        <f t="shared" si="19"/>
        <v>5449</v>
      </c>
      <c r="B202" s="142">
        <f t="shared" si="20"/>
        <v>180</v>
      </c>
      <c r="C202" s="143">
        <f t="shared" si="21"/>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22"/>
        <v>8904.1666666666661</v>
      </c>
    </row>
    <row r="203" spans="1:9" x14ac:dyDescent="0.2">
      <c r="A203" s="86">
        <f t="shared" si="19"/>
        <v>5480</v>
      </c>
      <c r="B203" s="142">
        <f t="shared" si="20"/>
        <v>181</v>
      </c>
      <c r="C203" s="143">
        <f t="shared" si="21"/>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22"/>
        <v>8904.1666666666661</v>
      </c>
    </row>
    <row r="204" spans="1:9" x14ac:dyDescent="0.2">
      <c r="A204" s="86">
        <f t="shared" si="19"/>
        <v>5511</v>
      </c>
      <c r="B204" s="142">
        <f t="shared" si="20"/>
        <v>182</v>
      </c>
      <c r="C204" s="143">
        <f t="shared" si="21"/>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22"/>
        <v>8904.1666666666661</v>
      </c>
    </row>
    <row r="205" spans="1:9" x14ac:dyDescent="0.2">
      <c r="A205" s="86">
        <f t="shared" si="19"/>
        <v>5539</v>
      </c>
      <c r="B205" s="142">
        <f t="shared" si="20"/>
        <v>183</v>
      </c>
      <c r="C205" s="143">
        <f t="shared" si="21"/>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22"/>
        <v>8904.1666666666661</v>
      </c>
    </row>
    <row r="206" spans="1:9" x14ac:dyDescent="0.2">
      <c r="A206" s="86">
        <f t="shared" si="19"/>
        <v>5570</v>
      </c>
      <c r="B206" s="142">
        <f t="shared" si="20"/>
        <v>184</v>
      </c>
      <c r="C206" s="143">
        <f t="shared" si="21"/>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22"/>
        <v>8904.1666666666661</v>
      </c>
    </row>
    <row r="207" spans="1:9" x14ac:dyDescent="0.2">
      <c r="A207" s="86">
        <f t="shared" si="19"/>
        <v>5600</v>
      </c>
      <c r="B207" s="142">
        <f t="shared" si="20"/>
        <v>185</v>
      </c>
      <c r="C207" s="143">
        <f t="shared" si="21"/>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22"/>
        <v>8904.1666666666661</v>
      </c>
    </row>
    <row r="208" spans="1:9" x14ac:dyDescent="0.2">
      <c r="A208" s="86">
        <f t="shared" si="19"/>
        <v>5631</v>
      </c>
      <c r="B208" s="142">
        <f t="shared" si="20"/>
        <v>186</v>
      </c>
      <c r="C208" s="143">
        <f t="shared" si="21"/>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22"/>
        <v>8904.1666666666661</v>
      </c>
    </row>
    <row r="209" spans="1:9" x14ac:dyDescent="0.2">
      <c r="A209" s="86">
        <f t="shared" si="19"/>
        <v>5661</v>
      </c>
      <c r="B209" s="142">
        <f t="shared" si="20"/>
        <v>187</v>
      </c>
      <c r="C209" s="143">
        <f t="shared" si="21"/>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22"/>
        <v>8904.1666666666661</v>
      </c>
    </row>
    <row r="210" spans="1:9" x14ac:dyDescent="0.2">
      <c r="A210" s="86">
        <f t="shared" si="19"/>
        <v>5692</v>
      </c>
      <c r="B210" s="142">
        <f t="shared" si="20"/>
        <v>188</v>
      </c>
      <c r="C210" s="143">
        <f t="shared" si="21"/>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22"/>
        <v>8904.1666666666661</v>
      </c>
    </row>
    <row r="211" spans="1:9" x14ac:dyDescent="0.2">
      <c r="A211" s="86">
        <f t="shared" si="19"/>
        <v>5723</v>
      </c>
      <c r="B211" s="142">
        <f t="shared" ref="B211:B242" si="23">IF(B210="NA","NA",IF((B210+1)&gt;$B$9,"NA",B210+1))</f>
        <v>189</v>
      </c>
      <c r="C211" s="143">
        <f t="shared" ref="C211:C242" si="24">IF(B211="NA","NA",MATCH($B$9-B211+1,$B$9:$B$18,-1))</f>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25">IF(B211="NA","NA",SUM(D211:H211))</f>
        <v>8904.1666666666661</v>
      </c>
    </row>
    <row r="212" spans="1:9" x14ac:dyDescent="0.2">
      <c r="A212" s="86">
        <f t="shared" ref="A212:A262" si="26">IF(B212="NA","NA",DATE(YEAR(A211),MONTH(A211)+1,1))</f>
        <v>5753</v>
      </c>
      <c r="B212" s="142">
        <f t="shared" si="23"/>
        <v>190</v>
      </c>
      <c r="C212" s="143">
        <f t="shared" si="24"/>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25"/>
        <v>8904.1666666666661</v>
      </c>
    </row>
    <row r="213" spans="1:9" x14ac:dyDescent="0.2">
      <c r="A213" s="86">
        <f t="shared" si="26"/>
        <v>5784</v>
      </c>
      <c r="B213" s="142">
        <f t="shared" si="23"/>
        <v>191</v>
      </c>
      <c r="C213" s="143">
        <f t="shared" si="24"/>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25"/>
        <v>8904.1666666666661</v>
      </c>
    </row>
    <row r="214" spans="1:9" x14ac:dyDescent="0.2">
      <c r="A214" s="86">
        <f t="shared" si="26"/>
        <v>5814</v>
      </c>
      <c r="B214" s="142">
        <f t="shared" si="23"/>
        <v>192</v>
      </c>
      <c r="C214" s="143">
        <f t="shared" si="24"/>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25"/>
        <v>8904.1666666666661</v>
      </c>
    </row>
    <row r="215" spans="1:9" x14ac:dyDescent="0.2">
      <c r="A215" s="86">
        <f t="shared" si="26"/>
        <v>5845</v>
      </c>
      <c r="B215" s="142">
        <f t="shared" si="23"/>
        <v>193</v>
      </c>
      <c r="C215" s="143">
        <f t="shared" si="24"/>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25"/>
        <v>8904.1666666666661</v>
      </c>
    </row>
    <row r="216" spans="1:9" x14ac:dyDescent="0.2">
      <c r="A216" s="86">
        <f t="shared" si="26"/>
        <v>5876</v>
      </c>
      <c r="B216" s="142">
        <f t="shared" si="23"/>
        <v>194</v>
      </c>
      <c r="C216" s="143">
        <f t="shared" si="24"/>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25"/>
        <v>8904.1666666666661</v>
      </c>
    </row>
    <row r="217" spans="1:9" x14ac:dyDescent="0.2">
      <c r="A217" s="86">
        <f t="shared" si="26"/>
        <v>5905</v>
      </c>
      <c r="B217" s="142">
        <f t="shared" si="23"/>
        <v>195</v>
      </c>
      <c r="C217" s="143">
        <f t="shared" si="24"/>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25"/>
        <v>8904.1666666666661</v>
      </c>
    </row>
    <row r="218" spans="1:9" x14ac:dyDescent="0.2">
      <c r="A218" s="86">
        <f t="shared" si="26"/>
        <v>5936</v>
      </c>
      <c r="B218" s="142">
        <f t="shared" si="23"/>
        <v>196</v>
      </c>
      <c r="C218" s="143">
        <f t="shared" si="24"/>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25"/>
        <v>8904.1666666666661</v>
      </c>
    </row>
    <row r="219" spans="1:9" x14ac:dyDescent="0.2">
      <c r="A219" s="86">
        <f t="shared" si="26"/>
        <v>5966</v>
      </c>
      <c r="B219" s="142">
        <f t="shared" si="23"/>
        <v>197</v>
      </c>
      <c r="C219" s="143">
        <f t="shared" si="24"/>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25"/>
        <v>8904.1666666666661</v>
      </c>
    </row>
    <row r="220" spans="1:9" x14ac:dyDescent="0.2">
      <c r="A220" s="86">
        <f t="shared" si="26"/>
        <v>5997</v>
      </c>
      <c r="B220" s="142">
        <f t="shared" si="23"/>
        <v>198</v>
      </c>
      <c r="C220" s="143">
        <f t="shared" si="24"/>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25"/>
        <v>8904.1666666666661</v>
      </c>
    </row>
    <row r="221" spans="1:9" x14ac:dyDescent="0.2">
      <c r="A221" s="86">
        <f t="shared" si="26"/>
        <v>6027</v>
      </c>
      <c r="B221" s="142">
        <f t="shared" si="23"/>
        <v>199</v>
      </c>
      <c r="C221" s="143">
        <f t="shared" si="24"/>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25"/>
        <v>8904.1666666666661</v>
      </c>
    </row>
    <row r="222" spans="1:9" x14ac:dyDescent="0.2">
      <c r="A222" s="86">
        <f t="shared" si="26"/>
        <v>6058</v>
      </c>
      <c r="B222" s="142">
        <f t="shared" si="23"/>
        <v>200</v>
      </c>
      <c r="C222" s="143">
        <f t="shared" si="24"/>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25"/>
        <v>8904.1666666666661</v>
      </c>
    </row>
    <row r="223" spans="1:9" x14ac:dyDescent="0.2">
      <c r="A223" s="86">
        <f t="shared" si="26"/>
        <v>6089</v>
      </c>
      <c r="B223" s="142">
        <f t="shared" si="23"/>
        <v>201</v>
      </c>
      <c r="C223" s="143">
        <f t="shared" si="24"/>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25"/>
        <v>8904.1666666666661</v>
      </c>
    </row>
    <row r="224" spans="1:9" x14ac:dyDescent="0.2">
      <c r="A224" s="86">
        <f t="shared" si="26"/>
        <v>6119</v>
      </c>
      <c r="B224" s="142">
        <f t="shared" si="23"/>
        <v>202</v>
      </c>
      <c r="C224" s="143">
        <f t="shared" si="24"/>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25"/>
        <v>8904.1666666666661</v>
      </c>
    </row>
    <row r="225" spans="1:9" x14ac:dyDescent="0.2">
      <c r="A225" s="86">
        <f t="shared" si="26"/>
        <v>6150</v>
      </c>
      <c r="B225" s="142">
        <f t="shared" si="23"/>
        <v>203</v>
      </c>
      <c r="C225" s="143">
        <f t="shared" si="24"/>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25"/>
        <v>8904.1666666666661</v>
      </c>
    </row>
    <row r="226" spans="1:9" x14ac:dyDescent="0.2">
      <c r="A226" s="86">
        <f t="shared" si="26"/>
        <v>6180</v>
      </c>
      <c r="B226" s="142">
        <f t="shared" si="23"/>
        <v>204</v>
      </c>
      <c r="C226" s="143">
        <f t="shared" si="24"/>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25"/>
        <v>8904.1666666666661</v>
      </c>
    </row>
    <row r="227" spans="1:9" x14ac:dyDescent="0.2">
      <c r="A227" s="86">
        <f t="shared" si="26"/>
        <v>6211</v>
      </c>
      <c r="B227" s="142">
        <f t="shared" si="23"/>
        <v>205</v>
      </c>
      <c r="C227" s="143">
        <f t="shared" si="24"/>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25"/>
        <v>8904.1666666666661</v>
      </c>
    </row>
    <row r="228" spans="1:9" x14ac:dyDescent="0.2">
      <c r="A228" s="86">
        <f t="shared" si="26"/>
        <v>6242</v>
      </c>
      <c r="B228" s="142">
        <f t="shared" si="23"/>
        <v>206</v>
      </c>
      <c r="C228" s="143">
        <f t="shared" si="24"/>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25"/>
        <v>8904.1666666666661</v>
      </c>
    </row>
    <row r="229" spans="1:9" x14ac:dyDescent="0.2">
      <c r="A229" s="86">
        <f t="shared" si="26"/>
        <v>6270</v>
      </c>
      <c r="B229" s="142">
        <f t="shared" si="23"/>
        <v>207</v>
      </c>
      <c r="C229" s="143">
        <f t="shared" si="24"/>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25"/>
        <v>8904.1666666666661</v>
      </c>
    </row>
    <row r="230" spans="1:9" x14ac:dyDescent="0.2">
      <c r="A230" s="86">
        <f t="shared" si="26"/>
        <v>6301</v>
      </c>
      <c r="B230" s="142">
        <f t="shared" si="23"/>
        <v>208</v>
      </c>
      <c r="C230" s="143">
        <f t="shared" si="24"/>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25"/>
        <v>8904.1666666666661</v>
      </c>
    </row>
    <row r="231" spans="1:9" x14ac:dyDescent="0.2">
      <c r="A231" s="86">
        <f t="shared" si="26"/>
        <v>6331</v>
      </c>
      <c r="B231" s="142">
        <f t="shared" si="23"/>
        <v>209</v>
      </c>
      <c r="C231" s="143">
        <f t="shared" si="24"/>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25"/>
        <v>8904.1666666666661</v>
      </c>
    </row>
    <row r="232" spans="1:9" x14ac:dyDescent="0.2">
      <c r="A232" s="86">
        <f t="shared" si="26"/>
        <v>6362</v>
      </c>
      <c r="B232" s="142">
        <f t="shared" si="23"/>
        <v>210</v>
      </c>
      <c r="C232" s="143">
        <f t="shared" si="24"/>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25"/>
        <v>8904.1666666666661</v>
      </c>
    </row>
    <row r="233" spans="1:9" x14ac:dyDescent="0.2">
      <c r="A233" s="86">
        <f t="shared" si="26"/>
        <v>6392</v>
      </c>
      <c r="B233" s="142">
        <f t="shared" si="23"/>
        <v>211</v>
      </c>
      <c r="C233" s="143">
        <f t="shared" si="24"/>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25"/>
        <v>8904.1666666666661</v>
      </c>
    </row>
    <row r="234" spans="1:9" x14ac:dyDescent="0.2">
      <c r="A234" s="86">
        <f t="shared" si="26"/>
        <v>6423</v>
      </c>
      <c r="B234" s="142">
        <f t="shared" si="23"/>
        <v>212</v>
      </c>
      <c r="C234" s="143">
        <f t="shared" si="24"/>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25"/>
        <v>8904.1666666666661</v>
      </c>
    </row>
    <row r="235" spans="1:9" x14ac:dyDescent="0.2">
      <c r="A235" s="86">
        <f t="shared" si="26"/>
        <v>6454</v>
      </c>
      <c r="B235" s="142">
        <f t="shared" si="23"/>
        <v>213</v>
      </c>
      <c r="C235" s="143">
        <f t="shared" si="24"/>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25"/>
        <v>8904.1666666666661</v>
      </c>
    </row>
    <row r="236" spans="1:9" x14ac:dyDescent="0.2">
      <c r="A236" s="86">
        <f t="shared" si="26"/>
        <v>6484</v>
      </c>
      <c r="B236" s="142">
        <f t="shared" si="23"/>
        <v>214</v>
      </c>
      <c r="C236" s="143">
        <f t="shared" si="24"/>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25"/>
        <v>8904.1666666666661</v>
      </c>
    </row>
    <row r="237" spans="1:9" x14ac:dyDescent="0.2">
      <c r="A237" s="86">
        <f t="shared" si="26"/>
        <v>6515</v>
      </c>
      <c r="B237" s="142">
        <f t="shared" si="23"/>
        <v>215</v>
      </c>
      <c r="C237" s="143">
        <f t="shared" si="24"/>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25"/>
        <v>8904.1666666666661</v>
      </c>
    </row>
    <row r="238" spans="1:9" x14ac:dyDescent="0.2">
      <c r="A238" s="86">
        <f t="shared" si="26"/>
        <v>6545</v>
      </c>
      <c r="B238" s="142">
        <f t="shared" si="23"/>
        <v>216</v>
      </c>
      <c r="C238" s="143">
        <f t="shared" si="24"/>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25"/>
        <v>8904.1666666666661</v>
      </c>
    </row>
    <row r="239" spans="1:9" x14ac:dyDescent="0.2">
      <c r="A239" s="86">
        <f t="shared" si="26"/>
        <v>6576</v>
      </c>
      <c r="B239" s="142">
        <f t="shared" si="23"/>
        <v>217</v>
      </c>
      <c r="C239" s="143">
        <f t="shared" si="24"/>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25"/>
        <v>8904.1666666666661</v>
      </c>
    </row>
    <row r="240" spans="1:9" x14ac:dyDescent="0.2">
      <c r="A240" s="86">
        <f t="shared" si="26"/>
        <v>6607</v>
      </c>
      <c r="B240" s="142">
        <f t="shared" si="23"/>
        <v>218</v>
      </c>
      <c r="C240" s="143">
        <f t="shared" si="24"/>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25"/>
        <v>8904.1666666666661</v>
      </c>
    </row>
    <row r="241" spans="1:9" x14ac:dyDescent="0.2">
      <c r="A241" s="86">
        <f t="shared" si="26"/>
        <v>6635</v>
      </c>
      <c r="B241" s="142">
        <f t="shared" si="23"/>
        <v>219</v>
      </c>
      <c r="C241" s="143">
        <f t="shared" si="24"/>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25"/>
        <v>8904.1666666666661</v>
      </c>
    </row>
    <row r="242" spans="1:9" x14ac:dyDescent="0.2">
      <c r="A242" s="86">
        <f t="shared" si="26"/>
        <v>6666</v>
      </c>
      <c r="B242" s="142">
        <f t="shared" si="23"/>
        <v>220</v>
      </c>
      <c r="C242" s="143">
        <f t="shared" si="24"/>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25"/>
        <v>8904.1666666666661</v>
      </c>
    </row>
    <row r="243" spans="1:9" x14ac:dyDescent="0.2">
      <c r="A243" s="86">
        <f t="shared" si="26"/>
        <v>6696</v>
      </c>
      <c r="B243" s="142">
        <f t="shared" ref="B243:B262" si="27">IF(B242="NA","NA",IF((B242+1)&gt;$B$9,"NA",B242+1))</f>
        <v>221</v>
      </c>
      <c r="C243" s="143">
        <f t="shared" ref="C243:C262" si="28">IF(B243="NA","NA",MATCH($B$9-B243+1,$B$9:$B$18,-1))</f>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9">IF(B243="NA","NA",SUM(D243:H243))</f>
        <v>8904.1666666666661</v>
      </c>
    </row>
    <row r="244" spans="1:9" x14ac:dyDescent="0.2">
      <c r="A244" s="86">
        <f t="shared" si="26"/>
        <v>6727</v>
      </c>
      <c r="B244" s="142">
        <f t="shared" si="27"/>
        <v>222</v>
      </c>
      <c r="C244" s="143">
        <f t="shared" si="28"/>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9"/>
        <v>8904.1666666666661</v>
      </c>
    </row>
    <row r="245" spans="1:9" x14ac:dyDescent="0.2">
      <c r="A245" s="86">
        <f t="shared" si="26"/>
        <v>6757</v>
      </c>
      <c r="B245" s="142">
        <f t="shared" si="27"/>
        <v>223</v>
      </c>
      <c r="C245" s="143">
        <f t="shared" si="28"/>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9"/>
        <v>8904.1666666666661</v>
      </c>
    </row>
    <row r="246" spans="1:9" x14ac:dyDescent="0.2">
      <c r="A246" s="86">
        <f t="shared" si="26"/>
        <v>6788</v>
      </c>
      <c r="B246" s="142">
        <f t="shared" si="27"/>
        <v>224</v>
      </c>
      <c r="C246" s="143">
        <f t="shared" si="28"/>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9"/>
        <v>8904.1666666666661</v>
      </c>
    </row>
    <row r="247" spans="1:9" x14ac:dyDescent="0.2">
      <c r="A247" s="86">
        <f t="shared" si="26"/>
        <v>6819</v>
      </c>
      <c r="B247" s="142">
        <f t="shared" si="27"/>
        <v>225</v>
      </c>
      <c r="C247" s="143">
        <f t="shared" si="28"/>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9"/>
        <v>8904.1666666666661</v>
      </c>
    </row>
    <row r="248" spans="1:9" x14ac:dyDescent="0.2">
      <c r="A248" s="86">
        <f t="shared" si="26"/>
        <v>6849</v>
      </c>
      <c r="B248" s="142">
        <f t="shared" si="27"/>
        <v>226</v>
      </c>
      <c r="C248" s="143">
        <f t="shared" si="28"/>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9"/>
        <v>8904.1666666666661</v>
      </c>
    </row>
    <row r="249" spans="1:9" x14ac:dyDescent="0.2">
      <c r="A249" s="86">
        <f t="shared" si="26"/>
        <v>6880</v>
      </c>
      <c r="B249" s="142">
        <f t="shared" si="27"/>
        <v>227</v>
      </c>
      <c r="C249" s="143">
        <f t="shared" si="28"/>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9"/>
        <v>8904.1666666666661</v>
      </c>
    </row>
    <row r="250" spans="1:9" x14ac:dyDescent="0.2">
      <c r="A250" s="86">
        <f t="shared" si="26"/>
        <v>6910</v>
      </c>
      <c r="B250" s="142">
        <f t="shared" si="27"/>
        <v>228</v>
      </c>
      <c r="C250" s="143">
        <f t="shared" si="28"/>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9"/>
        <v>8904.1666666666661</v>
      </c>
    </row>
    <row r="251" spans="1:9" x14ac:dyDescent="0.2">
      <c r="A251" s="86">
        <f t="shared" si="26"/>
        <v>6941</v>
      </c>
      <c r="B251" s="142">
        <f t="shared" si="27"/>
        <v>229</v>
      </c>
      <c r="C251" s="143">
        <f t="shared" si="28"/>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9"/>
        <v>8904.1666666666661</v>
      </c>
    </row>
    <row r="252" spans="1:9" x14ac:dyDescent="0.2">
      <c r="A252" s="86">
        <f t="shared" si="26"/>
        <v>6972</v>
      </c>
      <c r="B252" s="142">
        <f t="shared" si="27"/>
        <v>230</v>
      </c>
      <c r="C252" s="143">
        <f t="shared" si="28"/>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9"/>
        <v>8904.1666666666661</v>
      </c>
    </row>
    <row r="253" spans="1:9" x14ac:dyDescent="0.2">
      <c r="A253" s="86">
        <f t="shared" si="26"/>
        <v>7000</v>
      </c>
      <c r="B253" s="142">
        <f t="shared" si="27"/>
        <v>231</v>
      </c>
      <c r="C253" s="143">
        <f t="shared" si="28"/>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9"/>
        <v>8904.1666666666661</v>
      </c>
    </row>
    <row r="254" spans="1:9" x14ac:dyDescent="0.2">
      <c r="A254" s="86">
        <f t="shared" si="26"/>
        <v>7031</v>
      </c>
      <c r="B254" s="142">
        <f t="shared" si="27"/>
        <v>232</v>
      </c>
      <c r="C254" s="143">
        <f t="shared" si="28"/>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9"/>
        <v>8904.1666666666661</v>
      </c>
    </row>
    <row r="255" spans="1:9" x14ac:dyDescent="0.2">
      <c r="A255" s="86">
        <f t="shared" si="26"/>
        <v>7061</v>
      </c>
      <c r="B255" s="142">
        <f t="shared" si="27"/>
        <v>233</v>
      </c>
      <c r="C255" s="143">
        <f t="shared" si="28"/>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9"/>
        <v>8904.1666666666661</v>
      </c>
    </row>
    <row r="256" spans="1:9" x14ac:dyDescent="0.2">
      <c r="A256" s="86">
        <f t="shared" si="26"/>
        <v>7092</v>
      </c>
      <c r="B256" s="142">
        <f t="shared" si="27"/>
        <v>234</v>
      </c>
      <c r="C256" s="143">
        <f t="shared" si="28"/>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9"/>
        <v>8904.1666666666661</v>
      </c>
    </row>
    <row r="257" spans="1:9" x14ac:dyDescent="0.2">
      <c r="A257" s="86">
        <f t="shared" si="26"/>
        <v>7122</v>
      </c>
      <c r="B257" s="142">
        <f t="shared" si="27"/>
        <v>235</v>
      </c>
      <c r="C257" s="143">
        <f t="shared" si="28"/>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9"/>
        <v>8904.1666666666661</v>
      </c>
    </row>
    <row r="258" spans="1:9" x14ac:dyDescent="0.2">
      <c r="A258" s="86">
        <f t="shared" si="26"/>
        <v>7153</v>
      </c>
      <c r="B258" s="142">
        <f t="shared" si="27"/>
        <v>236</v>
      </c>
      <c r="C258" s="143">
        <f t="shared" si="28"/>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9"/>
        <v>8904.1666666666661</v>
      </c>
    </row>
    <row r="259" spans="1:9" x14ac:dyDescent="0.2">
      <c r="A259" s="86">
        <f t="shared" si="26"/>
        <v>7184</v>
      </c>
      <c r="B259" s="142">
        <f t="shared" si="27"/>
        <v>237</v>
      </c>
      <c r="C259" s="143">
        <f t="shared" si="28"/>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9"/>
        <v>8904.1666666666661</v>
      </c>
    </row>
    <row r="260" spans="1:9" x14ac:dyDescent="0.2">
      <c r="A260" s="86">
        <f t="shared" si="26"/>
        <v>7214</v>
      </c>
      <c r="B260" s="142">
        <f t="shared" si="27"/>
        <v>238</v>
      </c>
      <c r="C260" s="143">
        <f t="shared" si="28"/>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9"/>
        <v>8904.1666666666661</v>
      </c>
    </row>
    <row r="261" spans="1:9" x14ac:dyDescent="0.2">
      <c r="A261" s="86">
        <f t="shared" si="26"/>
        <v>7245</v>
      </c>
      <c r="B261" s="142">
        <f t="shared" si="27"/>
        <v>239</v>
      </c>
      <c r="C261" s="143">
        <f t="shared" si="28"/>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9"/>
        <v>8904.1666666666661</v>
      </c>
    </row>
    <row r="262" spans="1:9" x14ac:dyDescent="0.2">
      <c r="A262" s="87">
        <f t="shared" si="26"/>
        <v>7275</v>
      </c>
      <c r="B262" s="144">
        <f t="shared" si="27"/>
        <v>240</v>
      </c>
      <c r="C262" s="145">
        <f t="shared" si="28"/>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9"/>
        <v>8904.1666666666661</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5" type="noConversion"/>
  <conditionalFormatting sqref="A83:I262">
    <cfRule type="cellIs" dxfId="1"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2019 Tariff (AESO ID No. 2019-016T)
Filename: &amp;F — Page &amp;P of &amp;N&amp;R&amp;8Confidentiality: Proprietary When Competed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62"/>
  <sheetViews>
    <sheetView showGridLines="0" workbookViewId="0">
      <selection activeCell="A2" sqref="A2"/>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37" customFormat="1" ht="18.75" x14ac:dyDescent="0.4">
      <c r="A1" s="505" t="s">
        <v>174</v>
      </c>
      <c r="B1" s="505"/>
      <c r="C1" s="505"/>
      <c r="D1" s="505"/>
      <c r="E1" s="505"/>
      <c r="F1" s="505"/>
      <c r="G1" s="505"/>
      <c r="H1" s="505"/>
      <c r="I1" s="505"/>
      <c r="J1" s="179"/>
      <c r="K1" s="179"/>
    </row>
    <row r="2" spans="1:11" s="138" customFormat="1" ht="8.25" x14ac:dyDescent="0.15"/>
    <row r="3" spans="1:11" x14ac:dyDescent="0.2">
      <c r="A3" t="s">
        <v>3</v>
      </c>
      <c r="C3" s="443" t="str">
        <f>ParticipantName</f>
        <v>Name of Market Participant</v>
      </c>
      <c r="D3" s="443"/>
      <c r="E3" s="443"/>
      <c r="F3" s="443"/>
      <c r="G3" s="443"/>
      <c r="H3" s="108" t="s">
        <v>0</v>
      </c>
      <c r="I3" s="296" t="str">
        <f>'A1 Costs and Contract'!I10</f>
        <v>AESO 2021</v>
      </c>
    </row>
    <row r="4" spans="1:11" x14ac:dyDescent="0.2">
      <c r="A4" t="s">
        <v>321</v>
      </c>
      <c r="C4" s="443" t="str">
        <f>ProjectName</f>
        <v>Project Name</v>
      </c>
      <c r="D4" s="443"/>
      <c r="E4" s="443"/>
      <c r="F4" s="443"/>
      <c r="G4" s="443"/>
      <c r="H4" s="108" t="s">
        <v>1</v>
      </c>
      <c r="I4" s="294">
        <f>'A1 Costs and Contract'!I11</f>
        <v>44197</v>
      </c>
    </row>
    <row r="5" spans="1:11" x14ac:dyDescent="0.2">
      <c r="A5" t="s">
        <v>322</v>
      </c>
      <c r="C5" s="444" t="str">
        <f>ProjectNumber</f>
        <v>Project Number</v>
      </c>
      <c r="D5" s="444"/>
      <c r="E5" s="3" t="s">
        <v>2</v>
      </c>
      <c r="F5" s="506" t="str">
        <f>ProjectType</f>
        <v>DTS Only</v>
      </c>
      <c r="G5" s="506"/>
      <c r="H5" s="108" t="s">
        <v>13</v>
      </c>
      <c r="I5" s="295" t="str">
        <f>'A1 Costs and Contract'!I12</f>
        <v>Current</v>
      </c>
    </row>
    <row r="7" spans="1:11" x14ac:dyDescent="0.2">
      <c r="A7" s="484" t="s">
        <v>77</v>
      </c>
      <c r="B7" s="485"/>
      <c r="C7" s="485"/>
      <c r="D7" s="485"/>
      <c r="E7" s="486"/>
    </row>
    <row r="8" spans="1:11" x14ac:dyDescent="0.2">
      <c r="A8" s="81" t="s">
        <v>9</v>
      </c>
      <c r="B8" s="516" t="s">
        <v>20</v>
      </c>
      <c r="C8" s="516"/>
      <c r="D8" s="83" t="s">
        <v>4</v>
      </c>
      <c r="E8" s="82" t="s">
        <v>104</v>
      </c>
    </row>
    <row r="9" spans="1:11" x14ac:dyDescent="0.2">
      <c r="A9" s="12">
        <f>'A1 Costs and Contract'!A47</f>
        <v>1</v>
      </c>
      <c r="B9" s="508">
        <f>(DAYS360(D9,E9)/30)</f>
        <v>240</v>
      </c>
      <c r="C9" s="508"/>
      <c r="D9" s="163">
        <f>DATE(YEAR('A1 Costs and Contract'!B47),MONTH('A1 Costs and Contract'!B47),1)</f>
        <v>1</v>
      </c>
      <c r="E9" s="164">
        <f>DATE(YEAR(D9),MONTH(D9)+'A1 Costs and Contract'!C57,1)-1</f>
        <v>7305</v>
      </c>
    </row>
    <row r="10" spans="1:11" x14ac:dyDescent="0.2">
      <c r="A10" s="20">
        <f>'A1 Costs and Contract'!A48</f>
        <v>0</v>
      </c>
      <c r="B10" s="515">
        <f>IF(A10=0,0,DAYS360(D10,E10)/30)</f>
        <v>0</v>
      </c>
      <c r="C10" s="515"/>
      <c r="D10" s="165">
        <f>IF(A10=0,0,DATE(YEAR('A1 Costs and Contract'!B48),MONTH('A1 Costs and Contract'!B48),1))</f>
        <v>0</v>
      </c>
      <c r="E10" s="166">
        <f>IF(A10=0,0,E9)</f>
        <v>0</v>
      </c>
    </row>
    <row r="11" spans="1:11" x14ac:dyDescent="0.2">
      <c r="A11" s="13">
        <f>'A1 Costs and Contract'!A49</f>
        <v>0</v>
      </c>
      <c r="B11" s="515">
        <f t="shared" ref="B11:B18" si="0">IF(A11=0,0,DAYS360(D11,E11)/30)</f>
        <v>0</v>
      </c>
      <c r="C11" s="515"/>
      <c r="D11" s="165">
        <f>IF(A11=0,0,DATE(YEAR('A1 Costs and Contract'!B49),MONTH('A1 Costs and Contract'!B49),1))</f>
        <v>0</v>
      </c>
      <c r="E11" s="166">
        <f t="shared" ref="E11:E18" si="1">IF(A11=0,0,E10)</f>
        <v>0</v>
      </c>
    </row>
    <row r="12" spans="1:11" x14ac:dyDescent="0.2">
      <c r="A12" s="13">
        <f>'A1 Costs and Contract'!A50</f>
        <v>0</v>
      </c>
      <c r="B12" s="515">
        <f t="shared" si="0"/>
        <v>0</v>
      </c>
      <c r="C12" s="515"/>
      <c r="D12" s="165">
        <f>IF(A12=0,0,DATE(YEAR('A1 Costs and Contract'!B50),MONTH('A1 Costs and Contract'!B50),1))</f>
        <v>0</v>
      </c>
      <c r="E12" s="166">
        <f t="shared" si="1"/>
        <v>0</v>
      </c>
    </row>
    <row r="13" spans="1:11" x14ac:dyDescent="0.2">
      <c r="A13" s="13">
        <f>'A1 Costs and Contract'!A51</f>
        <v>0</v>
      </c>
      <c r="B13" s="515">
        <f t="shared" si="0"/>
        <v>0</v>
      </c>
      <c r="C13" s="515"/>
      <c r="D13" s="165">
        <f>IF(A13=0,0,DATE(YEAR('A1 Costs and Contract'!B51),MONTH('A1 Costs and Contract'!B51),1))</f>
        <v>0</v>
      </c>
      <c r="E13" s="166">
        <f t="shared" si="1"/>
        <v>0</v>
      </c>
    </row>
    <row r="14" spans="1:11" x14ac:dyDescent="0.2">
      <c r="A14" s="13">
        <f>'A1 Costs and Contract'!A52</f>
        <v>0</v>
      </c>
      <c r="B14" s="515">
        <f t="shared" si="0"/>
        <v>0</v>
      </c>
      <c r="C14" s="515"/>
      <c r="D14" s="165">
        <f>IF(A14=0,0,DATE(YEAR('A1 Costs and Contract'!B52),MONTH('A1 Costs and Contract'!B52),1))</f>
        <v>0</v>
      </c>
      <c r="E14" s="166">
        <f t="shared" si="1"/>
        <v>0</v>
      </c>
    </row>
    <row r="15" spans="1:11" x14ac:dyDescent="0.2">
      <c r="A15" s="13">
        <f>'A1 Costs and Contract'!A53</f>
        <v>0</v>
      </c>
      <c r="B15" s="515">
        <f t="shared" si="0"/>
        <v>0</v>
      </c>
      <c r="C15" s="515"/>
      <c r="D15" s="165">
        <f>IF(A15=0,0,DATE(YEAR('A1 Costs and Contract'!B53),MONTH('A1 Costs and Contract'!B53),1))</f>
        <v>0</v>
      </c>
      <c r="E15" s="166">
        <f t="shared" si="1"/>
        <v>0</v>
      </c>
    </row>
    <row r="16" spans="1:11" x14ac:dyDescent="0.2">
      <c r="A16" s="13">
        <f>'A1 Costs and Contract'!A54</f>
        <v>0</v>
      </c>
      <c r="B16" s="515">
        <f t="shared" si="0"/>
        <v>0</v>
      </c>
      <c r="C16" s="515"/>
      <c r="D16" s="165">
        <f>IF(A16=0,0,DATE(YEAR('A1 Costs and Contract'!B54),MONTH('A1 Costs and Contract'!B54),1))</f>
        <v>0</v>
      </c>
      <c r="E16" s="166">
        <f t="shared" si="1"/>
        <v>0</v>
      </c>
    </row>
    <row r="17" spans="1:9" x14ac:dyDescent="0.2">
      <c r="A17" s="13">
        <f>'A1 Costs and Contract'!A55</f>
        <v>0</v>
      </c>
      <c r="B17" s="515">
        <f t="shared" si="0"/>
        <v>0</v>
      </c>
      <c r="C17" s="515"/>
      <c r="D17" s="165">
        <f>IF(A17=0,0,DATE(YEAR('A1 Costs and Contract'!B55),MONTH('A1 Costs and Contract'!B55),1))</f>
        <v>0</v>
      </c>
      <c r="E17" s="166">
        <f t="shared" si="1"/>
        <v>0</v>
      </c>
    </row>
    <row r="18" spans="1:9" x14ac:dyDescent="0.2">
      <c r="A18" s="14">
        <f>'A1 Costs and Contract'!A56</f>
        <v>0</v>
      </c>
      <c r="B18" s="517">
        <f t="shared" si="0"/>
        <v>0</v>
      </c>
      <c r="C18" s="517"/>
      <c r="D18" s="167">
        <f>IF(A18=0,0,DATE(YEAR('A1 Costs and Contract'!B56),MONTH('A1 Costs and Contract'!B56),1))</f>
        <v>0</v>
      </c>
      <c r="E18" s="168">
        <f t="shared" si="1"/>
        <v>0</v>
      </c>
    </row>
    <row r="19" spans="1:9" x14ac:dyDescent="0.2">
      <c r="A19" s="125"/>
      <c r="B19" s="126"/>
      <c r="C19" s="126"/>
      <c r="D19" s="126"/>
    </row>
    <row r="20" spans="1:9" x14ac:dyDescent="0.2">
      <c r="A20" s="484" t="s">
        <v>109</v>
      </c>
      <c r="B20" s="485"/>
      <c r="C20" s="485"/>
      <c r="D20" s="485"/>
      <c r="E20" s="485"/>
      <c r="F20" s="485"/>
      <c r="G20" s="485"/>
      <c r="H20" s="485"/>
      <c r="I20" s="486"/>
    </row>
    <row r="21" spans="1:9" x14ac:dyDescent="0.2">
      <c r="A21" s="6"/>
      <c r="B21" s="33"/>
      <c r="C21" s="34"/>
      <c r="D21" s="482" t="s">
        <v>50</v>
      </c>
      <c r="E21" s="511"/>
      <c r="F21" s="511"/>
      <c r="G21" s="511"/>
      <c r="H21" s="511"/>
      <c r="I21" s="8" t="s">
        <v>49</v>
      </c>
    </row>
    <row r="22" spans="1:9" x14ac:dyDescent="0.2">
      <c r="A22" s="9" t="s">
        <v>39</v>
      </c>
      <c r="B22" s="10" t="s">
        <v>44</v>
      </c>
      <c r="C22" s="32" t="s">
        <v>9</v>
      </c>
      <c r="D22" s="2" t="s">
        <v>26</v>
      </c>
      <c r="E22" s="52" t="s">
        <v>31</v>
      </c>
      <c r="F22" s="52" t="s">
        <v>32</v>
      </c>
      <c r="G22" s="52" t="s">
        <v>33</v>
      </c>
      <c r="H22" s="31" t="s">
        <v>34</v>
      </c>
      <c r="I22" s="32" t="s">
        <v>40</v>
      </c>
    </row>
    <row r="23" spans="1:9" x14ac:dyDescent="0.2">
      <c r="A23" s="85">
        <f>DATE(YEAR(CommOperDate),MONTH(CommOperDate),1)</f>
        <v>1</v>
      </c>
      <c r="B23" s="140">
        <v>1</v>
      </c>
      <c r="C23" s="141">
        <f t="shared" ref="C23:C82" si="2">MATCH($B$9-B23+1,$B$9:$B$18,-1)</f>
        <v>1</v>
      </c>
      <c r="D23" s="146">
        <f>IF(ISNUMBER(VLOOKUP($C23,'A4 Investment'!$A$24:$G$33,3,FALSE)),VLOOKUP($C23,'A4 Investment'!$A$24:$G$33,3,FALSE)*'A4 Investment'!C$18/12,0)</f>
        <v>8904.1666666666661</v>
      </c>
      <c r="E23" s="147">
        <f>IF(ISNUMBER(VLOOKUP($C23,'A4 Investment'!$A$24:$G$33,4,FALSE)),VLOOKUP($C23,'A4 Investment'!$A$24:$G$33,4,FALSE)*'A4 Investment'!D$18/12,0)</f>
        <v>0</v>
      </c>
      <c r="F23" s="147">
        <f>IF(ISNUMBER(VLOOKUP($C23,'A4 Investment'!$A$24:$G$33,5,FALSE)),VLOOKUP($C23,'A4 Investment'!$A$24:$G$33,5,FALSE)*'A4 Investment'!E$18/12,0)</f>
        <v>0</v>
      </c>
      <c r="G23" s="147">
        <f>IF(ISNUMBER(VLOOKUP($C23,'A4 Investment'!$A$24:$G$33,6,FALSE)),VLOOKUP($C23,'A4 Investment'!$A$24:$G$33,6,FALSE)*'A4 Investment'!F$18/12,0)</f>
        <v>0</v>
      </c>
      <c r="H23" s="180">
        <f>IF(ISNUMBER(VLOOKUP($C23,'A4 Investment'!$A$24:$G$33,7,FALSE)),VLOOKUP($C23,'A4 Investment'!$A$24:$G$33,7,FALSE)*'A4 Investment'!G$18/12,0)</f>
        <v>0</v>
      </c>
      <c r="I23" s="158">
        <f t="shared" ref="I23:I54" si="3">SUM(D23:H23)</f>
        <v>8904.1666666666661</v>
      </c>
    </row>
    <row r="24" spans="1:9" x14ac:dyDescent="0.2">
      <c r="A24" s="86">
        <f>DATE(YEAR(A23),MONTH(A23)+1,1)</f>
        <v>32</v>
      </c>
      <c r="B24" s="142">
        <f t="shared" ref="B24:B55" si="4">B23+1</f>
        <v>2</v>
      </c>
      <c r="C24" s="143">
        <f t="shared" si="2"/>
        <v>1</v>
      </c>
      <c r="D24" s="149">
        <f>IF(ISNUMBER(VLOOKUP($C24,'A4 Investment'!$A$24:$G$33,3,FALSE)),VLOOKUP($C24,'A4 Investment'!$A$24:$G$33,3,FALSE)*'A4 Investment'!C$18/12,0)</f>
        <v>8904.1666666666661</v>
      </c>
      <c r="E24" s="150">
        <f>IF(ISNUMBER(VLOOKUP($C24,'A4 Investment'!$A$24:$G$33,4,FALSE)),VLOOKUP($C24,'A4 Investment'!$A$24:$G$33,4,FALSE)*'A4 Investment'!D$18/12,0)</f>
        <v>0</v>
      </c>
      <c r="F24" s="150">
        <f>IF(ISNUMBER(VLOOKUP($C24,'A4 Investment'!$A$24:$G$33,5,FALSE)),VLOOKUP($C24,'A4 Investment'!$A$24:$G$33,5,FALSE)*'A4 Investment'!E$18/12,0)</f>
        <v>0</v>
      </c>
      <c r="G24" s="150">
        <f>IF(ISNUMBER(VLOOKUP($C24,'A4 Investment'!$A$24:$G$33,6,FALSE)),VLOOKUP($C24,'A4 Investment'!$A$24:$G$33,6,FALSE)*'A4 Investment'!F$18/12,0)</f>
        <v>0</v>
      </c>
      <c r="H24" s="181">
        <f>IF(ISNUMBER(VLOOKUP($C24,'A4 Investment'!$A$24:$G$33,7,FALSE)),VLOOKUP($C24,'A4 Investment'!$A$24:$G$33,7,FALSE)*'A4 Investment'!G$18/12,0)</f>
        <v>0</v>
      </c>
      <c r="I24" s="160">
        <f t="shared" si="3"/>
        <v>8904.1666666666661</v>
      </c>
    </row>
    <row r="25" spans="1:9" x14ac:dyDescent="0.2">
      <c r="A25" s="86">
        <f t="shared" ref="A25:A82" si="5">DATE(YEAR(A24),MONTH(A24)+1,1)</f>
        <v>61</v>
      </c>
      <c r="B25" s="142">
        <f t="shared" si="4"/>
        <v>3</v>
      </c>
      <c r="C25" s="143">
        <f t="shared" si="2"/>
        <v>1</v>
      </c>
      <c r="D25" s="149">
        <f>IF(ISNUMBER(VLOOKUP($C25,'A4 Investment'!$A$24:$G$33,3,FALSE)),VLOOKUP($C25,'A4 Investment'!$A$24:$G$33,3,FALSE)*'A4 Investment'!C$18/12,0)</f>
        <v>8904.1666666666661</v>
      </c>
      <c r="E25" s="150">
        <f>IF(ISNUMBER(VLOOKUP($C25,'A4 Investment'!$A$24:$G$33,4,FALSE)),VLOOKUP($C25,'A4 Investment'!$A$24:$G$33,4,FALSE)*'A4 Investment'!D$18/12,0)</f>
        <v>0</v>
      </c>
      <c r="F25" s="150">
        <f>IF(ISNUMBER(VLOOKUP($C25,'A4 Investment'!$A$24:$G$33,5,FALSE)),VLOOKUP($C25,'A4 Investment'!$A$24:$G$33,5,FALSE)*'A4 Investment'!E$18/12,0)</f>
        <v>0</v>
      </c>
      <c r="G25" s="150">
        <f>IF(ISNUMBER(VLOOKUP($C25,'A4 Investment'!$A$24:$G$33,6,FALSE)),VLOOKUP($C25,'A4 Investment'!$A$24:$G$33,6,FALSE)*'A4 Investment'!F$18/12,0)</f>
        <v>0</v>
      </c>
      <c r="H25" s="181">
        <f>IF(ISNUMBER(VLOOKUP($C25,'A4 Investment'!$A$24:$G$33,7,FALSE)),VLOOKUP($C25,'A4 Investment'!$A$24:$G$33,7,FALSE)*'A4 Investment'!G$18/12,0)</f>
        <v>0</v>
      </c>
      <c r="I25" s="160">
        <f t="shared" si="3"/>
        <v>8904.1666666666661</v>
      </c>
    </row>
    <row r="26" spans="1:9" x14ac:dyDescent="0.2">
      <c r="A26" s="86">
        <f t="shared" si="5"/>
        <v>92</v>
      </c>
      <c r="B26" s="142">
        <f t="shared" si="4"/>
        <v>4</v>
      </c>
      <c r="C26" s="143">
        <f t="shared" si="2"/>
        <v>1</v>
      </c>
      <c r="D26" s="149">
        <f>IF(ISNUMBER(VLOOKUP($C26,'A4 Investment'!$A$24:$G$33,3,FALSE)),VLOOKUP($C26,'A4 Investment'!$A$24:$G$33,3,FALSE)*'A4 Investment'!C$18/12,0)</f>
        <v>8904.1666666666661</v>
      </c>
      <c r="E26" s="150">
        <f>IF(ISNUMBER(VLOOKUP($C26,'A4 Investment'!$A$24:$G$33,4,FALSE)),VLOOKUP($C26,'A4 Investment'!$A$24:$G$33,4,FALSE)*'A4 Investment'!D$18/12,0)</f>
        <v>0</v>
      </c>
      <c r="F26" s="150">
        <f>IF(ISNUMBER(VLOOKUP($C26,'A4 Investment'!$A$24:$G$33,5,FALSE)),VLOOKUP($C26,'A4 Investment'!$A$24:$G$33,5,FALSE)*'A4 Investment'!E$18/12,0)</f>
        <v>0</v>
      </c>
      <c r="G26" s="150">
        <f>IF(ISNUMBER(VLOOKUP($C26,'A4 Investment'!$A$24:$G$33,6,FALSE)),VLOOKUP($C26,'A4 Investment'!$A$24:$G$33,6,FALSE)*'A4 Investment'!F$18/12,0)</f>
        <v>0</v>
      </c>
      <c r="H26" s="181">
        <f>IF(ISNUMBER(VLOOKUP($C26,'A4 Investment'!$A$24:$G$33,7,FALSE)),VLOOKUP($C26,'A4 Investment'!$A$24:$G$33,7,FALSE)*'A4 Investment'!G$18/12,0)</f>
        <v>0</v>
      </c>
      <c r="I26" s="160">
        <f t="shared" si="3"/>
        <v>8904.1666666666661</v>
      </c>
    </row>
    <row r="27" spans="1:9" x14ac:dyDescent="0.2">
      <c r="A27" s="86">
        <f t="shared" si="5"/>
        <v>122</v>
      </c>
      <c r="B27" s="142">
        <f t="shared" si="4"/>
        <v>5</v>
      </c>
      <c r="C27" s="143">
        <f t="shared" si="2"/>
        <v>1</v>
      </c>
      <c r="D27" s="149">
        <f>IF(ISNUMBER(VLOOKUP($C27,'A4 Investment'!$A$24:$G$33,3,FALSE)),VLOOKUP($C27,'A4 Investment'!$A$24:$G$33,3,FALSE)*'A4 Investment'!C$18/12,0)</f>
        <v>8904.1666666666661</v>
      </c>
      <c r="E27" s="150">
        <f>IF(ISNUMBER(VLOOKUP($C27,'A4 Investment'!$A$24:$G$33,4,FALSE)),VLOOKUP($C27,'A4 Investment'!$A$24:$G$33,4,FALSE)*'A4 Investment'!D$18/12,0)</f>
        <v>0</v>
      </c>
      <c r="F27" s="150">
        <f>IF(ISNUMBER(VLOOKUP($C27,'A4 Investment'!$A$24:$G$33,5,FALSE)),VLOOKUP($C27,'A4 Investment'!$A$24:$G$33,5,FALSE)*'A4 Investment'!E$18/12,0)</f>
        <v>0</v>
      </c>
      <c r="G27" s="150">
        <f>IF(ISNUMBER(VLOOKUP($C27,'A4 Investment'!$A$24:$G$33,6,FALSE)),VLOOKUP($C27,'A4 Investment'!$A$24:$G$33,6,FALSE)*'A4 Investment'!F$18/12,0)</f>
        <v>0</v>
      </c>
      <c r="H27" s="181">
        <f>IF(ISNUMBER(VLOOKUP($C27,'A4 Investment'!$A$24:$G$33,7,FALSE)),VLOOKUP($C27,'A4 Investment'!$A$24:$G$33,7,FALSE)*'A4 Investment'!G$18/12,0)</f>
        <v>0</v>
      </c>
      <c r="I27" s="160">
        <f t="shared" si="3"/>
        <v>8904.1666666666661</v>
      </c>
    </row>
    <row r="28" spans="1:9" x14ac:dyDescent="0.2">
      <c r="A28" s="86">
        <f t="shared" si="5"/>
        <v>153</v>
      </c>
      <c r="B28" s="142">
        <f t="shared" si="4"/>
        <v>6</v>
      </c>
      <c r="C28" s="143">
        <f t="shared" si="2"/>
        <v>1</v>
      </c>
      <c r="D28" s="149">
        <f>IF(ISNUMBER(VLOOKUP($C28,'A4 Investment'!$A$24:$G$33,3,FALSE)),VLOOKUP($C28,'A4 Investment'!$A$24:$G$33,3,FALSE)*'A4 Investment'!C$18/12,0)</f>
        <v>8904.1666666666661</v>
      </c>
      <c r="E28" s="150">
        <f>IF(ISNUMBER(VLOOKUP($C28,'A4 Investment'!$A$24:$G$33,4,FALSE)),VLOOKUP($C28,'A4 Investment'!$A$24:$G$33,4,FALSE)*'A4 Investment'!D$18/12,0)</f>
        <v>0</v>
      </c>
      <c r="F28" s="150">
        <f>IF(ISNUMBER(VLOOKUP($C28,'A4 Investment'!$A$24:$G$33,5,FALSE)),VLOOKUP($C28,'A4 Investment'!$A$24:$G$33,5,FALSE)*'A4 Investment'!E$18/12,0)</f>
        <v>0</v>
      </c>
      <c r="G28" s="150">
        <f>IF(ISNUMBER(VLOOKUP($C28,'A4 Investment'!$A$24:$G$33,6,FALSE)),VLOOKUP($C28,'A4 Investment'!$A$24:$G$33,6,FALSE)*'A4 Investment'!F$18/12,0)</f>
        <v>0</v>
      </c>
      <c r="H28" s="181">
        <f>IF(ISNUMBER(VLOOKUP($C28,'A4 Investment'!$A$24:$G$33,7,FALSE)),VLOOKUP($C28,'A4 Investment'!$A$24:$G$33,7,FALSE)*'A4 Investment'!G$18/12,0)</f>
        <v>0</v>
      </c>
      <c r="I28" s="160">
        <f t="shared" si="3"/>
        <v>8904.1666666666661</v>
      </c>
    </row>
    <row r="29" spans="1:9" x14ac:dyDescent="0.2">
      <c r="A29" s="86">
        <f t="shared" si="5"/>
        <v>183</v>
      </c>
      <c r="B29" s="142">
        <f t="shared" si="4"/>
        <v>7</v>
      </c>
      <c r="C29" s="143">
        <f t="shared" si="2"/>
        <v>1</v>
      </c>
      <c r="D29" s="149">
        <f>IF(ISNUMBER(VLOOKUP($C29,'A4 Investment'!$A$24:$G$33,3,FALSE)),VLOOKUP($C29,'A4 Investment'!$A$24:$G$33,3,FALSE)*'A4 Investment'!C$18/12,0)</f>
        <v>8904.1666666666661</v>
      </c>
      <c r="E29" s="150">
        <f>IF(ISNUMBER(VLOOKUP($C29,'A4 Investment'!$A$24:$G$33,4,FALSE)),VLOOKUP($C29,'A4 Investment'!$A$24:$G$33,4,FALSE)*'A4 Investment'!D$18/12,0)</f>
        <v>0</v>
      </c>
      <c r="F29" s="150">
        <f>IF(ISNUMBER(VLOOKUP($C29,'A4 Investment'!$A$24:$G$33,5,FALSE)),VLOOKUP($C29,'A4 Investment'!$A$24:$G$33,5,FALSE)*'A4 Investment'!E$18/12,0)</f>
        <v>0</v>
      </c>
      <c r="G29" s="150">
        <f>IF(ISNUMBER(VLOOKUP($C29,'A4 Investment'!$A$24:$G$33,6,FALSE)),VLOOKUP($C29,'A4 Investment'!$A$24:$G$33,6,FALSE)*'A4 Investment'!F$18/12,0)</f>
        <v>0</v>
      </c>
      <c r="H29" s="181">
        <f>IF(ISNUMBER(VLOOKUP($C29,'A4 Investment'!$A$24:$G$33,7,FALSE)),VLOOKUP($C29,'A4 Investment'!$A$24:$G$33,7,FALSE)*'A4 Investment'!G$18/12,0)</f>
        <v>0</v>
      </c>
      <c r="I29" s="160">
        <f t="shared" si="3"/>
        <v>8904.1666666666661</v>
      </c>
    </row>
    <row r="30" spans="1:9" x14ac:dyDescent="0.2">
      <c r="A30" s="86">
        <f t="shared" si="5"/>
        <v>214</v>
      </c>
      <c r="B30" s="142">
        <f t="shared" si="4"/>
        <v>8</v>
      </c>
      <c r="C30" s="143">
        <f t="shared" si="2"/>
        <v>1</v>
      </c>
      <c r="D30" s="149">
        <f>IF(ISNUMBER(VLOOKUP($C30,'A4 Investment'!$A$24:$G$33,3,FALSE)),VLOOKUP($C30,'A4 Investment'!$A$24:$G$33,3,FALSE)*'A4 Investment'!C$18/12,0)</f>
        <v>8904.1666666666661</v>
      </c>
      <c r="E30" s="150">
        <f>IF(ISNUMBER(VLOOKUP($C30,'A4 Investment'!$A$24:$G$33,4,FALSE)),VLOOKUP($C30,'A4 Investment'!$A$24:$G$33,4,FALSE)*'A4 Investment'!D$18/12,0)</f>
        <v>0</v>
      </c>
      <c r="F30" s="150">
        <f>IF(ISNUMBER(VLOOKUP($C30,'A4 Investment'!$A$24:$G$33,5,FALSE)),VLOOKUP($C30,'A4 Investment'!$A$24:$G$33,5,FALSE)*'A4 Investment'!E$18/12,0)</f>
        <v>0</v>
      </c>
      <c r="G30" s="150">
        <f>IF(ISNUMBER(VLOOKUP($C30,'A4 Investment'!$A$24:$G$33,6,FALSE)),VLOOKUP($C30,'A4 Investment'!$A$24:$G$33,6,FALSE)*'A4 Investment'!F$18/12,0)</f>
        <v>0</v>
      </c>
      <c r="H30" s="181">
        <f>IF(ISNUMBER(VLOOKUP($C30,'A4 Investment'!$A$24:$G$33,7,FALSE)),VLOOKUP($C30,'A4 Investment'!$A$24:$G$33,7,FALSE)*'A4 Investment'!G$18/12,0)</f>
        <v>0</v>
      </c>
      <c r="I30" s="160">
        <f t="shared" si="3"/>
        <v>8904.1666666666661</v>
      </c>
    </row>
    <row r="31" spans="1:9" x14ac:dyDescent="0.2">
      <c r="A31" s="86">
        <f t="shared" si="5"/>
        <v>245</v>
      </c>
      <c r="B31" s="142">
        <f t="shared" si="4"/>
        <v>9</v>
      </c>
      <c r="C31" s="143">
        <f t="shared" si="2"/>
        <v>1</v>
      </c>
      <c r="D31" s="149">
        <f>IF(ISNUMBER(VLOOKUP($C31,'A4 Investment'!$A$24:$G$33,3,FALSE)),VLOOKUP($C31,'A4 Investment'!$A$24:$G$33,3,FALSE)*'A4 Investment'!C$18/12,0)</f>
        <v>8904.1666666666661</v>
      </c>
      <c r="E31" s="150">
        <f>IF(ISNUMBER(VLOOKUP($C31,'A4 Investment'!$A$24:$G$33,4,FALSE)),VLOOKUP($C31,'A4 Investment'!$A$24:$G$33,4,FALSE)*'A4 Investment'!D$18/12,0)</f>
        <v>0</v>
      </c>
      <c r="F31" s="150">
        <f>IF(ISNUMBER(VLOOKUP($C31,'A4 Investment'!$A$24:$G$33,5,FALSE)),VLOOKUP($C31,'A4 Investment'!$A$24:$G$33,5,FALSE)*'A4 Investment'!E$18/12,0)</f>
        <v>0</v>
      </c>
      <c r="G31" s="150">
        <f>IF(ISNUMBER(VLOOKUP($C31,'A4 Investment'!$A$24:$G$33,6,FALSE)),VLOOKUP($C31,'A4 Investment'!$A$24:$G$33,6,FALSE)*'A4 Investment'!F$18/12,0)</f>
        <v>0</v>
      </c>
      <c r="H31" s="181">
        <f>IF(ISNUMBER(VLOOKUP($C31,'A4 Investment'!$A$24:$G$33,7,FALSE)),VLOOKUP($C31,'A4 Investment'!$A$24:$G$33,7,FALSE)*'A4 Investment'!G$18/12,0)</f>
        <v>0</v>
      </c>
      <c r="I31" s="160">
        <f t="shared" si="3"/>
        <v>8904.1666666666661</v>
      </c>
    </row>
    <row r="32" spans="1:9" x14ac:dyDescent="0.2">
      <c r="A32" s="86">
        <f t="shared" si="5"/>
        <v>275</v>
      </c>
      <c r="B32" s="142">
        <f t="shared" si="4"/>
        <v>10</v>
      </c>
      <c r="C32" s="143">
        <f t="shared" si="2"/>
        <v>1</v>
      </c>
      <c r="D32" s="149">
        <f>IF(ISNUMBER(VLOOKUP($C32,'A4 Investment'!$A$24:$G$33,3,FALSE)),VLOOKUP($C32,'A4 Investment'!$A$24:$G$33,3,FALSE)*'A4 Investment'!C$18/12,0)</f>
        <v>8904.1666666666661</v>
      </c>
      <c r="E32" s="150">
        <f>IF(ISNUMBER(VLOOKUP($C32,'A4 Investment'!$A$24:$G$33,4,FALSE)),VLOOKUP($C32,'A4 Investment'!$A$24:$G$33,4,FALSE)*'A4 Investment'!D$18/12,0)</f>
        <v>0</v>
      </c>
      <c r="F32" s="150">
        <f>IF(ISNUMBER(VLOOKUP($C32,'A4 Investment'!$A$24:$G$33,5,FALSE)),VLOOKUP($C32,'A4 Investment'!$A$24:$G$33,5,FALSE)*'A4 Investment'!E$18/12,0)</f>
        <v>0</v>
      </c>
      <c r="G32" s="150">
        <f>IF(ISNUMBER(VLOOKUP($C32,'A4 Investment'!$A$24:$G$33,6,FALSE)),VLOOKUP($C32,'A4 Investment'!$A$24:$G$33,6,FALSE)*'A4 Investment'!F$18/12,0)</f>
        <v>0</v>
      </c>
      <c r="H32" s="181">
        <f>IF(ISNUMBER(VLOOKUP($C32,'A4 Investment'!$A$24:$G$33,7,FALSE)),VLOOKUP($C32,'A4 Investment'!$A$24:$G$33,7,FALSE)*'A4 Investment'!G$18/12,0)</f>
        <v>0</v>
      </c>
      <c r="I32" s="160">
        <f t="shared" si="3"/>
        <v>8904.1666666666661</v>
      </c>
    </row>
    <row r="33" spans="1:9" x14ac:dyDescent="0.2">
      <c r="A33" s="86">
        <f t="shared" si="5"/>
        <v>306</v>
      </c>
      <c r="B33" s="142">
        <f t="shared" si="4"/>
        <v>11</v>
      </c>
      <c r="C33" s="143">
        <f t="shared" si="2"/>
        <v>1</v>
      </c>
      <c r="D33" s="149">
        <f>IF(ISNUMBER(VLOOKUP($C33,'A4 Investment'!$A$24:$G$33,3,FALSE)),VLOOKUP($C33,'A4 Investment'!$A$24:$G$33,3,FALSE)*'A4 Investment'!C$18/12,0)</f>
        <v>8904.1666666666661</v>
      </c>
      <c r="E33" s="150">
        <f>IF(ISNUMBER(VLOOKUP($C33,'A4 Investment'!$A$24:$G$33,4,FALSE)),VLOOKUP($C33,'A4 Investment'!$A$24:$G$33,4,FALSE)*'A4 Investment'!D$18/12,0)</f>
        <v>0</v>
      </c>
      <c r="F33" s="150">
        <f>IF(ISNUMBER(VLOOKUP($C33,'A4 Investment'!$A$24:$G$33,5,FALSE)),VLOOKUP($C33,'A4 Investment'!$A$24:$G$33,5,FALSE)*'A4 Investment'!E$18/12,0)</f>
        <v>0</v>
      </c>
      <c r="G33" s="150">
        <f>IF(ISNUMBER(VLOOKUP($C33,'A4 Investment'!$A$24:$G$33,6,FALSE)),VLOOKUP($C33,'A4 Investment'!$A$24:$G$33,6,FALSE)*'A4 Investment'!F$18/12,0)</f>
        <v>0</v>
      </c>
      <c r="H33" s="181">
        <f>IF(ISNUMBER(VLOOKUP($C33,'A4 Investment'!$A$24:$G$33,7,FALSE)),VLOOKUP($C33,'A4 Investment'!$A$24:$G$33,7,FALSE)*'A4 Investment'!G$18/12,0)</f>
        <v>0</v>
      </c>
      <c r="I33" s="160">
        <f t="shared" si="3"/>
        <v>8904.1666666666661</v>
      </c>
    </row>
    <row r="34" spans="1:9" x14ac:dyDescent="0.2">
      <c r="A34" s="86">
        <f t="shared" si="5"/>
        <v>336</v>
      </c>
      <c r="B34" s="142">
        <f t="shared" si="4"/>
        <v>12</v>
      </c>
      <c r="C34" s="143">
        <f t="shared" si="2"/>
        <v>1</v>
      </c>
      <c r="D34" s="149">
        <f>IF(ISNUMBER(VLOOKUP($C34,'A4 Investment'!$A$24:$G$33,3,FALSE)),VLOOKUP($C34,'A4 Investment'!$A$24:$G$33,3,FALSE)*'A4 Investment'!C$18/12,0)</f>
        <v>8904.1666666666661</v>
      </c>
      <c r="E34" s="150">
        <f>IF(ISNUMBER(VLOOKUP($C34,'A4 Investment'!$A$24:$G$33,4,FALSE)),VLOOKUP($C34,'A4 Investment'!$A$24:$G$33,4,FALSE)*'A4 Investment'!D$18/12,0)</f>
        <v>0</v>
      </c>
      <c r="F34" s="150">
        <f>IF(ISNUMBER(VLOOKUP($C34,'A4 Investment'!$A$24:$G$33,5,FALSE)),VLOOKUP($C34,'A4 Investment'!$A$24:$G$33,5,FALSE)*'A4 Investment'!E$18/12,0)</f>
        <v>0</v>
      </c>
      <c r="G34" s="150">
        <f>IF(ISNUMBER(VLOOKUP($C34,'A4 Investment'!$A$24:$G$33,6,FALSE)),VLOOKUP($C34,'A4 Investment'!$A$24:$G$33,6,FALSE)*'A4 Investment'!F$18/12,0)</f>
        <v>0</v>
      </c>
      <c r="H34" s="181">
        <f>IF(ISNUMBER(VLOOKUP($C34,'A4 Investment'!$A$24:$G$33,7,FALSE)),VLOOKUP($C34,'A4 Investment'!$A$24:$G$33,7,FALSE)*'A4 Investment'!G$18/12,0)</f>
        <v>0</v>
      </c>
      <c r="I34" s="160">
        <f t="shared" si="3"/>
        <v>8904.1666666666661</v>
      </c>
    </row>
    <row r="35" spans="1:9" x14ac:dyDescent="0.2">
      <c r="A35" s="86">
        <f t="shared" si="5"/>
        <v>367</v>
      </c>
      <c r="B35" s="142">
        <f t="shared" si="4"/>
        <v>13</v>
      </c>
      <c r="C35" s="143">
        <f t="shared" si="2"/>
        <v>1</v>
      </c>
      <c r="D35" s="149">
        <f>IF(ISNUMBER(VLOOKUP($C35,'A4 Investment'!$A$24:$G$33,3,FALSE)),VLOOKUP($C35,'A4 Investment'!$A$24:$G$33,3,FALSE)*'A4 Investment'!C$18/12,0)</f>
        <v>8904.1666666666661</v>
      </c>
      <c r="E35" s="150">
        <f>IF(ISNUMBER(VLOOKUP($C35,'A4 Investment'!$A$24:$G$33,4,FALSE)),VLOOKUP($C35,'A4 Investment'!$A$24:$G$33,4,FALSE)*'A4 Investment'!D$18/12,0)</f>
        <v>0</v>
      </c>
      <c r="F35" s="150">
        <f>IF(ISNUMBER(VLOOKUP($C35,'A4 Investment'!$A$24:$G$33,5,FALSE)),VLOOKUP($C35,'A4 Investment'!$A$24:$G$33,5,FALSE)*'A4 Investment'!E$18/12,0)</f>
        <v>0</v>
      </c>
      <c r="G35" s="150">
        <f>IF(ISNUMBER(VLOOKUP($C35,'A4 Investment'!$A$24:$G$33,6,FALSE)),VLOOKUP($C35,'A4 Investment'!$A$24:$G$33,6,FALSE)*'A4 Investment'!F$18/12,0)</f>
        <v>0</v>
      </c>
      <c r="H35" s="181">
        <f>IF(ISNUMBER(VLOOKUP($C35,'A4 Investment'!$A$24:$G$33,7,FALSE)),VLOOKUP($C35,'A4 Investment'!$A$24:$G$33,7,FALSE)*'A4 Investment'!G$18/12,0)</f>
        <v>0</v>
      </c>
      <c r="I35" s="160">
        <f t="shared" si="3"/>
        <v>8904.1666666666661</v>
      </c>
    </row>
    <row r="36" spans="1:9" x14ac:dyDescent="0.2">
      <c r="A36" s="86">
        <f t="shared" si="5"/>
        <v>398</v>
      </c>
      <c r="B36" s="142">
        <f t="shared" si="4"/>
        <v>14</v>
      </c>
      <c r="C36" s="143">
        <f t="shared" si="2"/>
        <v>1</v>
      </c>
      <c r="D36" s="149">
        <f>IF(ISNUMBER(VLOOKUP($C36,'A4 Investment'!$A$24:$G$33,3,FALSE)),VLOOKUP($C36,'A4 Investment'!$A$24:$G$33,3,FALSE)*'A4 Investment'!C$18/12,0)</f>
        <v>8904.1666666666661</v>
      </c>
      <c r="E36" s="150">
        <f>IF(ISNUMBER(VLOOKUP($C36,'A4 Investment'!$A$24:$G$33,4,FALSE)),VLOOKUP($C36,'A4 Investment'!$A$24:$G$33,4,FALSE)*'A4 Investment'!D$18/12,0)</f>
        <v>0</v>
      </c>
      <c r="F36" s="150">
        <f>IF(ISNUMBER(VLOOKUP($C36,'A4 Investment'!$A$24:$G$33,5,FALSE)),VLOOKUP($C36,'A4 Investment'!$A$24:$G$33,5,FALSE)*'A4 Investment'!E$18/12,0)</f>
        <v>0</v>
      </c>
      <c r="G36" s="150">
        <f>IF(ISNUMBER(VLOOKUP($C36,'A4 Investment'!$A$24:$G$33,6,FALSE)),VLOOKUP($C36,'A4 Investment'!$A$24:$G$33,6,FALSE)*'A4 Investment'!F$18/12,0)</f>
        <v>0</v>
      </c>
      <c r="H36" s="181">
        <f>IF(ISNUMBER(VLOOKUP($C36,'A4 Investment'!$A$24:$G$33,7,FALSE)),VLOOKUP($C36,'A4 Investment'!$A$24:$G$33,7,FALSE)*'A4 Investment'!G$18/12,0)</f>
        <v>0</v>
      </c>
      <c r="I36" s="160">
        <f t="shared" si="3"/>
        <v>8904.1666666666661</v>
      </c>
    </row>
    <row r="37" spans="1:9" x14ac:dyDescent="0.2">
      <c r="A37" s="86">
        <f t="shared" si="5"/>
        <v>426</v>
      </c>
      <c r="B37" s="142">
        <f t="shared" si="4"/>
        <v>15</v>
      </c>
      <c r="C37" s="143">
        <f t="shared" si="2"/>
        <v>1</v>
      </c>
      <c r="D37" s="149">
        <f>IF(ISNUMBER(VLOOKUP($C37,'A4 Investment'!$A$24:$G$33,3,FALSE)),VLOOKUP($C37,'A4 Investment'!$A$24:$G$33,3,FALSE)*'A4 Investment'!C$18/12,0)</f>
        <v>8904.1666666666661</v>
      </c>
      <c r="E37" s="150">
        <f>IF(ISNUMBER(VLOOKUP($C37,'A4 Investment'!$A$24:$G$33,4,FALSE)),VLOOKUP($C37,'A4 Investment'!$A$24:$G$33,4,FALSE)*'A4 Investment'!D$18/12,0)</f>
        <v>0</v>
      </c>
      <c r="F37" s="150">
        <f>IF(ISNUMBER(VLOOKUP($C37,'A4 Investment'!$A$24:$G$33,5,FALSE)),VLOOKUP($C37,'A4 Investment'!$A$24:$G$33,5,FALSE)*'A4 Investment'!E$18/12,0)</f>
        <v>0</v>
      </c>
      <c r="G37" s="150">
        <f>IF(ISNUMBER(VLOOKUP($C37,'A4 Investment'!$A$24:$G$33,6,FALSE)),VLOOKUP($C37,'A4 Investment'!$A$24:$G$33,6,FALSE)*'A4 Investment'!F$18/12,0)</f>
        <v>0</v>
      </c>
      <c r="H37" s="181">
        <f>IF(ISNUMBER(VLOOKUP($C37,'A4 Investment'!$A$24:$G$33,7,FALSE)),VLOOKUP($C37,'A4 Investment'!$A$24:$G$33,7,FALSE)*'A4 Investment'!G$18/12,0)</f>
        <v>0</v>
      </c>
      <c r="I37" s="160">
        <f t="shared" si="3"/>
        <v>8904.1666666666661</v>
      </c>
    </row>
    <row r="38" spans="1:9" x14ac:dyDescent="0.2">
      <c r="A38" s="86">
        <f t="shared" si="5"/>
        <v>457</v>
      </c>
      <c r="B38" s="142">
        <f t="shared" si="4"/>
        <v>16</v>
      </c>
      <c r="C38" s="143">
        <f t="shared" si="2"/>
        <v>1</v>
      </c>
      <c r="D38" s="149">
        <f>IF(ISNUMBER(VLOOKUP($C38,'A4 Investment'!$A$24:$G$33,3,FALSE)),VLOOKUP($C38,'A4 Investment'!$A$24:$G$33,3,FALSE)*'A4 Investment'!C$18/12,0)</f>
        <v>8904.1666666666661</v>
      </c>
      <c r="E38" s="150">
        <f>IF(ISNUMBER(VLOOKUP($C38,'A4 Investment'!$A$24:$G$33,4,FALSE)),VLOOKUP($C38,'A4 Investment'!$A$24:$G$33,4,FALSE)*'A4 Investment'!D$18/12,0)</f>
        <v>0</v>
      </c>
      <c r="F38" s="150">
        <f>IF(ISNUMBER(VLOOKUP($C38,'A4 Investment'!$A$24:$G$33,5,FALSE)),VLOOKUP($C38,'A4 Investment'!$A$24:$G$33,5,FALSE)*'A4 Investment'!E$18/12,0)</f>
        <v>0</v>
      </c>
      <c r="G38" s="150">
        <f>IF(ISNUMBER(VLOOKUP($C38,'A4 Investment'!$A$24:$G$33,6,FALSE)),VLOOKUP($C38,'A4 Investment'!$A$24:$G$33,6,FALSE)*'A4 Investment'!F$18/12,0)</f>
        <v>0</v>
      </c>
      <c r="H38" s="181">
        <f>IF(ISNUMBER(VLOOKUP($C38,'A4 Investment'!$A$24:$G$33,7,FALSE)),VLOOKUP($C38,'A4 Investment'!$A$24:$G$33,7,FALSE)*'A4 Investment'!G$18/12,0)</f>
        <v>0</v>
      </c>
      <c r="I38" s="160">
        <f t="shared" si="3"/>
        <v>8904.1666666666661</v>
      </c>
    </row>
    <row r="39" spans="1:9" x14ac:dyDescent="0.2">
      <c r="A39" s="86">
        <f t="shared" si="5"/>
        <v>487</v>
      </c>
      <c r="B39" s="142">
        <f t="shared" si="4"/>
        <v>17</v>
      </c>
      <c r="C39" s="143">
        <f t="shared" si="2"/>
        <v>1</v>
      </c>
      <c r="D39" s="149">
        <f>IF(ISNUMBER(VLOOKUP($C39,'A4 Investment'!$A$24:$G$33,3,FALSE)),VLOOKUP($C39,'A4 Investment'!$A$24:$G$33,3,FALSE)*'A4 Investment'!C$18/12,0)</f>
        <v>8904.1666666666661</v>
      </c>
      <c r="E39" s="150">
        <f>IF(ISNUMBER(VLOOKUP($C39,'A4 Investment'!$A$24:$G$33,4,FALSE)),VLOOKUP($C39,'A4 Investment'!$A$24:$G$33,4,FALSE)*'A4 Investment'!D$18/12,0)</f>
        <v>0</v>
      </c>
      <c r="F39" s="150">
        <f>IF(ISNUMBER(VLOOKUP($C39,'A4 Investment'!$A$24:$G$33,5,FALSE)),VLOOKUP($C39,'A4 Investment'!$A$24:$G$33,5,FALSE)*'A4 Investment'!E$18/12,0)</f>
        <v>0</v>
      </c>
      <c r="G39" s="150">
        <f>IF(ISNUMBER(VLOOKUP($C39,'A4 Investment'!$A$24:$G$33,6,FALSE)),VLOOKUP($C39,'A4 Investment'!$A$24:$G$33,6,FALSE)*'A4 Investment'!F$18/12,0)</f>
        <v>0</v>
      </c>
      <c r="H39" s="181">
        <f>IF(ISNUMBER(VLOOKUP($C39,'A4 Investment'!$A$24:$G$33,7,FALSE)),VLOOKUP($C39,'A4 Investment'!$A$24:$G$33,7,FALSE)*'A4 Investment'!G$18/12,0)</f>
        <v>0</v>
      </c>
      <c r="I39" s="160">
        <f t="shared" si="3"/>
        <v>8904.1666666666661</v>
      </c>
    </row>
    <row r="40" spans="1:9" x14ac:dyDescent="0.2">
      <c r="A40" s="86">
        <f t="shared" si="5"/>
        <v>518</v>
      </c>
      <c r="B40" s="142">
        <f t="shared" si="4"/>
        <v>18</v>
      </c>
      <c r="C40" s="143">
        <f t="shared" si="2"/>
        <v>1</v>
      </c>
      <c r="D40" s="149">
        <f>IF(ISNUMBER(VLOOKUP($C40,'A4 Investment'!$A$24:$G$33,3,FALSE)),VLOOKUP($C40,'A4 Investment'!$A$24:$G$33,3,FALSE)*'A4 Investment'!C$18/12,0)</f>
        <v>8904.1666666666661</v>
      </c>
      <c r="E40" s="150">
        <f>IF(ISNUMBER(VLOOKUP($C40,'A4 Investment'!$A$24:$G$33,4,FALSE)),VLOOKUP($C40,'A4 Investment'!$A$24:$G$33,4,FALSE)*'A4 Investment'!D$18/12,0)</f>
        <v>0</v>
      </c>
      <c r="F40" s="150">
        <f>IF(ISNUMBER(VLOOKUP($C40,'A4 Investment'!$A$24:$G$33,5,FALSE)),VLOOKUP($C40,'A4 Investment'!$A$24:$G$33,5,FALSE)*'A4 Investment'!E$18/12,0)</f>
        <v>0</v>
      </c>
      <c r="G40" s="150">
        <f>IF(ISNUMBER(VLOOKUP($C40,'A4 Investment'!$A$24:$G$33,6,FALSE)),VLOOKUP($C40,'A4 Investment'!$A$24:$G$33,6,FALSE)*'A4 Investment'!F$18/12,0)</f>
        <v>0</v>
      </c>
      <c r="H40" s="181">
        <f>IF(ISNUMBER(VLOOKUP($C40,'A4 Investment'!$A$24:$G$33,7,FALSE)),VLOOKUP($C40,'A4 Investment'!$A$24:$G$33,7,FALSE)*'A4 Investment'!G$18/12,0)</f>
        <v>0</v>
      </c>
      <c r="I40" s="160">
        <f t="shared" si="3"/>
        <v>8904.1666666666661</v>
      </c>
    </row>
    <row r="41" spans="1:9" x14ac:dyDescent="0.2">
      <c r="A41" s="86">
        <f t="shared" si="5"/>
        <v>548</v>
      </c>
      <c r="B41" s="142">
        <f t="shared" si="4"/>
        <v>19</v>
      </c>
      <c r="C41" s="143">
        <f t="shared" si="2"/>
        <v>1</v>
      </c>
      <c r="D41" s="149">
        <f>IF(ISNUMBER(VLOOKUP($C41,'A4 Investment'!$A$24:$G$33,3,FALSE)),VLOOKUP($C41,'A4 Investment'!$A$24:$G$33,3,FALSE)*'A4 Investment'!C$18/12,0)</f>
        <v>8904.1666666666661</v>
      </c>
      <c r="E41" s="150">
        <f>IF(ISNUMBER(VLOOKUP($C41,'A4 Investment'!$A$24:$G$33,4,FALSE)),VLOOKUP($C41,'A4 Investment'!$A$24:$G$33,4,FALSE)*'A4 Investment'!D$18/12,0)</f>
        <v>0</v>
      </c>
      <c r="F41" s="150">
        <f>IF(ISNUMBER(VLOOKUP($C41,'A4 Investment'!$A$24:$G$33,5,FALSE)),VLOOKUP($C41,'A4 Investment'!$A$24:$G$33,5,FALSE)*'A4 Investment'!E$18/12,0)</f>
        <v>0</v>
      </c>
      <c r="G41" s="150">
        <f>IF(ISNUMBER(VLOOKUP($C41,'A4 Investment'!$A$24:$G$33,6,FALSE)),VLOOKUP($C41,'A4 Investment'!$A$24:$G$33,6,FALSE)*'A4 Investment'!F$18/12,0)</f>
        <v>0</v>
      </c>
      <c r="H41" s="181">
        <f>IF(ISNUMBER(VLOOKUP($C41,'A4 Investment'!$A$24:$G$33,7,FALSE)),VLOOKUP($C41,'A4 Investment'!$A$24:$G$33,7,FALSE)*'A4 Investment'!G$18/12,0)</f>
        <v>0</v>
      </c>
      <c r="I41" s="160">
        <f t="shared" si="3"/>
        <v>8904.1666666666661</v>
      </c>
    </row>
    <row r="42" spans="1:9" x14ac:dyDescent="0.2">
      <c r="A42" s="86">
        <f t="shared" si="5"/>
        <v>579</v>
      </c>
      <c r="B42" s="142">
        <f t="shared" si="4"/>
        <v>20</v>
      </c>
      <c r="C42" s="143">
        <f t="shared" si="2"/>
        <v>1</v>
      </c>
      <c r="D42" s="149">
        <f>IF(ISNUMBER(VLOOKUP($C42,'A4 Investment'!$A$24:$G$33,3,FALSE)),VLOOKUP($C42,'A4 Investment'!$A$24:$G$33,3,FALSE)*'A4 Investment'!C$18/12,0)</f>
        <v>8904.1666666666661</v>
      </c>
      <c r="E42" s="150">
        <f>IF(ISNUMBER(VLOOKUP($C42,'A4 Investment'!$A$24:$G$33,4,FALSE)),VLOOKUP($C42,'A4 Investment'!$A$24:$G$33,4,FALSE)*'A4 Investment'!D$18/12,0)</f>
        <v>0</v>
      </c>
      <c r="F42" s="150">
        <f>IF(ISNUMBER(VLOOKUP($C42,'A4 Investment'!$A$24:$G$33,5,FALSE)),VLOOKUP($C42,'A4 Investment'!$A$24:$G$33,5,FALSE)*'A4 Investment'!E$18/12,0)</f>
        <v>0</v>
      </c>
      <c r="G42" s="150">
        <f>IF(ISNUMBER(VLOOKUP($C42,'A4 Investment'!$A$24:$G$33,6,FALSE)),VLOOKUP($C42,'A4 Investment'!$A$24:$G$33,6,FALSE)*'A4 Investment'!F$18/12,0)</f>
        <v>0</v>
      </c>
      <c r="H42" s="181">
        <f>IF(ISNUMBER(VLOOKUP($C42,'A4 Investment'!$A$24:$G$33,7,FALSE)),VLOOKUP($C42,'A4 Investment'!$A$24:$G$33,7,FALSE)*'A4 Investment'!G$18/12,0)</f>
        <v>0</v>
      </c>
      <c r="I42" s="160">
        <f t="shared" si="3"/>
        <v>8904.1666666666661</v>
      </c>
    </row>
    <row r="43" spans="1:9" x14ac:dyDescent="0.2">
      <c r="A43" s="86">
        <f t="shared" si="5"/>
        <v>610</v>
      </c>
      <c r="B43" s="142">
        <f t="shared" si="4"/>
        <v>21</v>
      </c>
      <c r="C43" s="143">
        <f t="shared" si="2"/>
        <v>1</v>
      </c>
      <c r="D43" s="149">
        <f>IF(ISNUMBER(VLOOKUP($C43,'A4 Investment'!$A$24:$G$33,3,FALSE)),VLOOKUP($C43,'A4 Investment'!$A$24:$G$33,3,FALSE)*'A4 Investment'!C$18/12,0)</f>
        <v>8904.1666666666661</v>
      </c>
      <c r="E43" s="150">
        <f>IF(ISNUMBER(VLOOKUP($C43,'A4 Investment'!$A$24:$G$33,4,FALSE)),VLOOKUP($C43,'A4 Investment'!$A$24:$G$33,4,FALSE)*'A4 Investment'!D$18/12,0)</f>
        <v>0</v>
      </c>
      <c r="F43" s="150">
        <f>IF(ISNUMBER(VLOOKUP($C43,'A4 Investment'!$A$24:$G$33,5,FALSE)),VLOOKUP($C43,'A4 Investment'!$A$24:$G$33,5,FALSE)*'A4 Investment'!E$18/12,0)</f>
        <v>0</v>
      </c>
      <c r="G43" s="150">
        <f>IF(ISNUMBER(VLOOKUP($C43,'A4 Investment'!$A$24:$G$33,6,FALSE)),VLOOKUP($C43,'A4 Investment'!$A$24:$G$33,6,FALSE)*'A4 Investment'!F$18/12,0)</f>
        <v>0</v>
      </c>
      <c r="H43" s="181">
        <f>IF(ISNUMBER(VLOOKUP($C43,'A4 Investment'!$A$24:$G$33,7,FALSE)),VLOOKUP($C43,'A4 Investment'!$A$24:$G$33,7,FALSE)*'A4 Investment'!G$18/12,0)</f>
        <v>0</v>
      </c>
      <c r="I43" s="160">
        <f t="shared" si="3"/>
        <v>8904.1666666666661</v>
      </c>
    </row>
    <row r="44" spans="1:9" x14ac:dyDescent="0.2">
      <c r="A44" s="86">
        <f t="shared" si="5"/>
        <v>640</v>
      </c>
      <c r="B44" s="142">
        <f t="shared" si="4"/>
        <v>22</v>
      </c>
      <c r="C44" s="143">
        <f t="shared" si="2"/>
        <v>1</v>
      </c>
      <c r="D44" s="149">
        <f>IF(ISNUMBER(VLOOKUP($C44,'A4 Investment'!$A$24:$G$33,3,FALSE)),VLOOKUP($C44,'A4 Investment'!$A$24:$G$33,3,FALSE)*'A4 Investment'!C$18/12,0)</f>
        <v>8904.1666666666661</v>
      </c>
      <c r="E44" s="150">
        <f>IF(ISNUMBER(VLOOKUP($C44,'A4 Investment'!$A$24:$G$33,4,FALSE)),VLOOKUP($C44,'A4 Investment'!$A$24:$G$33,4,FALSE)*'A4 Investment'!D$18/12,0)</f>
        <v>0</v>
      </c>
      <c r="F44" s="150">
        <f>IF(ISNUMBER(VLOOKUP($C44,'A4 Investment'!$A$24:$G$33,5,FALSE)),VLOOKUP($C44,'A4 Investment'!$A$24:$G$33,5,FALSE)*'A4 Investment'!E$18/12,0)</f>
        <v>0</v>
      </c>
      <c r="G44" s="150">
        <f>IF(ISNUMBER(VLOOKUP($C44,'A4 Investment'!$A$24:$G$33,6,FALSE)),VLOOKUP($C44,'A4 Investment'!$A$24:$G$33,6,FALSE)*'A4 Investment'!F$18/12,0)</f>
        <v>0</v>
      </c>
      <c r="H44" s="181">
        <f>IF(ISNUMBER(VLOOKUP($C44,'A4 Investment'!$A$24:$G$33,7,FALSE)),VLOOKUP($C44,'A4 Investment'!$A$24:$G$33,7,FALSE)*'A4 Investment'!G$18/12,0)</f>
        <v>0</v>
      </c>
      <c r="I44" s="160">
        <f t="shared" si="3"/>
        <v>8904.1666666666661</v>
      </c>
    </row>
    <row r="45" spans="1:9" x14ac:dyDescent="0.2">
      <c r="A45" s="86">
        <f t="shared" si="5"/>
        <v>671</v>
      </c>
      <c r="B45" s="142">
        <f t="shared" si="4"/>
        <v>23</v>
      </c>
      <c r="C45" s="143">
        <f t="shared" si="2"/>
        <v>1</v>
      </c>
      <c r="D45" s="149">
        <f>IF(ISNUMBER(VLOOKUP($C45,'A4 Investment'!$A$24:$G$33,3,FALSE)),VLOOKUP($C45,'A4 Investment'!$A$24:$G$33,3,FALSE)*'A4 Investment'!C$18/12,0)</f>
        <v>8904.1666666666661</v>
      </c>
      <c r="E45" s="150">
        <f>IF(ISNUMBER(VLOOKUP($C45,'A4 Investment'!$A$24:$G$33,4,FALSE)),VLOOKUP($C45,'A4 Investment'!$A$24:$G$33,4,FALSE)*'A4 Investment'!D$18/12,0)</f>
        <v>0</v>
      </c>
      <c r="F45" s="150">
        <f>IF(ISNUMBER(VLOOKUP($C45,'A4 Investment'!$A$24:$G$33,5,FALSE)),VLOOKUP($C45,'A4 Investment'!$A$24:$G$33,5,FALSE)*'A4 Investment'!E$18/12,0)</f>
        <v>0</v>
      </c>
      <c r="G45" s="150">
        <f>IF(ISNUMBER(VLOOKUP($C45,'A4 Investment'!$A$24:$G$33,6,FALSE)),VLOOKUP($C45,'A4 Investment'!$A$24:$G$33,6,FALSE)*'A4 Investment'!F$18/12,0)</f>
        <v>0</v>
      </c>
      <c r="H45" s="181">
        <f>IF(ISNUMBER(VLOOKUP($C45,'A4 Investment'!$A$24:$G$33,7,FALSE)),VLOOKUP($C45,'A4 Investment'!$A$24:$G$33,7,FALSE)*'A4 Investment'!G$18/12,0)</f>
        <v>0</v>
      </c>
      <c r="I45" s="160">
        <f t="shared" si="3"/>
        <v>8904.1666666666661</v>
      </c>
    </row>
    <row r="46" spans="1:9" x14ac:dyDescent="0.2">
      <c r="A46" s="86">
        <f t="shared" si="5"/>
        <v>701</v>
      </c>
      <c r="B46" s="142">
        <f t="shared" si="4"/>
        <v>24</v>
      </c>
      <c r="C46" s="143">
        <f t="shared" si="2"/>
        <v>1</v>
      </c>
      <c r="D46" s="149">
        <f>IF(ISNUMBER(VLOOKUP($C46,'A4 Investment'!$A$24:$G$33,3,FALSE)),VLOOKUP($C46,'A4 Investment'!$A$24:$G$33,3,FALSE)*'A4 Investment'!C$18/12,0)</f>
        <v>8904.1666666666661</v>
      </c>
      <c r="E46" s="150">
        <f>IF(ISNUMBER(VLOOKUP($C46,'A4 Investment'!$A$24:$G$33,4,FALSE)),VLOOKUP($C46,'A4 Investment'!$A$24:$G$33,4,FALSE)*'A4 Investment'!D$18/12,0)</f>
        <v>0</v>
      </c>
      <c r="F46" s="150">
        <f>IF(ISNUMBER(VLOOKUP($C46,'A4 Investment'!$A$24:$G$33,5,FALSE)),VLOOKUP($C46,'A4 Investment'!$A$24:$G$33,5,FALSE)*'A4 Investment'!E$18/12,0)</f>
        <v>0</v>
      </c>
      <c r="G46" s="150">
        <f>IF(ISNUMBER(VLOOKUP($C46,'A4 Investment'!$A$24:$G$33,6,FALSE)),VLOOKUP($C46,'A4 Investment'!$A$24:$G$33,6,FALSE)*'A4 Investment'!F$18/12,0)</f>
        <v>0</v>
      </c>
      <c r="H46" s="181">
        <f>IF(ISNUMBER(VLOOKUP($C46,'A4 Investment'!$A$24:$G$33,7,FALSE)),VLOOKUP($C46,'A4 Investment'!$A$24:$G$33,7,FALSE)*'A4 Investment'!G$18/12,0)</f>
        <v>0</v>
      </c>
      <c r="I46" s="160">
        <f t="shared" si="3"/>
        <v>8904.1666666666661</v>
      </c>
    </row>
    <row r="47" spans="1:9" x14ac:dyDescent="0.2">
      <c r="A47" s="86">
        <f t="shared" si="5"/>
        <v>732</v>
      </c>
      <c r="B47" s="142">
        <f t="shared" si="4"/>
        <v>25</v>
      </c>
      <c r="C47" s="143">
        <f t="shared" si="2"/>
        <v>1</v>
      </c>
      <c r="D47" s="149">
        <f>IF(ISNUMBER(VLOOKUP($C47,'A4 Investment'!$A$24:$G$33,3,FALSE)),VLOOKUP($C47,'A4 Investment'!$A$24:$G$33,3,FALSE)*'A4 Investment'!C$18/12,0)</f>
        <v>8904.1666666666661</v>
      </c>
      <c r="E47" s="150">
        <f>IF(ISNUMBER(VLOOKUP($C47,'A4 Investment'!$A$24:$G$33,4,FALSE)),VLOOKUP($C47,'A4 Investment'!$A$24:$G$33,4,FALSE)*'A4 Investment'!D$18/12,0)</f>
        <v>0</v>
      </c>
      <c r="F47" s="150">
        <f>IF(ISNUMBER(VLOOKUP($C47,'A4 Investment'!$A$24:$G$33,5,FALSE)),VLOOKUP($C47,'A4 Investment'!$A$24:$G$33,5,FALSE)*'A4 Investment'!E$18/12,0)</f>
        <v>0</v>
      </c>
      <c r="G47" s="150">
        <f>IF(ISNUMBER(VLOOKUP($C47,'A4 Investment'!$A$24:$G$33,6,FALSE)),VLOOKUP($C47,'A4 Investment'!$A$24:$G$33,6,FALSE)*'A4 Investment'!F$18/12,0)</f>
        <v>0</v>
      </c>
      <c r="H47" s="181">
        <f>IF(ISNUMBER(VLOOKUP($C47,'A4 Investment'!$A$24:$G$33,7,FALSE)),VLOOKUP($C47,'A4 Investment'!$A$24:$G$33,7,FALSE)*'A4 Investment'!G$18/12,0)</f>
        <v>0</v>
      </c>
      <c r="I47" s="160">
        <f t="shared" si="3"/>
        <v>8904.1666666666661</v>
      </c>
    </row>
    <row r="48" spans="1:9" x14ac:dyDescent="0.2">
      <c r="A48" s="86">
        <f t="shared" si="5"/>
        <v>763</v>
      </c>
      <c r="B48" s="142">
        <f t="shared" si="4"/>
        <v>26</v>
      </c>
      <c r="C48" s="143">
        <f t="shared" si="2"/>
        <v>1</v>
      </c>
      <c r="D48" s="149">
        <f>IF(ISNUMBER(VLOOKUP($C48,'A4 Investment'!$A$24:$G$33,3,FALSE)),VLOOKUP($C48,'A4 Investment'!$A$24:$G$33,3,FALSE)*'A4 Investment'!C$18/12,0)</f>
        <v>8904.1666666666661</v>
      </c>
      <c r="E48" s="150">
        <f>IF(ISNUMBER(VLOOKUP($C48,'A4 Investment'!$A$24:$G$33,4,FALSE)),VLOOKUP($C48,'A4 Investment'!$A$24:$G$33,4,FALSE)*'A4 Investment'!D$18/12,0)</f>
        <v>0</v>
      </c>
      <c r="F48" s="150">
        <f>IF(ISNUMBER(VLOOKUP($C48,'A4 Investment'!$A$24:$G$33,5,FALSE)),VLOOKUP($C48,'A4 Investment'!$A$24:$G$33,5,FALSE)*'A4 Investment'!E$18/12,0)</f>
        <v>0</v>
      </c>
      <c r="G48" s="150">
        <f>IF(ISNUMBER(VLOOKUP($C48,'A4 Investment'!$A$24:$G$33,6,FALSE)),VLOOKUP($C48,'A4 Investment'!$A$24:$G$33,6,FALSE)*'A4 Investment'!F$18/12,0)</f>
        <v>0</v>
      </c>
      <c r="H48" s="181">
        <f>IF(ISNUMBER(VLOOKUP($C48,'A4 Investment'!$A$24:$G$33,7,FALSE)),VLOOKUP($C48,'A4 Investment'!$A$24:$G$33,7,FALSE)*'A4 Investment'!G$18/12,0)</f>
        <v>0</v>
      </c>
      <c r="I48" s="160">
        <f t="shared" si="3"/>
        <v>8904.1666666666661</v>
      </c>
    </row>
    <row r="49" spans="1:9" x14ac:dyDescent="0.2">
      <c r="A49" s="86">
        <f t="shared" si="5"/>
        <v>791</v>
      </c>
      <c r="B49" s="142">
        <f t="shared" si="4"/>
        <v>27</v>
      </c>
      <c r="C49" s="143">
        <f t="shared" si="2"/>
        <v>1</v>
      </c>
      <c r="D49" s="149">
        <f>IF(ISNUMBER(VLOOKUP($C49,'A4 Investment'!$A$24:$G$33,3,FALSE)),VLOOKUP($C49,'A4 Investment'!$A$24:$G$33,3,FALSE)*'A4 Investment'!C$18/12,0)</f>
        <v>8904.1666666666661</v>
      </c>
      <c r="E49" s="150">
        <f>IF(ISNUMBER(VLOOKUP($C49,'A4 Investment'!$A$24:$G$33,4,FALSE)),VLOOKUP($C49,'A4 Investment'!$A$24:$G$33,4,FALSE)*'A4 Investment'!D$18/12,0)</f>
        <v>0</v>
      </c>
      <c r="F49" s="150">
        <f>IF(ISNUMBER(VLOOKUP($C49,'A4 Investment'!$A$24:$G$33,5,FALSE)),VLOOKUP($C49,'A4 Investment'!$A$24:$G$33,5,FALSE)*'A4 Investment'!E$18/12,0)</f>
        <v>0</v>
      </c>
      <c r="G49" s="150">
        <f>IF(ISNUMBER(VLOOKUP($C49,'A4 Investment'!$A$24:$G$33,6,FALSE)),VLOOKUP($C49,'A4 Investment'!$A$24:$G$33,6,FALSE)*'A4 Investment'!F$18/12,0)</f>
        <v>0</v>
      </c>
      <c r="H49" s="181">
        <f>IF(ISNUMBER(VLOOKUP($C49,'A4 Investment'!$A$24:$G$33,7,FALSE)),VLOOKUP($C49,'A4 Investment'!$A$24:$G$33,7,FALSE)*'A4 Investment'!G$18/12,0)</f>
        <v>0</v>
      </c>
      <c r="I49" s="160">
        <f t="shared" si="3"/>
        <v>8904.1666666666661</v>
      </c>
    </row>
    <row r="50" spans="1:9" x14ac:dyDescent="0.2">
      <c r="A50" s="86">
        <f t="shared" si="5"/>
        <v>822</v>
      </c>
      <c r="B50" s="142">
        <f t="shared" si="4"/>
        <v>28</v>
      </c>
      <c r="C50" s="143">
        <f t="shared" si="2"/>
        <v>1</v>
      </c>
      <c r="D50" s="149">
        <f>IF(ISNUMBER(VLOOKUP($C50,'A4 Investment'!$A$24:$G$33,3,FALSE)),VLOOKUP($C50,'A4 Investment'!$A$24:$G$33,3,FALSE)*'A4 Investment'!C$18/12,0)</f>
        <v>8904.1666666666661</v>
      </c>
      <c r="E50" s="150">
        <f>IF(ISNUMBER(VLOOKUP($C50,'A4 Investment'!$A$24:$G$33,4,FALSE)),VLOOKUP($C50,'A4 Investment'!$A$24:$G$33,4,FALSE)*'A4 Investment'!D$18/12,0)</f>
        <v>0</v>
      </c>
      <c r="F50" s="150">
        <f>IF(ISNUMBER(VLOOKUP($C50,'A4 Investment'!$A$24:$G$33,5,FALSE)),VLOOKUP($C50,'A4 Investment'!$A$24:$G$33,5,FALSE)*'A4 Investment'!E$18/12,0)</f>
        <v>0</v>
      </c>
      <c r="G50" s="150">
        <f>IF(ISNUMBER(VLOOKUP($C50,'A4 Investment'!$A$24:$G$33,6,FALSE)),VLOOKUP($C50,'A4 Investment'!$A$24:$G$33,6,FALSE)*'A4 Investment'!F$18/12,0)</f>
        <v>0</v>
      </c>
      <c r="H50" s="181">
        <f>IF(ISNUMBER(VLOOKUP($C50,'A4 Investment'!$A$24:$G$33,7,FALSE)),VLOOKUP($C50,'A4 Investment'!$A$24:$G$33,7,FALSE)*'A4 Investment'!G$18/12,0)</f>
        <v>0</v>
      </c>
      <c r="I50" s="160">
        <f t="shared" si="3"/>
        <v>8904.1666666666661</v>
      </c>
    </row>
    <row r="51" spans="1:9" x14ac:dyDescent="0.2">
      <c r="A51" s="86">
        <f t="shared" si="5"/>
        <v>852</v>
      </c>
      <c r="B51" s="142">
        <f t="shared" si="4"/>
        <v>29</v>
      </c>
      <c r="C51" s="143">
        <f t="shared" si="2"/>
        <v>1</v>
      </c>
      <c r="D51" s="149">
        <f>IF(ISNUMBER(VLOOKUP($C51,'A4 Investment'!$A$24:$G$33,3,FALSE)),VLOOKUP($C51,'A4 Investment'!$A$24:$G$33,3,FALSE)*'A4 Investment'!C$18/12,0)</f>
        <v>8904.1666666666661</v>
      </c>
      <c r="E51" s="150">
        <f>IF(ISNUMBER(VLOOKUP($C51,'A4 Investment'!$A$24:$G$33,4,FALSE)),VLOOKUP($C51,'A4 Investment'!$A$24:$G$33,4,FALSE)*'A4 Investment'!D$18/12,0)</f>
        <v>0</v>
      </c>
      <c r="F51" s="150">
        <f>IF(ISNUMBER(VLOOKUP($C51,'A4 Investment'!$A$24:$G$33,5,FALSE)),VLOOKUP($C51,'A4 Investment'!$A$24:$G$33,5,FALSE)*'A4 Investment'!E$18/12,0)</f>
        <v>0</v>
      </c>
      <c r="G51" s="150">
        <f>IF(ISNUMBER(VLOOKUP($C51,'A4 Investment'!$A$24:$G$33,6,FALSE)),VLOOKUP($C51,'A4 Investment'!$A$24:$G$33,6,FALSE)*'A4 Investment'!F$18/12,0)</f>
        <v>0</v>
      </c>
      <c r="H51" s="181">
        <f>IF(ISNUMBER(VLOOKUP($C51,'A4 Investment'!$A$24:$G$33,7,FALSE)),VLOOKUP($C51,'A4 Investment'!$A$24:$G$33,7,FALSE)*'A4 Investment'!G$18/12,0)</f>
        <v>0</v>
      </c>
      <c r="I51" s="160">
        <f t="shared" si="3"/>
        <v>8904.1666666666661</v>
      </c>
    </row>
    <row r="52" spans="1:9" x14ac:dyDescent="0.2">
      <c r="A52" s="86">
        <f t="shared" si="5"/>
        <v>883</v>
      </c>
      <c r="B52" s="142">
        <f t="shared" si="4"/>
        <v>30</v>
      </c>
      <c r="C52" s="143">
        <f t="shared" si="2"/>
        <v>1</v>
      </c>
      <c r="D52" s="149">
        <f>IF(ISNUMBER(VLOOKUP($C52,'A4 Investment'!$A$24:$G$33,3,FALSE)),VLOOKUP($C52,'A4 Investment'!$A$24:$G$33,3,FALSE)*'A4 Investment'!C$18/12,0)</f>
        <v>8904.1666666666661</v>
      </c>
      <c r="E52" s="150">
        <f>IF(ISNUMBER(VLOOKUP($C52,'A4 Investment'!$A$24:$G$33,4,FALSE)),VLOOKUP($C52,'A4 Investment'!$A$24:$G$33,4,FALSE)*'A4 Investment'!D$18/12,0)</f>
        <v>0</v>
      </c>
      <c r="F52" s="150">
        <f>IF(ISNUMBER(VLOOKUP($C52,'A4 Investment'!$A$24:$G$33,5,FALSE)),VLOOKUP($C52,'A4 Investment'!$A$24:$G$33,5,FALSE)*'A4 Investment'!E$18/12,0)</f>
        <v>0</v>
      </c>
      <c r="G52" s="150">
        <f>IF(ISNUMBER(VLOOKUP($C52,'A4 Investment'!$A$24:$G$33,6,FALSE)),VLOOKUP($C52,'A4 Investment'!$A$24:$G$33,6,FALSE)*'A4 Investment'!F$18/12,0)</f>
        <v>0</v>
      </c>
      <c r="H52" s="181">
        <f>IF(ISNUMBER(VLOOKUP($C52,'A4 Investment'!$A$24:$G$33,7,FALSE)),VLOOKUP($C52,'A4 Investment'!$A$24:$G$33,7,FALSE)*'A4 Investment'!G$18/12,0)</f>
        <v>0</v>
      </c>
      <c r="I52" s="160">
        <f t="shared" si="3"/>
        <v>8904.1666666666661</v>
      </c>
    </row>
    <row r="53" spans="1:9" x14ac:dyDescent="0.2">
      <c r="A53" s="86">
        <f t="shared" si="5"/>
        <v>913</v>
      </c>
      <c r="B53" s="142">
        <f t="shared" si="4"/>
        <v>31</v>
      </c>
      <c r="C53" s="143">
        <f t="shared" si="2"/>
        <v>1</v>
      </c>
      <c r="D53" s="149">
        <f>IF(ISNUMBER(VLOOKUP($C53,'A4 Investment'!$A$24:$G$33,3,FALSE)),VLOOKUP($C53,'A4 Investment'!$A$24:$G$33,3,FALSE)*'A4 Investment'!C$18/12,0)</f>
        <v>8904.1666666666661</v>
      </c>
      <c r="E53" s="150">
        <f>IF(ISNUMBER(VLOOKUP($C53,'A4 Investment'!$A$24:$G$33,4,FALSE)),VLOOKUP($C53,'A4 Investment'!$A$24:$G$33,4,FALSE)*'A4 Investment'!D$18/12,0)</f>
        <v>0</v>
      </c>
      <c r="F53" s="150">
        <f>IF(ISNUMBER(VLOOKUP($C53,'A4 Investment'!$A$24:$G$33,5,FALSE)),VLOOKUP($C53,'A4 Investment'!$A$24:$G$33,5,FALSE)*'A4 Investment'!E$18/12,0)</f>
        <v>0</v>
      </c>
      <c r="G53" s="150">
        <f>IF(ISNUMBER(VLOOKUP($C53,'A4 Investment'!$A$24:$G$33,6,FALSE)),VLOOKUP($C53,'A4 Investment'!$A$24:$G$33,6,FALSE)*'A4 Investment'!F$18/12,0)</f>
        <v>0</v>
      </c>
      <c r="H53" s="181">
        <f>IF(ISNUMBER(VLOOKUP($C53,'A4 Investment'!$A$24:$G$33,7,FALSE)),VLOOKUP($C53,'A4 Investment'!$A$24:$G$33,7,FALSE)*'A4 Investment'!G$18/12,0)</f>
        <v>0</v>
      </c>
      <c r="I53" s="160">
        <f t="shared" si="3"/>
        <v>8904.1666666666661</v>
      </c>
    </row>
    <row r="54" spans="1:9" x14ac:dyDescent="0.2">
      <c r="A54" s="86">
        <f t="shared" si="5"/>
        <v>944</v>
      </c>
      <c r="B54" s="142">
        <f t="shared" si="4"/>
        <v>32</v>
      </c>
      <c r="C54" s="143">
        <f t="shared" si="2"/>
        <v>1</v>
      </c>
      <c r="D54" s="149">
        <f>IF(ISNUMBER(VLOOKUP($C54,'A4 Investment'!$A$24:$G$33,3,FALSE)),VLOOKUP($C54,'A4 Investment'!$A$24:$G$33,3,FALSE)*'A4 Investment'!C$18/12,0)</f>
        <v>8904.1666666666661</v>
      </c>
      <c r="E54" s="150">
        <f>IF(ISNUMBER(VLOOKUP($C54,'A4 Investment'!$A$24:$G$33,4,FALSE)),VLOOKUP($C54,'A4 Investment'!$A$24:$G$33,4,FALSE)*'A4 Investment'!D$18/12,0)</f>
        <v>0</v>
      </c>
      <c r="F54" s="150">
        <f>IF(ISNUMBER(VLOOKUP($C54,'A4 Investment'!$A$24:$G$33,5,FALSE)),VLOOKUP($C54,'A4 Investment'!$A$24:$G$33,5,FALSE)*'A4 Investment'!E$18/12,0)</f>
        <v>0</v>
      </c>
      <c r="G54" s="150">
        <f>IF(ISNUMBER(VLOOKUP($C54,'A4 Investment'!$A$24:$G$33,6,FALSE)),VLOOKUP($C54,'A4 Investment'!$A$24:$G$33,6,FALSE)*'A4 Investment'!F$18/12,0)</f>
        <v>0</v>
      </c>
      <c r="H54" s="181">
        <f>IF(ISNUMBER(VLOOKUP($C54,'A4 Investment'!$A$24:$G$33,7,FALSE)),VLOOKUP($C54,'A4 Investment'!$A$24:$G$33,7,FALSE)*'A4 Investment'!G$18/12,0)</f>
        <v>0</v>
      </c>
      <c r="I54" s="160">
        <f t="shared" si="3"/>
        <v>8904.1666666666661</v>
      </c>
    </row>
    <row r="55" spans="1:9" x14ac:dyDescent="0.2">
      <c r="A55" s="86">
        <f t="shared" si="5"/>
        <v>975</v>
      </c>
      <c r="B55" s="142">
        <f t="shared" si="4"/>
        <v>33</v>
      </c>
      <c r="C55" s="143">
        <f t="shared" si="2"/>
        <v>1</v>
      </c>
      <c r="D55" s="149">
        <f>IF(ISNUMBER(VLOOKUP($C55,'A4 Investment'!$A$24:$G$33,3,FALSE)),VLOOKUP($C55,'A4 Investment'!$A$24:$G$33,3,FALSE)*'A4 Investment'!C$18/12,0)</f>
        <v>8904.1666666666661</v>
      </c>
      <c r="E55" s="150">
        <f>IF(ISNUMBER(VLOOKUP($C55,'A4 Investment'!$A$24:$G$33,4,FALSE)),VLOOKUP($C55,'A4 Investment'!$A$24:$G$33,4,FALSE)*'A4 Investment'!D$18/12,0)</f>
        <v>0</v>
      </c>
      <c r="F55" s="150">
        <f>IF(ISNUMBER(VLOOKUP($C55,'A4 Investment'!$A$24:$G$33,5,FALSE)),VLOOKUP($C55,'A4 Investment'!$A$24:$G$33,5,FALSE)*'A4 Investment'!E$18/12,0)</f>
        <v>0</v>
      </c>
      <c r="G55" s="150">
        <f>IF(ISNUMBER(VLOOKUP($C55,'A4 Investment'!$A$24:$G$33,6,FALSE)),VLOOKUP($C55,'A4 Investment'!$A$24:$G$33,6,FALSE)*'A4 Investment'!F$18/12,0)</f>
        <v>0</v>
      </c>
      <c r="H55" s="181">
        <f>IF(ISNUMBER(VLOOKUP($C55,'A4 Investment'!$A$24:$G$33,7,FALSE)),VLOOKUP($C55,'A4 Investment'!$A$24:$G$33,7,FALSE)*'A4 Investment'!G$18/12,0)</f>
        <v>0</v>
      </c>
      <c r="I55" s="160">
        <f t="shared" ref="I55:I82" si="6">SUM(D55:H55)</f>
        <v>8904.1666666666661</v>
      </c>
    </row>
    <row r="56" spans="1:9" x14ac:dyDescent="0.2">
      <c r="A56" s="86">
        <f t="shared" si="5"/>
        <v>1005</v>
      </c>
      <c r="B56" s="142">
        <f t="shared" ref="B56:B82" si="7">B55+1</f>
        <v>34</v>
      </c>
      <c r="C56" s="143">
        <f t="shared" si="2"/>
        <v>1</v>
      </c>
      <c r="D56" s="149">
        <f>IF(ISNUMBER(VLOOKUP($C56,'A4 Investment'!$A$24:$G$33,3,FALSE)),VLOOKUP($C56,'A4 Investment'!$A$24:$G$33,3,FALSE)*'A4 Investment'!C$18/12,0)</f>
        <v>8904.1666666666661</v>
      </c>
      <c r="E56" s="150">
        <f>IF(ISNUMBER(VLOOKUP($C56,'A4 Investment'!$A$24:$G$33,4,FALSE)),VLOOKUP($C56,'A4 Investment'!$A$24:$G$33,4,FALSE)*'A4 Investment'!D$18/12,0)</f>
        <v>0</v>
      </c>
      <c r="F56" s="150">
        <f>IF(ISNUMBER(VLOOKUP($C56,'A4 Investment'!$A$24:$G$33,5,FALSE)),VLOOKUP($C56,'A4 Investment'!$A$24:$G$33,5,FALSE)*'A4 Investment'!E$18/12,0)</f>
        <v>0</v>
      </c>
      <c r="G56" s="150">
        <f>IF(ISNUMBER(VLOOKUP($C56,'A4 Investment'!$A$24:$G$33,6,FALSE)),VLOOKUP($C56,'A4 Investment'!$A$24:$G$33,6,FALSE)*'A4 Investment'!F$18/12,0)</f>
        <v>0</v>
      </c>
      <c r="H56" s="181">
        <f>IF(ISNUMBER(VLOOKUP($C56,'A4 Investment'!$A$24:$G$33,7,FALSE)),VLOOKUP($C56,'A4 Investment'!$A$24:$G$33,7,FALSE)*'A4 Investment'!G$18/12,0)</f>
        <v>0</v>
      </c>
      <c r="I56" s="160">
        <f t="shared" si="6"/>
        <v>8904.1666666666661</v>
      </c>
    </row>
    <row r="57" spans="1:9" x14ac:dyDescent="0.2">
      <c r="A57" s="86">
        <f t="shared" si="5"/>
        <v>1036</v>
      </c>
      <c r="B57" s="142">
        <f t="shared" si="7"/>
        <v>35</v>
      </c>
      <c r="C57" s="143">
        <f t="shared" si="2"/>
        <v>1</v>
      </c>
      <c r="D57" s="149">
        <f>IF(ISNUMBER(VLOOKUP($C57,'A4 Investment'!$A$24:$G$33,3,FALSE)),VLOOKUP($C57,'A4 Investment'!$A$24:$G$33,3,FALSE)*'A4 Investment'!C$18/12,0)</f>
        <v>8904.1666666666661</v>
      </c>
      <c r="E57" s="150">
        <f>IF(ISNUMBER(VLOOKUP($C57,'A4 Investment'!$A$24:$G$33,4,FALSE)),VLOOKUP($C57,'A4 Investment'!$A$24:$G$33,4,FALSE)*'A4 Investment'!D$18/12,0)</f>
        <v>0</v>
      </c>
      <c r="F57" s="150">
        <f>IF(ISNUMBER(VLOOKUP($C57,'A4 Investment'!$A$24:$G$33,5,FALSE)),VLOOKUP($C57,'A4 Investment'!$A$24:$G$33,5,FALSE)*'A4 Investment'!E$18/12,0)</f>
        <v>0</v>
      </c>
      <c r="G57" s="150">
        <f>IF(ISNUMBER(VLOOKUP($C57,'A4 Investment'!$A$24:$G$33,6,FALSE)),VLOOKUP($C57,'A4 Investment'!$A$24:$G$33,6,FALSE)*'A4 Investment'!F$18/12,0)</f>
        <v>0</v>
      </c>
      <c r="H57" s="181">
        <f>IF(ISNUMBER(VLOOKUP($C57,'A4 Investment'!$A$24:$G$33,7,FALSE)),VLOOKUP($C57,'A4 Investment'!$A$24:$G$33,7,FALSE)*'A4 Investment'!G$18/12,0)</f>
        <v>0</v>
      </c>
      <c r="I57" s="160">
        <f t="shared" si="6"/>
        <v>8904.1666666666661</v>
      </c>
    </row>
    <row r="58" spans="1:9" x14ac:dyDescent="0.2">
      <c r="A58" s="86">
        <f t="shared" si="5"/>
        <v>1066</v>
      </c>
      <c r="B58" s="142">
        <f t="shared" si="7"/>
        <v>36</v>
      </c>
      <c r="C58" s="143">
        <f t="shared" si="2"/>
        <v>1</v>
      </c>
      <c r="D58" s="149">
        <f>IF(ISNUMBER(VLOOKUP($C58,'A4 Investment'!$A$24:$G$33,3,FALSE)),VLOOKUP($C58,'A4 Investment'!$A$24:$G$33,3,FALSE)*'A4 Investment'!C$18/12,0)</f>
        <v>8904.1666666666661</v>
      </c>
      <c r="E58" s="150">
        <f>IF(ISNUMBER(VLOOKUP($C58,'A4 Investment'!$A$24:$G$33,4,FALSE)),VLOOKUP($C58,'A4 Investment'!$A$24:$G$33,4,FALSE)*'A4 Investment'!D$18/12,0)</f>
        <v>0</v>
      </c>
      <c r="F58" s="150">
        <f>IF(ISNUMBER(VLOOKUP($C58,'A4 Investment'!$A$24:$G$33,5,FALSE)),VLOOKUP($C58,'A4 Investment'!$A$24:$G$33,5,FALSE)*'A4 Investment'!E$18/12,0)</f>
        <v>0</v>
      </c>
      <c r="G58" s="150">
        <f>IF(ISNUMBER(VLOOKUP($C58,'A4 Investment'!$A$24:$G$33,6,FALSE)),VLOOKUP($C58,'A4 Investment'!$A$24:$G$33,6,FALSE)*'A4 Investment'!F$18/12,0)</f>
        <v>0</v>
      </c>
      <c r="H58" s="181">
        <f>IF(ISNUMBER(VLOOKUP($C58,'A4 Investment'!$A$24:$G$33,7,FALSE)),VLOOKUP($C58,'A4 Investment'!$A$24:$G$33,7,FALSE)*'A4 Investment'!G$18/12,0)</f>
        <v>0</v>
      </c>
      <c r="I58" s="160">
        <f t="shared" si="6"/>
        <v>8904.1666666666661</v>
      </c>
    </row>
    <row r="59" spans="1:9" x14ac:dyDescent="0.2">
      <c r="A59" s="86">
        <f t="shared" si="5"/>
        <v>1097</v>
      </c>
      <c r="B59" s="142">
        <f t="shared" si="7"/>
        <v>37</v>
      </c>
      <c r="C59" s="143">
        <f t="shared" si="2"/>
        <v>1</v>
      </c>
      <c r="D59" s="149">
        <f>IF(ISNUMBER(VLOOKUP($C59,'A4 Investment'!$A$24:$G$33,3,FALSE)),VLOOKUP($C59,'A4 Investment'!$A$24:$G$33,3,FALSE)*'A4 Investment'!C$18/12,0)</f>
        <v>8904.1666666666661</v>
      </c>
      <c r="E59" s="150">
        <f>IF(ISNUMBER(VLOOKUP($C59,'A4 Investment'!$A$24:$G$33,4,FALSE)),VLOOKUP($C59,'A4 Investment'!$A$24:$G$33,4,FALSE)*'A4 Investment'!D$18/12,0)</f>
        <v>0</v>
      </c>
      <c r="F59" s="150">
        <f>IF(ISNUMBER(VLOOKUP($C59,'A4 Investment'!$A$24:$G$33,5,FALSE)),VLOOKUP($C59,'A4 Investment'!$A$24:$G$33,5,FALSE)*'A4 Investment'!E$18/12,0)</f>
        <v>0</v>
      </c>
      <c r="G59" s="150">
        <f>IF(ISNUMBER(VLOOKUP($C59,'A4 Investment'!$A$24:$G$33,6,FALSE)),VLOOKUP($C59,'A4 Investment'!$A$24:$G$33,6,FALSE)*'A4 Investment'!F$18/12,0)</f>
        <v>0</v>
      </c>
      <c r="H59" s="181">
        <f>IF(ISNUMBER(VLOOKUP($C59,'A4 Investment'!$A$24:$G$33,7,FALSE)),VLOOKUP($C59,'A4 Investment'!$A$24:$G$33,7,FALSE)*'A4 Investment'!G$18/12,0)</f>
        <v>0</v>
      </c>
      <c r="I59" s="160">
        <f t="shared" si="6"/>
        <v>8904.1666666666661</v>
      </c>
    </row>
    <row r="60" spans="1:9" x14ac:dyDescent="0.2">
      <c r="A60" s="86">
        <f t="shared" si="5"/>
        <v>1128</v>
      </c>
      <c r="B60" s="142">
        <f t="shared" si="7"/>
        <v>38</v>
      </c>
      <c r="C60" s="143">
        <f t="shared" si="2"/>
        <v>1</v>
      </c>
      <c r="D60" s="149">
        <f>IF(ISNUMBER(VLOOKUP($C60,'A4 Investment'!$A$24:$G$33,3,FALSE)),VLOOKUP($C60,'A4 Investment'!$A$24:$G$33,3,FALSE)*'A4 Investment'!C$18/12,0)</f>
        <v>8904.1666666666661</v>
      </c>
      <c r="E60" s="150">
        <f>IF(ISNUMBER(VLOOKUP($C60,'A4 Investment'!$A$24:$G$33,4,FALSE)),VLOOKUP($C60,'A4 Investment'!$A$24:$G$33,4,FALSE)*'A4 Investment'!D$18/12,0)</f>
        <v>0</v>
      </c>
      <c r="F60" s="150">
        <f>IF(ISNUMBER(VLOOKUP($C60,'A4 Investment'!$A$24:$G$33,5,FALSE)),VLOOKUP($C60,'A4 Investment'!$A$24:$G$33,5,FALSE)*'A4 Investment'!E$18/12,0)</f>
        <v>0</v>
      </c>
      <c r="G60" s="150">
        <f>IF(ISNUMBER(VLOOKUP($C60,'A4 Investment'!$A$24:$G$33,6,FALSE)),VLOOKUP($C60,'A4 Investment'!$A$24:$G$33,6,FALSE)*'A4 Investment'!F$18/12,0)</f>
        <v>0</v>
      </c>
      <c r="H60" s="181">
        <f>IF(ISNUMBER(VLOOKUP($C60,'A4 Investment'!$A$24:$G$33,7,FALSE)),VLOOKUP($C60,'A4 Investment'!$A$24:$G$33,7,FALSE)*'A4 Investment'!G$18/12,0)</f>
        <v>0</v>
      </c>
      <c r="I60" s="160">
        <f t="shared" si="6"/>
        <v>8904.1666666666661</v>
      </c>
    </row>
    <row r="61" spans="1:9" x14ac:dyDescent="0.2">
      <c r="A61" s="86">
        <f t="shared" si="5"/>
        <v>1156</v>
      </c>
      <c r="B61" s="142">
        <f t="shared" si="7"/>
        <v>39</v>
      </c>
      <c r="C61" s="143">
        <f t="shared" si="2"/>
        <v>1</v>
      </c>
      <c r="D61" s="149">
        <f>IF(ISNUMBER(VLOOKUP($C61,'A4 Investment'!$A$24:$G$33,3,FALSE)),VLOOKUP($C61,'A4 Investment'!$A$24:$G$33,3,FALSE)*'A4 Investment'!C$18/12,0)</f>
        <v>8904.1666666666661</v>
      </c>
      <c r="E61" s="150">
        <f>IF(ISNUMBER(VLOOKUP($C61,'A4 Investment'!$A$24:$G$33,4,FALSE)),VLOOKUP($C61,'A4 Investment'!$A$24:$G$33,4,FALSE)*'A4 Investment'!D$18/12,0)</f>
        <v>0</v>
      </c>
      <c r="F61" s="150">
        <f>IF(ISNUMBER(VLOOKUP($C61,'A4 Investment'!$A$24:$G$33,5,FALSE)),VLOOKUP($C61,'A4 Investment'!$A$24:$G$33,5,FALSE)*'A4 Investment'!E$18/12,0)</f>
        <v>0</v>
      </c>
      <c r="G61" s="150">
        <f>IF(ISNUMBER(VLOOKUP($C61,'A4 Investment'!$A$24:$G$33,6,FALSE)),VLOOKUP($C61,'A4 Investment'!$A$24:$G$33,6,FALSE)*'A4 Investment'!F$18/12,0)</f>
        <v>0</v>
      </c>
      <c r="H61" s="181">
        <f>IF(ISNUMBER(VLOOKUP($C61,'A4 Investment'!$A$24:$G$33,7,FALSE)),VLOOKUP($C61,'A4 Investment'!$A$24:$G$33,7,FALSE)*'A4 Investment'!G$18/12,0)</f>
        <v>0</v>
      </c>
      <c r="I61" s="160">
        <f t="shared" si="6"/>
        <v>8904.1666666666661</v>
      </c>
    </row>
    <row r="62" spans="1:9" x14ac:dyDescent="0.2">
      <c r="A62" s="86">
        <f t="shared" si="5"/>
        <v>1187</v>
      </c>
      <c r="B62" s="142">
        <f t="shared" si="7"/>
        <v>40</v>
      </c>
      <c r="C62" s="143">
        <f t="shared" si="2"/>
        <v>1</v>
      </c>
      <c r="D62" s="149">
        <f>IF(ISNUMBER(VLOOKUP($C62,'A4 Investment'!$A$24:$G$33,3,FALSE)),VLOOKUP($C62,'A4 Investment'!$A$24:$G$33,3,FALSE)*'A4 Investment'!C$18/12,0)</f>
        <v>8904.1666666666661</v>
      </c>
      <c r="E62" s="150">
        <f>IF(ISNUMBER(VLOOKUP($C62,'A4 Investment'!$A$24:$G$33,4,FALSE)),VLOOKUP($C62,'A4 Investment'!$A$24:$G$33,4,FALSE)*'A4 Investment'!D$18/12,0)</f>
        <v>0</v>
      </c>
      <c r="F62" s="150">
        <f>IF(ISNUMBER(VLOOKUP($C62,'A4 Investment'!$A$24:$G$33,5,FALSE)),VLOOKUP($C62,'A4 Investment'!$A$24:$G$33,5,FALSE)*'A4 Investment'!E$18/12,0)</f>
        <v>0</v>
      </c>
      <c r="G62" s="150">
        <f>IF(ISNUMBER(VLOOKUP($C62,'A4 Investment'!$A$24:$G$33,6,FALSE)),VLOOKUP($C62,'A4 Investment'!$A$24:$G$33,6,FALSE)*'A4 Investment'!F$18/12,0)</f>
        <v>0</v>
      </c>
      <c r="H62" s="181">
        <f>IF(ISNUMBER(VLOOKUP($C62,'A4 Investment'!$A$24:$G$33,7,FALSE)),VLOOKUP($C62,'A4 Investment'!$A$24:$G$33,7,FALSE)*'A4 Investment'!G$18/12,0)</f>
        <v>0</v>
      </c>
      <c r="I62" s="160">
        <f t="shared" si="6"/>
        <v>8904.1666666666661</v>
      </c>
    </row>
    <row r="63" spans="1:9" x14ac:dyDescent="0.2">
      <c r="A63" s="86">
        <f t="shared" si="5"/>
        <v>1217</v>
      </c>
      <c r="B63" s="142">
        <f t="shared" si="7"/>
        <v>41</v>
      </c>
      <c r="C63" s="143">
        <f t="shared" si="2"/>
        <v>1</v>
      </c>
      <c r="D63" s="149">
        <f>IF(ISNUMBER(VLOOKUP($C63,'A4 Investment'!$A$24:$G$33,3,FALSE)),VLOOKUP($C63,'A4 Investment'!$A$24:$G$33,3,FALSE)*'A4 Investment'!C$18/12,0)</f>
        <v>8904.1666666666661</v>
      </c>
      <c r="E63" s="150">
        <f>IF(ISNUMBER(VLOOKUP($C63,'A4 Investment'!$A$24:$G$33,4,FALSE)),VLOOKUP($C63,'A4 Investment'!$A$24:$G$33,4,FALSE)*'A4 Investment'!D$18/12,0)</f>
        <v>0</v>
      </c>
      <c r="F63" s="150">
        <f>IF(ISNUMBER(VLOOKUP($C63,'A4 Investment'!$A$24:$G$33,5,FALSE)),VLOOKUP($C63,'A4 Investment'!$A$24:$G$33,5,FALSE)*'A4 Investment'!E$18/12,0)</f>
        <v>0</v>
      </c>
      <c r="G63" s="150">
        <f>IF(ISNUMBER(VLOOKUP($C63,'A4 Investment'!$A$24:$G$33,6,FALSE)),VLOOKUP($C63,'A4 Investment'!$A$24:$G$33,6,FALSE)*'A4 Investment'!F$18/12,0)</f>
        <v>0</v>
      </c>
      <c r="H63" s="181">
        <f>IF(ISNUMBER(VLOOKUP($C63,'A4 Investment'!$A$24:$G$33,7,FALSE)),VLOOKUP($C63,'A4 Investment'!$A$24:$G$33,7,FALSE)*'A4 Investment'!G$18/12,0)</f>
        <v>0</v>
      </c>
      <c r="I63" s="160">
        <f t="shared" si="6"/>
        <v>8904.1666666666661</v>
      </c>
    </row>
    <row r="64" spans="1:9" x14ac:dyDescent="0.2">
      <c r="A64" s="86">
        <f t="shared" si="5"/>
        <v>1248</v>
      </c>
      <c r="B64" s="142">
        <f t="shared" si="7"/>
        <v>42</v>
      </c>
      <c r="C64" s="143">
        <f t="shared" si="2"/>
        <v>1</v>
      </c>
      <c r="D64" s="149">
        <f>IF(ISNUMBER(VLOOKUP($C64,'A4 Investment'!$A$24:$G$33,3,FALSE)),VLOOKUP($C64,'A4 Investment'!$A$24:$G$33,3,FALSE)*'A4 Investment'!C$18/12,0)</f>
        <v>8904.1666666666661</v>
      </c>
      <c r="E64" s="150">
        <f>IF(ISNUMBER(VLOOKUP($C64,'A4 Investment'!$A$24:$G$33,4,FALSE)),VLOOKUP($C64,'A4 Investment'!$A$24:$G$33,4,FALSE)*'A4 Investment'!D$18/12,0)</f>
        <v>0</v>
      </c>
      <c r="F64" s="150">
        <f>IF(ISNUMBER(VLOOKUP($C64,'A4 Investment'!$A$24:$G$33,5,FALSE)),VLOOKUP($C64,'A4 Investment'!$A$24:$G$33,5,FALSE)*'A4 Investment'!E$18/12,0)</f>
        <v>0</v>
      </c>
      <c r="G64" s="150">
        <f>IF(ISNUMBER(VLOOKUP($C64,'A4 Investment'!$A$24:$G$33,6,FALSE)),VLOOKUP($C64,'A4 Investment'!$A$24:$G$33,6,FALSE)*'A4 Investment'!F$18/12,0)</f>
        <v>0</v>
      </c>
      <c r="H64" s="181">
        <f>IF(ISNUMBER(VLOOKUP($C64,'A4 Investment'!$A$24:$G$33,7,FALSE)),VLOOKUP($C64,'A4 Investment'!$A$24:$G$33,7,FALSE)*'A4 Investment'!G$18/12,0)</f>
        <v>0</v>
      </c>
      <c r="I64" s="160">
        <f t="shared" si="6"/>
        <v>8904.1666666666661</v>
      </c>
    </row>
    <row r="65" spans="1:9" x14ac:dyDescent="0.2">
      <c r="A65" s="86">
        <f t="shared" si="5"/>
        <v>1278</v>
      </c>
      <c r="B65" s="142">
        <f t="shared" si="7"/>
        <v>43</v>
      </c>
      <c r="C65" s="143">
        <f t="shared" si="2"/>
        <v>1</v>
      </c>
      <c r="D65" s="149">
        <f>IF(ISNUMBER(VLOOKUP($C65,'A4 Investment'!$A$24:$G$33,3,FALSE)),VLOOKUP($C65,'A4 Investment'!$A$24:$G$33,3,FALSE)*'A4 Investment'!C$18/12,0)</f>
        <v>8904.1666666666661</v>
      </c>
      <c r="E65" s="150">
        <f>IF(ISNUMBER(VLOOKUP($C65,'A4 Investment'!$A$24:$G$33,4,FALSE)),VLOOKUP($C65,'A4 Investment'!$A$24:$G$33,4,FALSE)*'A4 Investment'!D$18/12,0)</f>
        <v>0</v>
      </c>
      <c r="F65" s="150">
        <f>IF(ISNUMBER(VLOOKUP($C65,'A4 Investment'!$A$24:$G$33,5,FALSE)),VLOOKUP($C65,'A4 Investment'!$A$24:$G$33,5,FALSE)*'A4 Investment'!E$18/12,0)</f>
        <v>0</v>
      </c>
      <c r="G65" s="150">
        <f>IF(ISNUMBER(VLOOKUP($C65,'A4 Investment'!$A$24:$G$33,6,FALSE)),VLOOKUP($C65,'A4 Investment'!$A$24:$G$33,6,FALSE)*'A4 Investment'!F$18/12,0)</f>
        <v>0</v>
      </c>
      <c r="H65" s="181">
        <f>IF(ISNUMBER(VLOOKUP($C65,'A4 Investment'!$A$24:$G$33,7,FALSE)),VLOOKUP($C65,'A4 Investment'!$A$24:$G$33,7,FALSE)*'A4 Investment'!G$18/12,0)</f>
        <v>0</v>
      </c>
      <c r="I65" s="160">
        <f t="shared" si="6"/>
        <v>8904.1666666666661</v>
      </c>
    </row>
    <row r="66" spans="1:9" x14ac:dyDescent="0.2">
      <c r="A66" s="86">
        <f t="shared" si="5"/>
        <v>1309</v>
      </c>
      <c r="B66" s="142">
        <f t="shared" si="7"/>
        <v>44</v>
      </c>
      <c r="C66" s="143">
        <f t="shared" si="2"/>
        <v>1</v>
      </c>
      <c r="D66" s="149">
        <f>IF(ISNUMBER(VLOOKUP($C66,'A4 Investment'!$A$24:$G$33,3,FALSE)),VLOOKUP($C66,'A4 Investment'!$A$24:$G$33,3,FALSE)*'A4 Investment'!C$18/12,0)</f>
        <v>8904.1666666666661</v>
      </c>
      <c r="E66" s="150">
        <f>IF(ISNUMBER(VLOOKUP($C66,'A4 Investment'!$A$24:$G$33,4,FALSE)),VLOOKUP($C66,'A4 Investment'!$A$24:$G$33,4,FALSE)*'A4 Investment'!D$18/12,0)</f>
        <v>0</v>
      </c>
      <c r="F66" s="150">
        <f>IF(ISNUMBER(VLOOKUP($C66,'A4 Investment'!$A$24:$G$33,5,FALSE)),VLOOKUP($C66,'A4 Investment'!$A$24:$G$33,5,FALSE)*'A4 Investment'!E$18/12,0)</f>
        <v>0</v>
      </c>
      <c r="G66" s="150">
        <f>IF(ISNUMBER(VLOOKUP($C66,'A4 Investment'!$A$24:$G$33,6,FALSE)),VLOOKUP($C66,'A4 Investment'!$A$24:$G$33,6,FALSE)*'A4 Investment'!F$18/12,0)</f>
        <v>0</v>
      </c>
      <c r="H66" s="181">
        <f>IF(ISNUMBER(VLOOKUP($C66,'A4 Investment'!$A$24:$G$33,7,FALSE)),VLOOKUP($C66,'A4 Investment'!$A$24:$G$33,7,FALSE)*'A4 Investment'!G$18/12,0)</f>
        <v>0</v>
      </c>
      <c r="I66" s="160">
        <f t="shared" si="6"/>
        <v>8904.1666666666661</v>
      </c>
    </row>
    <row r="67" spans="1:9" x14ac:dyDescent="0.2">
      <c r="A67" s="86">
        <f t="shared" si="5"/>
        <v>1340</v>
      </c>
      <c r="B67" s="142">
        <f t="shared" si="7"/>
        <v>45</v>
      </c>
      <c r="C67" s="143">
        <f t="shared" si="2"/>
        <v>1</v>
      </c>
      <c r="D67" s="149">
        <f>IF(ISNUMBER(VLOOKUP($C67,'A4 Investment'!$A$24:$G$33,3,FALSE)),VLOOKUP($C67,'A4 Investment'!$A$24:$G$33,3,FALSE)*'A4 Investment'!C$18/12,0)</f>
        <v>8904.1666666666661</v>
      </c>
      <c r="E67" s="150">
        <f>IF(ISNUMBER(VLOOKUP($C67,'A4 Investment'!$A$24:$G$33,4,FALSE)),VLOOKUP($C67,'A4 Investment'!$A$24:$G$33,4,FALSE)*'A4 Investment'!D$18/12,0)</f>
        <v>0</v>
      </c>
      <c r="F67" s="150">
        <f>IF(ISNUMBER(VLOOKUP($C67,'A4 Investment'!$A$24:$G$33,5,FALSE)),VLOOKUP($C67,'A4 Investment'!$A$24:$G$33,5,FALSE)*'A4 Investment'!E$18/12,0)</f>
        <v>0</v>
      </c>
      <c r="G67" s="150">
        <f>IF(ISNUMBER(VLOOKUP($C67,'A4 Investment'!$A$24:$G$33,6,FALSE)),VLOOKUP($C67,'A4 Investment'!$A$24:$G$33,6,FALSE)*'A4 Investment'!F$18/12,0)</f>
        <v>0</v>
      </c>
      <c r="H67" s="181">
        <f>IF(ISNUMBER(VLOOKUP($C67,'A4 Investment'!$A$24:$G$33,7,FALSE)),VLOOKUP($C67,'A4 Investment'!$A$24:$G$33,7,FALSE)*'A4 Investment'!G$18/12,0)</f>
        <v>0</v>
      </c>
      <c r="I67" s="160">
        <f t="shared" si="6"/>
        <v>8904.1666666666661</v>
      </c>
    </row>
    <row r="68" spans="1:9" x14ac:dyDescent="0.2">
      <c r="A68" s="86">
        <f t="shared" si="5"/>
        <v>1370</v>
      </c>
      <c r="B68" s="142">
        <f t="shared" si="7"/>
        <v>46</v>
      </c>
      <c r="C68" s="143">
        <f t="shared" si="2"/>
        <v>1</v>
      </c>
      <c r="D68" s="149">
        <f>IF(ISNUMBER(VLOOKUP($C68,'A4 Investment'!$A$24:$G$33,3,FALSE)),VLOOKUP($C68,'A4 Investment'!$A$24:$G$33,3,FALSE)*'A4 Investment'!C$18/12,0)</f>
        <v>8904.1666666666661</v>
      </c>
      <c r="E68" s="150">
        <f>IF(ISNUMBER(VLOOKUP($C68,'A4 Investment'!$A$24:$G$33,4,FALSE)),VLOOKUP($C68,'A4 Investment'!$A$24:$G$33,4,FALSE)*'A4 Investment'!D$18/12,0)</f>
        <v>0</v>
      </c>
      <c r="F68" s="150">
        <f>IF(ISNUMBER(VLOOKUP($C68,'A4 Investment'!$A$24:$G$33,5,FALSE)),VLOOKUP($C68,'A4 Investment'!$A$24:$G$33,5,FALSE)*'A4 Investment'!E$18/12,0)</f>
        <v>0</v>
      </c>
      <c r="G68" s="150">
        <f>IF(ISNUMBER(VLOOKUP($C68,'A4 Investment'!$A$24:$G$33,6,FALSE)),VLOOKUP($C68,'A4 Investment'!$A$24:$G$33,6,FALSE)*'A4 Investment'!F$18/12,0)</f>
        <v>0</v>
      </c>
      <c r="H68" s="181">
        <f>IF(ISNUMBER(VLOOKUP($C68,'A4 Investment'!$A$24:$G$33,7,FALSE)),VLOOKUP($C68,'A4 Investment'!$A$24:$G$33,7,FALSE)*'A4 Investment'!G$18/12,0)</f>
        <v>0</v>
      </c>
      <c r="I68" s="160">
        <f t="shared" si="6"/>
        <v>8904.1666666666661</v>
      </c>
    </row>
    <row r="69" spans="1:9" x14ac:dyDescent="0.2">
      <c r="A69" s="86">
        <f t="shared" si="5"/>
        <v>1401</v>
      </c>
      <c r="B69" s="142">
        <f t="shared" si="7"/>
        <v>47</v>
      </c>
      <c r="C69" s="143">
        <f t="shared" si="2"/>
        <v>1</v>
      </c>
      <c r="D69" s="149">
        <f>IF(ISNUMBER(VLOOKUP($C69,'A4 Investment'!$A$24:$G$33,3,FALSE)),VLOOKUP($C69,'A4 Investment'!$A$24:$G$33,3,FALSE)*'A4 Investment'!C$18/12,0)</f>
        <v>8904.1666666666661</v>
      </c>
      <c r="E69" s="150">
        <f>IF(ISNUMBER(VLOOKUP($C69,'A4 Investment'!$A$24:$G$33,4,FALSE)),VLOOKUP($C69,'A4 Investment'!$A$24:$G$33,4,FALSE)*'A4 Investment'!D$18/12,0)</f>
        <v>0</v>
      </c>
      <c r="F69" s="150">
        <f>IF(ISNUMBER(VLOOKUP($C69,'A4 Investment'!$A$24:$G$33,5,FALSE)),VLOOKUP($C69,'A4 Investment'!$A$24:$G$33,5,FALSE)*'A4 Investment'!E$18/12,0)</f>
        <v>0</v>
      </c>
      <c r="G69" s="150">
        <f>IF(ISNUMBER(VLOOKUP($C69,'A4 Investment'!$A$24:$G$33,6,FALSE)),VLOOKUP($C69,'A4 Investment'!$A$24:$G$33,6,FALSE)*'A4 Investment'!F$18/12,0)</f>
        <v>0</v>
      </c>
      <c r="H69" s="181">
        <f>IF(ISNUMBER(VLOOKUP($C69,'A4 Investment'!$A$24:$G$33,7,FALSE)),VLOOKUP($C69,'A4 Investment'!$A$24:$G$33,7,FALSE)*'A4 Investment'!G$18/12,0)</f>
        <v>0</v>
      </c>
      <c r="I69" s="160">
        <f t="shared" si="6"/>
        <v>8904.1666666666661</v>
      </c>
    </row>
    <row r="70" spans="1:9" x14ac:dyDescent="0.2">
      <c r="A70" s="86">
        <f t="shared" si="5"/>
        <v>1431</v>
      </c>
      <c r="B70" s="142">
        <f t="shared" si="7"/>
        <v>48</v>
      </c>
      <c r="C70" s="143">
        <f t="shared" si="2"/>
        <v>1</v>
      </c>
      <c r="D70" s="149">
        <f>IF(ISNUMBER(VLOOKUP($C70,'A4 Investment'!$A$24:$G$33,3,FALSE)),VLOOKUP($C70,'A4 Investment'!$A$24:$G$33,3,FALSE)*'A4 Investment'!C$18/12,0)</f>
        <v>8904.1666666666661</v>
      </c>
      <c r="E70" s="150">
        <f>IF(ISNUMBER(VLOOKUP($C70,'A4 Investment'!$A$24:$G$33,4,FALSE)),VLOOKUP($C70,'A4 Investment'!$A$24:$G$33,4,FALSE)*'A4 Investment'!D$18/12,0)</f>
        <v>0</v>
      </c>
      <c r="F70" s="150">
        <f>IF(ISNUMBER(VLOOKUP($C70,'A4 Investment'!$A$24:$G$33,5,FALSE)),VLOOKUP($C70,'A4 Investment'!$A$24:$G$33,5,FALSE)*'A4 Investment'!E$18/12,0)</f>
        <v>0</v>
      </c>
      <c r="G70" s="150">
        <f>IF(ISNUMBER(VLOOKUP($C70,'A4 Investment'!$A$24:$G$33,6,FALSE)),VLOOKUP($C70,'A4 Investment'!$A$24:$G$33,6,FALSE)*'A4 Investment'!F$18/12,0)</f>
        <v>0</v>
      </c>
      <c r="H70" s="181">
        <f>IF(ISNUMBER(VLOOKUP($C70,'A4 Investment'!$A$24:$G$33,7,FALSE)),VLOOKUP($C70,'A4 Investment'!$A$24:$G$33,7,FALSE)*'A4 Investment'!G$18/12,0)</f>
        <v>0</v>
      </c>
      <c r="I70" s="160">
        <f t="shared" si="6"/>
        <v>8904.1666666666661</v>
      </c>
    </row>
    <row r="71" spans="1:9" x14ac:dyDescent="0.2">
      <c r="A71" s="86">
        <f t="shared" si="5"/>
        <v>1462</v>
      </c>
      <c r="B71" s="142">
        <f t="shared" si="7"/>
        <v>49</v>
      </c>
      <c r="C71" s="143">
        <f t="shared" si="2"/>
        <v>1</v>
      </c>
      <c r="D71" s="149">
        <f>IF(ISNUMBER(VLOOKUP($C71,'A4 Investment'!$A$24:$G$33,3,FALSE)),VLOOKUP($C71,'A4 Investment'!$A$24:$G$33,3,FALSE)*'A4 Investment'!C$18/12,0)</f>
        <v>8904.1666666666661</v>
      </c>
      <c r="E71" s="150">
        <f>IF(ISNUMBER(VLOOKUP($C71,'A4 Investment'!$A$24:$G$33,4,FALSE)),VLOOKUP($C71,'A4 Investment'!$A$24:$G$33,4,FALSE)*'A4 Investment'!D$18/12,0)</f>
        <v>0</v>
      </c>
      <c r="F71" s="150">
        <f>IF(ISNUMBER(VLOOKUP($C71,'A4 Investment'!$A$24:$G$33,5,FALSE)),VLOOKUP($C71,'A4 Investment'!$A$24:$G$33,5,FALSE)*'A4 Investment'!E$18/12,0)</f>
        <v>0</v>
      </c>
      <c r="G71" s="150">
        <f>IF(ISNUMBER(VLOOKUP($C71,'A4 Investment'!$A$24:$G$33,6,FALSE)),VLOOKUP($C71,'A4 Investment'!$A$24:$G$33,6,FALSE)*'A4 Investment'!F$18/12,0)</f>
        <v>0</v>
      </c>
      <c r="H71" s="181">
        <f>IF(ISNUMBER(VLOOKUP($C71,'A4 Investment'!$A$24:$G$33,7,FALSE)),VLOOKUP($C71,'A4 Investment'!$A$24:$G$33,7,FALSE)*'A4 Investment'!G$18/12,0)</f>
        <v>0</v>
      </c>
      <c r="I71" s="160">
        <f t="shared" si="6"/>
        <v>8904.1666666666661</v>
      </c>
    </row>
    <row r="72" spans="1:9" x14ac:dyDescent="0.2">
      <c r="A72" s="86">
        <f t="shared" si="5"/>
        <v>1493</v>
      </c>
      <c r="B72" s="142">
        <f t="shared" si="7"/>
        <v>50</v>
      </c>
      <c r="C72" s="143">
        <f t="shared" si="2"/>
        <v>1</v>
      </c>
      <c r="D72" s="149">
        <f>IF(ISNUMBER(VLOOKUP($C72,'A4 Investment'!$A$24:$G$33,3,FALSE)),VLOOKUP($C72,'A4 Investment'!$A$24:$G$33,3,FALSE)*'A4 Investment'!C$18/12,0)</f>
        <v>8904.1666666666661</v>
      </c>
      <c r="E72" s="150">
        <f>IF(ISNUMBER(VLOOKUP($C72,'A4 Investment'!$A$24:$G$33,4,FALSE)),VLOOKUP($C72,'A4 Investment'!$A$24:$G$33,4,FALSE)*'A4 Investment'!D$18/12,0)</f>
        <v>0</v>
      </c>
      <c r="F72" s="150">
        <f>IF(ISNUMBER(VLOOKUP($C72,'A4 Investment'!$A$24:$G$33,5,FALSE)),VLOOKUP($C72,'A4 Investment'!$A$24:$G$33,5,FALSE)*'A4 Investment'!E$18/12,0)</f>
        <v>0</v>
      </c>
      <c r="G72" s="150">
        <f>IF(ISNUMBER(VLOOKUP($C72,'A4 Investment'!$A$24:$G$33,6,FALSE)),VLOOKUP($C72,'A4 Investment'!$A$24:$G$33,6,FALSE)*'A4 Investment'!F$18/12,0)</f>
        <v>0</v>
      </c>
      <c r="H72" s="181">
        <f>IF(ISNUMBER(VLOOKUP($C72,'A4 Investment'!$A$24:$G$33,7,FALSE)),VLOOKUP($C72,'A4 Investment'!$A$24:$G$33,7,FALSE)*'A4 Investment'!G$18/12,0)</f>
        <v>0</v>
      </c>
      <c r="I72" s="160">
        <f t="shared" si="6"/>
        <v>8904.1666666666661</v>
      </c>
    </row>
    <row r="73" spans="1:9" x14ac:dyDescent="0.2">
      <c r="A73" s="86">
        <f t="shared" si="5"/>
        <v>1522</v>
      </c>
      <c r="B73" s="142">
        <f t="shared" si="7"/>
        <v>51</v>
      </c>
      <c r="C73" s="143">
        <f t="shared" si="2"/>
        <v>1</v>
      </c>
      <c r="D73" s="149">
        <f>IF(ISNUMBER(VLOOKUP($C73,'A4 Investment'!$A$24:$G$33,3,FALSE)),VLOOKUP($C73,'A4 Investment'!$A$24:$G$33,3,FALSE)*'A4 Investment'!C$18/12,0)</f>
        <v>8904.1666666666661</v>
      </c>
      <c r="E73" s="150">
        <f>IF(ISNUMBER(VLOOKUP($C73,'A4 Investment'!$A$24:$G$33,4,FALSE)),VLOOKUP($C73,'A4 Investment'!$A$24:$G$33,4,FALSE)*'A4 Investment'!D$18/12,0)</f>
        <v>0</v>
      </c>
      <c r="F73" s="150">
        <f>IF(ISNUMBER(VLOOKUP($C73,'A4 Investment'!$A$24:$G$33,5,FALSE)),VLOOKUP($C73,'A4 Investment'!$A$24:$G$33,5,FALSE)*'A4 Investment'!E$18/12,0)</f>
        <v>0</v>
      </c>
      <c r="G73" s="150">
        <f>IF(ISNUMBER(VLOOKUP($C73,'A4 Investment'!$A$24:$G$33,6,FALSE)),VLOOKUP($C73,'A4 Investment'!$A$24:$G$33,6,FALSE)*'A4 Investment'!F$18/12,0)</f>
        <v>0</v>
      </c>
      <c r="H73" s="181">
        <f>IF(ISNUMBER(VLOOKUP($C73,'A4 Investment'!$A$24:$G$33,7,FALSE)),VLOOKUP($C73,'A4 Investment'!$A$24:$G$33,7,FALSE)*'A4 Investment'!G$18/12,0)</f>
        <v>0</v>
      </c>
      <c r="I73" s="160">
        <f t="shared" si="6"/>
        <v>8904.1666666666661</v>
      </c>
    </row>
    <row r="74" spans="1:9" x14ac:dyDescent="0.2">
      <c r="A74" s="86">
        <f t="shared" si="5"/>
        <v>1553</v>
      </c>
      <c r="B74" s="142">
        <f t="shared" si="7"/>
        <v>52</v>
      </c>
      <c r="C74" s="143">
        <f t="shared" si="2"/>
        <v>1</v>
      </c>
      <c r="D74" s="149">
        <f>IF(ISNUMBER(VLOOKUP($C74,'A4 Investment'!$A$24:$G$33,3,FALSE)),VLOOKUP($C74,'A4 Investment'!$A$24:$G$33,3,FALSE)*'A4 Investment'!C$18/12,0)</f>
        <v>8904.1666666666661</v>
      </c>
      <c r="E74" s="150">
        <f>IF(ISNUMBER(VLOOKUP($C74,'A4 Investment'!$A$24:$G$33,4,FALSE)),VLOOKUP($C74,'A4 Investment'!$A$24:$G$33,4,FALSE)*'A4 Investment'!D$18/12,0)</f>
        <v>0</v>
      </c>
      <c r="F74" s="150">
        <f>IF(ISNUMBER(VLOOKUP($C74,'A4 Investment'!$A$24:$G$33,5,FALSE)),VLOOKUP($C74,'A4 Investment'!$A$24:$G$33,5,FALSE)*'A4 Investment'!E$18/12,0)</f>
        <v>0</v>
      </c>
      <c r="G74" s="150">
        <f>IF(ISNUMBER(VLOOKUP($C74,'A4 Investment'!$A$24:$G$33,6,FALSE)),VLOOKUP($C74,'A4 Investment'!$A$24:$G$33,6,FALSE)*'A4 Investment'!F$18/12,0)</f>
        <v>0</v>
      </c>
      <c r="H74" s="181">
        <f>IF(ISNUMBER(VLOOKUP($C74,'A4 Investment'!$A$24:$G$33,7,FALSE)),VLOOKUP($C74,'A4 Investment'!$A$24:$G$33,7,FALSE)*'A4 Investment'!G$18/12,0)</f>
        <v>0</v>
      </c>
      <c r="I74" s="160">
        <f t="shared" si="6"/>
        <v>8904.1666666666661</v>
      </c>
    </row>
    <row r="75" spans="1:9" x14ac:dyDescent="0.2">
      <c r="A75" s="86">
        <f t="shared" si="5"/>
        <v>1583</v>
      </c>
      <c r="B75" s="142">
        <f t="shared" si="7"/>
        <v>53</v>
      </c>
      <c r="C75" s="143">
        <f t="shared" si="2"/>
        <v>1</v>
      </c>
      <c r="D75" s="149">
        <f>IF(ISNUMBER(VLOOKUP($C75,'A4 Investment'!$A$24:$G$33,3,FALSE)),VLOOKUP($C75,'A4 Investment'!$A$24:$G$33,3,FALSE)*'A4 Investment'!C$18/12,0)</f>
        <v>8904.1666666666661</v>
      </c>
      <c r="E75" s="150">
        <f>IF(ISNUMBER(VLOOKUP($C75,'A4 Investment'!$A$24:$G$33,4,FALSE)),VLOOKUP($C75,'A4 Investment'!$A$24:$G$33,4,FALSE)*'A4 Investment'!D$18/12,0)</f>
        <v>0</v>
      </c>
      <c r="F75" s="150">
        <f>IF(ISNUMBER(VLOOKUP($C75,'A4 Investment'!$A$24:$G$33,5,FALSE)),VLOOKUP($C75,'A4 Investment'!$A$24:$G$33,5,FALSE)*'A4 Investment'!E$18/12,0)</f>
        <v>0</v>
      </c>
      <c r="G75" s="150">
        <f>IF(ISNUMBER(VLOOKUP($C75,'A4 Investment'!$A$24:$G$33,6,FALSE)),VLOOKUP($C75,'A4 Investment'!$A$24:$G$33,6,FALSE)*'A4 Investment'!F$18/12,0)</f>
        <v>0</v>
      </c>
      <c r="H75" s="181">
        <f>IF(ISNUMBER(VLOOKUP($C75,'A4 Investment'!$A$24:$G$33,7,FALSE)),VLOOKUP($C75,'A4 Investment'!$A$24:$G$33,7,FALSE)*'A4 Investment'!G$18/12,0)</f>
        <v>0</v>
      </c>
      <c r="I75" s="160">
        <f t="shared" si="6"/>
        <v>8904.1666666666661</v>
      </c>
    </row>
    <row r="76" spans="1:9" x14ac:dyDescent="0.2">
      <c r="A76" s="86">
        <f t="shared" si="5"/>
        <v>1614</v>
      </c>
      <c r="B76" s="142">
        <f t="shared" si="7"/>
        <v>54</v>
      </c>
      <c r="C76" s="143">
        <f t="shared" si="2"/>
        <v>1</v>
      </c>
      <c r="D76" s="149">
        <f>IF(ISNUMBER(VLOOKUP($C76,'A4 Investment'!$A$24:$G$33,3,FALSE)),VLOOKUP($C76,'A4 Investment'!$A$24:$G$33,3,FALSE)*'A4 Investment'!C$18/12,0)</f>
        <v>8904.1666666666661</v>
      </c>
      <c r="E76" s="150">
        <f>IF(ISNUMBER(VLOOKUP($C76,'A4 Investment'!$A$24:$G$33,4,FALSE)),VLOOKUP($C76,'A4 Investment'!$A$24:$G$33,4,FALSE)*'A4 Investment'!D$18/12,0)</f>
        <v>0</v>
      </c>
      <c r="F76" s="150">
        <f>IF(ISNUMBER(VLOOKUP($C76,'A4 Investment'!$A$24:$G$33,5,FALSE)),VLOOKUP($C76,'A4 Investment'!$A$24:$G$33,5,FALSE)*'A4 Investment'!E$18/12,0)</f>
        <v>0</v>
      </c>
      <c r="G76" s="150">
        <f>IF(ISNUMBER(VLOOKUP($C76,'A4 Investment'!$A$24:$G$33,6,FALSE)),VLOOKUP($C76,'A4 Investment'!$A$24:$G$33,6,FALSE)*'A4 Investment'!F$18/12,0)</f>
        <v>0</v>
      </c>
      <c r="H76" s="181">
        <f>IF(ISNUMBER(VLOOKUP($C76,'A4 Investment'!$A$24:$G$33,7,FALSE)),VLOOKUP($C76,'A4 Investment'!$A$24:$G$33,7,FALSE)*'A4 Investment'!G$18/12,0)</f>
        <v>0</v>
      </c>
      <c r="I76" s="160">
        <f t="shared" si="6"/>
        <v>8904.1666666666661</v>
      </c>
    </row>
    <row r="77" spans="1:9" x14ac:dyDescent="0.2">
      <c r="A77" s="86">
        <f t="shared" si="5"/>
        <v>1644</v>
      </c>
      <c r="B77" s="142">
        <f t="shared" si="7"/>
        <v>55</v>
      </c>
      <c r="C77" s="143">
        <f t="shared" si="2"/>
        <v>1</v>
      </c>
      <c r="D77" s="149">
        <f>IF(ISNUMBER(VLOOKUP($C77,'A4 Investment'!$A$24:$G$33,3,FALSE)),VLOOKUP($C77,'A4 Investment'!$A$24:$G$33,3,FALSE)*'A4 Investment'!C$18/12,0)</f>
        <v>8904.1666666666661</v>
      </c>
      <c r="E77" s="150">
        <f>IF(ISNUMBER(VLOOKUP($C77,'A4 Investment'!$A$24:$G$33,4,FALSE)),VLOOKUP($C77,'A4 Investment'!$A$24:$G$33,4,FALSE)*'A4 Investment'!D$18/12,0)</f>
        <v>0</v>
      </c>
      <c r="F77" s="150">
        <f>IF(ISNUMBER(VLOOKUP($C77,'A4 Investment'!$A$24:$G$33,5,FALSE)),VLOOKUP($C77,'A4 Investment'!$A$24:$G$33,5,FALSE)*'A4 Investment'!E$18/12,0)</f>
        <v>0</v>
      </c>
      <c r="G77" s="150">
        <f>IF(ISNUMBER(VLOOKUP($C77,'A4 Investment'!$A$24:$G$33,6,FALSE)),VLOOKUP($C77,'A4 Investment'!$A$24:$G$33,6,FALSE)*'A4 Investment'!F$18/12,0)</f>
        <v>0</v>
      </c>
      <c r="H77" s="181">
        <f>IF(ISNUMBER(VLOOKUP($C77,'A4 Investment'!$A$24:$G$33,7,FALSE)),VLOOKUP($C77,'A4 Investment'!$A$24:$G$33,7,FALSE)*'A4 Investment'!G$18/12,0)</f>
        <v>0</v>
      </c>
      <c r="I77" s="160">
        <f t="shared" si="6"/>
        <v>8904.1666666666661</v>
      </c>
    </row>
    <row r="78" spans="1:9" x14ac:dyDescent="0.2">
      <c r="A78" s="86">
        <f t="shared" si="5"/>
        <v>1675</v>
      </c>
      <c r="B78" s="142">
        <f t="shared" si="7"/>
        <v>56</v>
      </c>
      <c r="C78" s="143">
        <f t="shared" si="2"/>
        <v>1</v>
      </c>
      <c r="D78" s="149">
        <f>IF(ISNUMBER(VLOOKUP($C78,'A4 Investment'!$A$24:$G$33,3,FALSE)),VLOOKUP($C78,'A4 Investment'!$A$24:$G$33,3,FALSE)*'A4 Investment'!C$18/12,0)</f>
        <v>8904.1666666666661</v>
      </c>
      <c r="E78" s="150">
        <f>IF(ISNUMBER(VLOOKUP($C78,'A4 Investment'!$A$24:$G$33,4,FALSE)),VLOOKUP($C78,'A4 Investment'!$A$24:$G$33,4,FALSE)*'A4 Investment'!D$18/12,0)</f>
        <v>0</v>
      </c>
      <c r="F78" s="150">
        <f>IF(ISNUMBER(VLOOKUP($C78,'A4 Investment'!$A$24:$G$33,5,FALSE)),VLOOKUP($C78,'A4 Investment'!$A$24:$G$33,5,FALSE)*'A4 Investment'!E$18/12,0)</f>
        <v>0</v>
      </c>
      <c r="G78" s="150">
        <f>IF(ISNUMBER(VLOOKUP($C78,'A4 Investment'!$A$24:$G$33,6,FALSE)),VLOOKUP($C78,'A4 Investment'!$A$24:$G$33,6,FALSE)*'A4 Investment'!F$18/12,0)</f>
        <v>0</v>
      </c>
      <c r="H78" s="181">
        <f>IF(ISNUMBER(VLOOKUP($C78,'A4 Investment'!$A$24:$G$33,7,FALSE)),VLOOKUP($C78,'A4 Investment'!$A$24:$G$33,7,FALSE)*'A4 Investment'!G$18/12,0)</f>
        <v>0</v>
      </c>
      <c r="I78" s="160">
        <f t="shared" si="6"/>
        <v>8904.1666666666661</v>
      </c>
    </row>
    <row r="79" spans="1:9" x14ac:dyDescent="0.2">
      <c r="A79" s="86">
        <f t="shared" si="5"/>
        <v>1706</v>
      </c>
      <c r="B79" s="142">
        <f t="shared" si="7"/>
        <v>57</v>
      </c>
      <c r="C79" s="143">
        <f t="shared" si="2"/>
        <v>1</v>
      </c>
      <c r="D79" s="149">
        <f>IF(ISNUMBER(VLOOKUP($C79,'A4 Investment'!$A$24:$G$33,3,FALSE)),VLOOKUP($C79,'A4 Investment'!$A$24:$G$33,3,FALSE)*'A4 Investment'!C$18/12,0)</f>
        <v>8904.1666666666661</v>
      </c>
      <c r="E79" s="150">
        <f>IF(ISNUMBER(VLOOKUP($C79,'A4 Investment'!$A$24:$G$33,4,FALSE)),VLOOKUP($C79,'A4 Investment'!$A$24:$G$33,4,FALSE)*'A4 Investment'!D$18/12,0)</f>
        <v>0</v>
      </c>
      <c r="F79" s="150">
        <f>IF(ISNUMBER(VLOOKUP($C79,'A4 Investment'!$A$24:$G$33,5,FALSE)),VLOOKUP($C79,'A4 Investment'!$A$24:$G$33,5,FALSE)*'A4 Investment'!E$18/12,0)</f>
        <v>0</v>
      </c>
      <c r="G79" s="150">
        <f>IF(ISNUMBER(VLOOKUP($C79,'A4 Investment'!$A$24:$G$33,6,FALSE)),VLOOKUP($C79,'A4 Investment'!$A$24:$G$33,6,FALSE)*'A4 Investment'!F$18/12,0)</f>
        <v>0</v>
      </c>
      <c r="H79" s="181">
        <f>IF(ISNUMBER(VLOOKUP($C79,'A4 Investment'!$A$24:$G$33,7,FALSE)),VLOOKUP($C79,'A4 Investment'!$A$24:$G$33,7,FALSE)*'A4 Investment'!G$18/12,0)</f>
        <v>0</v>
      </c>
      <c r="I79" s="160">
        <f t="shared" si="6"/>
        <v>8904.1666666666661</v>
      </c>
    </row>
    <row r="80" spans="1:9" x14ac:dyDescent="0.2">
      <c r="A80" s="86">
        <f t="shared" si="5"/>
        <v>1736</v>
      </c>
      <c r="B80" s="142">
        <f t="shared" si="7"/>
        <v>58</v>
      </c>
      <c r="C80" s="143">
        <f t="shared" si="2"/>
        <v>1</v>
      </c>
      <c r="D80" s="149">
        <f>IF(ISNUMBER(VLOOKUP($C80,'A4 Investment'!$A$24:$G$33,3,FALSE)),VLOOKUP($C80,'A4 Investment'!$A$24:$G$33,3,FALSE)*'A4 Investment'!C$18/12,0)</f>
        <v>8904.1666666666661</v>
      </c>
      <c r="E80" s="150">
        <f>IF(ISNUMBER(VLOOKUP($C80,'A4 Investment'!$A$24:$G$33,4,FALSE)),VLOOKUP($C80,'A4 Investment'!$A$24:$G$33,4,FALSE)*'A4 Investment'!D$18/12,0)</f>
        <v>0</v>
      </c>
      <c r="F80" s="150">
        <f>IF(ISNUMBER(VLOOKUP($C80,'A4 Investment'!$A$24:$G$33,5,FALSE)),VLOOKUP($C80,'A4 Investment'!$A$24:$G$33,5,FALSE)*'A4 Investment'!E$18/12,0)</f>
        <v>0</v>
      </c>
      <c r="G80" s="150">
        <f>IF(ISNUMBER(VLOOKUP($C80,'A4 Investment'!$A$24:$G$33,6,FALSE)),VLOOKUP($C80,'A4 Investment'!$A$24:$G$33,6,FALSE)*'A4 Investment'!F$18/12,0)</f>
        <v>0</v>
      </c>
      <c r="H80" s="181">
        <f>IF(ISNUMBER(VLOOKUP($C80,'A4 Investment'!$A$24:$G$33,7,FALSE)),VLOOKUP($C80,'A4 Investment'!$A$24:$G$33,7,FALSE)*'A4 Investment'!G$18/12,0)</f>
        <v>0</v>
      </c>
      <c r="I80" s="160">
        <f t="shared" si="6"/>
        <v>8904.1666666666661</v>
      </c>
    </row>
    <row r="81" spans="1:9" x14ac:dyDescent="0.2">
      <c r="A81" s="86">
        <f t="shared" si="5"/>
        <v>1767</v>
      </c>
      <c r="B81" s="142">
        <f t="shared" si="7"/>
        <v>59</v>
      </c>
      <c r="C81" s="143">
        <f t="shared" si="2"/>
        <v>1</v>
      </c>
      <c r="D81" s="149">
        <f>IF(ISNUMBER(VLOOKUP($C81,'A4 Investment'!$A$24:$G$33,3,FALSE)),VLOOKUP($C81,'A4 Investment'!$A$24:$G$33,3,FALSE)*'A4 Investment'!C$18/12,0)</f>
        <v>8904.1666666666661</v>
      </c>
      <c r="E81" s="150">
        <f>IF(ISNUMBER(VLOOKUP($C81,'A4 Investment'!$A$24:$G$33,4,FALSE)),VLOOKUP($C81,'A4 Investment'!$A$24:$G$33,4,FALSE)*'A4 Investment'!D$18/12,0)</f>
        <v>0</v>
      </c>
      <c r="F81" s="150">
        <f>IF(ISNUMBER(VLOOKUP($C81,'A4 Investment'!$A$24:$G$33,5,FALSE)),VLOOKUP($C81,'A4 Investment'!$A$24:$G$33,5,FALSE)*'A4 Investment'!E$18/12,0)</f>
        <v>0</v>
      </c>
      <c r="G81" s="150">
        <f>IF(ISNUMBER(VLOOKUP($C81,'A4 Investment'!$A$24:$G$33,6,FALSE)),VLOOKUP($C81,'A4 Investment'!$A$24:$G$33,6,FALSE)*'A4 Investment'!F$18/12,0)</f>
        <v>0</v>
      </c>
      <c r="H81" s="181">
        <f>IF(ISNUMBER(VLOOKUP($C81,'A4 Investment'!$A$24:$G$33,7,FALSE)),VLOOKUP($C81,'A4 Investment'!$A$24:$G$33,7,FALSE)*'A4 Investment'!G$18/12,0)</f>
        <v>0</v>
      </c>
      <c r="I81" s="160">
        <f t="shared" si="6"/>
        <v>8904.1666666666661</v>
      </c>
    </row>
    <row r="82" spans="1:9" x14ac:dyDescent="0.2">
      <c r="A82" s="86">
        <f t="shared" si="5"/>
        <v>1797</v>
      </c>
      <c r="B82" s="142">
        <f t="shared" si="7"/>
        <v>60</v>
      </c>
      <c r="C82" s="143">
        <f t="shared" si="2"/>
        <v>1</v>
      </c>
      <c r="D82" s="149">
        <f>IF(ISNUMBER(VLOOKUP($C82,'A4 Investment'!$A$24:$G$33,3,FALSE)),VLOOKUP($C82,'A4 Investment'!$A$24:$G$33,3,FALSE)*'A4 Investment'!C$18/12,0)</f>
        <v>8904.1666666666661</v>
      </c>
      <c r="E82" s="150">
        <f>IF(ISNUMBER(VLOOKUP($C82,'A4 Investment'!$A$24:$G$33,4,FALSE)),VLOOKUP($C82,'A4 Investment'!$A$24:$G$33,4,FALSE)*'A4 Investment'!D$18/12,0)</f>
        <v>0</v>
      </c>
      <c r="F82" s="150">
        <f>IF(ISNUMBER(VLOOKUP($C82,'A4 Investment'!$A$24:$G$33,5,FALSE)),VLOOKUP($C82,'A4 Investment'!$A$24:$G$33,5,FALSE)*'A4 Investment'!E$18/12,0)</f>
        <v>0</v>
      </c>
      <c r="G82" s="150">
        <f>IF(ISNUMBER(VLOOKUP($C82,'A4 Investment'!$A$24:$G$33,6,FALSE)),VLOOKUP($C82,'A4 Investment'!$A$24:$G$33,6,FALSE)*'A4 Investment'!F$18/12,0)</f>
        <v>0</v>
      </c>
      <c r="H82" s="181">
        <f>IF(ISNUMBER(VLOOKUP($C82,'A4 Investment'!$A$24:$G$33,7,FALSE)),VLOOKUP($C82,'A4 Investment'!$A$24:$G$33,7,FALSE)*'A4 Investment'!G$18/12,0)</f>
        <v>0</v>
      </c>
      <c r="I82" s="160">
        <f t="shared" si="6"/>
        <v>8904.1666666666661</v>
      </c>
    </row>
    <row r="83" spans="1:9" x14ac:dyDescent="0.2">
      <c r="A83" s="86">
        <f>IF(B83="NA","NA",DATE(YEAR(A82),MONTH(A82)+1,1))</f>
        <v>1828</v>
      </c>
      <c r="B83" s="142">
        <f>IF(B82="NA","NA",IF((B82+1)&gt;$B$9,"NA",B82+1))</f>
        <v>61</v>
      </c>
      <c r="C83" s="143">
        <f>IF(B83="NA","NA",MATCH($B$9-B83+1,$B$9:$B$18,-1))</f>
        <v>1</v>
      </c>
      <c r="D83" s="149">
        <f>IF(B83="NA","NA",IF(ISNUMBER(VLOOKUP($C83,'A4 Investment'!$A$24:$G$33,3,FALSE)),VLOOKUP($C83,'A4 Investment'!$A$24:$G$33,3,FALSE)*'A4 Investment'!C$18/12,0))</f>
        <v>8904.1666666666661</v>
      </c>
      <c r="E83" s="150">
        <f>IF(B83="NA","NA",IF(ISNUMBER(VLOOKUP($C83,'A4 Investment'!$A$24:$G$33,4,FALSE)),VLOOKUP($C83,'A4 Investment'!$A$24:$G$33,4,FALSE)*'A4 Investment'!D$18/12,0))</f>
        <v>0</v>
      </c>
      <c r="F83" s="150">
        <f>IF(B83="NA","NA",IF(ISNUMBER(VLOOKUP($C83,'A4 Investment'!$A$24:$G$33,5,FALSE)),VLOOKUP($C83,'A4 Investment'!$A$24:$G$33,5,FALSE)*'A4 Investment'!E$18/12,0))</f>
        <v>0</v>
      </c>
      <c r="G83" s="150">
        <f>IF(B83="NA","NA",IF(ISNUMBER(VLOOKUP($C83,'A4 Investment'!$A$24:$G$33,6,FALSE)),VLOOKUP($C83,'A4 Investment'!$A$24:$G$33,6,FALSE)*'A4 Investment'!F$18/12,0))</f>
        <v>0</v>
      </c>
      <c r="H83" s="181">
        <f>IF(B83="NA","NA",IF(ISNUMBER(VLOOKUP($C83,'A4 Investment'!$A$24:$G$33,7,FALSE)),VLOOKUP($C83,'A4 Investment'!$A$24:$G$33,7,FALSE)*'A4 Investment'!G$18/12,0))</f>
        <v>0</v>
      </c>
      <c r="I83" s="160">
        <f t="shared" ref="I83:I114" si="8">IF(B83="NA","NA",SUM(D83:H83))</f>
        <v>8904.1666666666661</v>
      </c>
    </row>
    <row r="84" spans="1:9" x14ac:dyDescent="0.2">
      <c r="A84" s="86">
        <f t="shared" ref="A84:A147" si="9">IF(B84="NA","NA",DATE(YEAR(A83),MONTH(A83)+1,1))</f>
        <v>1859</v>
      </c>
      <c r="B84" s="142">
        <f t="shared" ref="B84:B147" si="10">IF(B83="NA","NA",IF((B83+1)&gt;$B$9,"NA",B83+1))</f>
        <v>62</v>
      </c>
      <c r="C84" s="143">
        <f t="shared" ref="C84:C147" si="11">IF(B84="NA","NA",MATCH($B$9-B84+1,$B$9:$B$18,-1))</f>
        <v>1</v>
      </c>
      <c r="D84" s="149">
        <f>IF(B84="NA","NA",IF(ISNUMBER(VLOOKUP($C84,'A4 Investment'!$A$24:$G$33,3,FALSE)),VLOOKUP($C84,'A4 Investment'!$A$24:$G$33,3,FALSE)*'A4 Investment'!C$18/12,0))</f>
        <v>8904.1666666666661</v>
      </c>
      <c r="E84" s="150">
        <f>IF(B84="NA","NA",IF(ISNUMBER(VLOOKUP($C84,'A4 Investment'!$A$24:$G$33,4,FALSE)),VLOOKUP($C84,'A4 Investment'!$A$24:$G$33,4,FALSE)*'A4 Investment'!D$18/12,0))</f>
        <v>0</v>
      </c>
      <c r="F84" s="150">
        <f>IF(B84="NA","NA",IF(ISNUMBER(VLOOKUP($C84,'A4 Investment'!$A$24:$G$33,5,FALSE)),VLOOKUP($C84,'A4 Investment'!$A$24:$G$33,5,FALSE)*'A4 Investment'!E$18/12,0))</f>
        <v>0</v>
      </c>
      <c r="G84" s="150">
        <f>IF(B84="NA","NA",IF(ISNUMBER(VLOOKUP($C84,'A4 Investment'!$A$24:$G$33,6,FALSE)),VLOOKUP($C84,'A4 Investment'!$A$24:$G$33,6,FALSE)*'A4 Investment'!F$18/12,0))</f>
        <v>0</v>
      </c>
      <c r="H84" s="181">
        <f>IF(B84="NA","NA",IF(ISNUMBER(VLOOKUP($C84,'A4 Investment'!$A$24:$G$33,7,FALSE)),VLOOKUP($C84,'A4 Investment'!$A$24:$G$33,7,FALSE)*'A4 Investment'!G$18/12,0))</f>
        <v>0</v>
      </c>
      <c r="I84" s="160">
        <f t="shared" si="8"/>
        <v>8904.1666666666661</v>
      </c>
    </row>
    <row r="85" spans="1:9" x14ac:dyDescent="0.2">
      <c r="A85" s="86">
        <f t="shared" si="9"/>
        <v>1887</v>
      </c>
      <c r="B85" s="142">
        <f t="shared" si="10"/>
        <v>63</v>
      </c>
      <c r="C85" s="143">
        <f t="shared" si="11"/>
        <v>1</v>
      </c>
      <c r="D85" s="149">
        <f>IF(B85="NA","NA",IF(ISNUMBER(VLOOKUP($C85,'A4 Investment'!$A$24:$G$33,3,FALSE)),VLOOKUP($C85,'A4 Investment'!$A$24:$G$33,3,FALSE)*'A4 Investment'!C$18/12,0))</f>
        <v>8904.1666666666661</v>
      </c>
      <c r="E85" s="150">
        <f>IF(B85="NA","NA",IF(ISNUMBER(VLOOKUP($C85,'A4 Investment'!$A$24:$G$33,4,FALSE)),VLOOKUP($C85,'A4 Investment'!$A$24:$G$33,4,FALSE)*'A4 Investment'!D$18/12,0))</f>
        <v>0</v>
      </c>
      <c r="F85" s="150">
        <f>IF(B85="NA","NA",IF(ISNUMBER(VLOOKUP($C85,'A4 Investment'!$A$24:$G$33,5,FALSE)),VLOOKUP($C85,'A4 Investment'!$A$24:$G$33,5,FALSE)*'A4 Investment'!E$18/12,0))</f>
        <v>0</v>
      </c>
      <c r="G85" s="150">
        <f>IF(B85="NA","NA",IF(ISNUMBER(VLOOKUP($C85,'A4 Investment'!$A$24:$G$33,6,FALSE)),VLOOKUP($C85,'A4 Investment'!$A$24:$G$33,6,FALSE)*'A4 Investment'!F$18/12,0))</f>
        <v>0</v>
      </c>
      <c r="H85" s="181">
        <f>IF(B85="NA","NA",IF(ISNUMBER(VLOOKUP($C85,'A4 Investment'!$A$24:$G$33,7,FALSE)),VLOOKUP($C85,'A4 Investment'!$A$24:$G$33,7,FALSE)*'A4 Investment'!G$18/12,0))</f>
        <v>0</v>
      </c>
      <c r="I85" s="160">
        <f t="shared" si="8"/>
        <v>8904.1666666666661</v>
      </c>
    </row>
    <row r="86" spans="1:9" x14ac:dyDescent="0.2">
      <c r="A86" s="86">
        <f t="shared" si="9"/>
        <v>1918</v>
      </c>
      <c r="B86" s="142">
        <f t="shared" si="10"/>
        <v>64</v>
      </c>
      <c r="C86" s="143">
        <f t="shared" si="11"/>
        <v>1</v>
      </c>
      <c r="D86" s="149">
        <f>IF(B86="NA","NA",IF(ISNUMBER(VLOOKUP($C86,'A4 Investment'!$A$24:$G$33,3,FALSE)),VLOOKUP($C86,'A4 Investment'!$A$24:$G$33,3,FALSE)*'A4 Investment'!C$18/12,0))</f>
        <v>8904.1666666666661</v>
      </c>
      <c r="E86" s="150">
        <f>IF(B86="NA","NA",IF(ISNUMBER(VLOOKUP($C86,'A4 Investment'!$A$24:$G$33,4,FALSE)),VLOOKUP($C86,'A4 Investment'!$A$24:$G$33,4,FALSE)*'A4 Investment'!D$18/12,0))</f>
        <v>0</v>
      </c>
      <c r="F86" s="150">
        <f>IF(B86="NA","NA",IF(ISNUMBER(VLOOKUP($C86,'A4 Investment'!$A$24:$G$33,5,FALSE)),VLOOKUP($C86,'A4 Investment'!$A$24:$G$33,5,FALSE)*'A4 Investment'!E$18/12,0))</f>
        <v>0</v>
      </c>
      <c r="G86" s="150">
        <f>IF(B86="NA","NA",IF(ISNUMBER(VLOOKUP($C86,'A4 Investment'!$A$24:$G$33,6,FALSE)),VLOOKUP($C86,'A4 Investment'!$A$24:$G$33,6,FALSE)*'A4 Investment'!F$18/12,0))</f>
        <v>0</v>
      </c>
      <c r="H86" s="181">
        <f>IF(B86="NA","NA",IF(ISNUMBER(VLOOKUP($C86,'A4 Investment'!$A$24:$G$33,7,FALSE)),VLOOKUP($C86,'A4 Investment'!$A$24:$G$33,7,FALSE)*'A4 Investment'!G$18/12,0))</f>
        <v>0</v>
      </c>
      <c r="I86" s="160">
        <f t="shared" si="8"/>
        <v>8904.1666666666661</v>
      </c>
    </row>
    <row r="87" spans="1:9" x14ac:dyDescent="0.2">
      <c r="A87" s="86">
        <f t="shared" si="9"/>
        <v>1948</v>
      </c>
      <c r="B87" s="142">
        <f t="shared" si="10"/>
        <v>65</v>
      </c>
      <c r="C87" s="143">
        <f t="shared" si="11"/>
        <v>1</v>
      </c>
      <c r="D87" s="149">
        <f>IF(B87="NA","NA",IF(ISNUMBER(VLOOKUP($C87,'A4 Investment'!$A$24:$G$33,3,FALSE)),VLOOKUP($C87,'A4 Investment'!$A$24:$G$33,3,FALSE)*'A4 Investment'!C$18/12,0))</f>
        <v>8904.1666666666661</v>
      </c>
      <c r="E87" s="150">
        <f>IF(B87="NA","NA",IF(ISNUMBER(VLOOKUP($C87,'A4 Investment'!$A$24:$G$33,4,FALSE)),VLOOKUP($C87,'A4 Investment'!$A$24:$G$33,4,FALSE)*'A4 Investment'!D$18/12,0))</f>
        <v>0</v>
      </c>
      <c r="F87" s="150">
        <f>IF(B87="NA","NA",IF(ISNUMBER(VLOOKUP($C87,'A4 Investment'!$A$24:$G$33,5,FALSE)),VLOOKUP($C87,'A4 Investment'!$A$24:$G$33,5,FALSE)*'A4 Investment'!E$18/12,0))</f>
        <v>0</v>
      </c>
      <c r="G87" s="150">
        <f>IF(B87="NA","NA",IF(ISNUMBER(VLOOKUP($C87,'A4 Investment'!$A$24:$G$33,6,FALSE)),VLOOKUP($C87,'A4 Investment'!$A$24:$G$33,6,FALSE)*'A4 Investment'!F$18/12,0))</f>
        <v>0</v>
      </c>
      <c r="H87" s="181">
        <f>IF(B87="NA","NA",IF(ISNUMBER(VLOOKUP($C87,'A4 Investment'!$A$24:$G$33,7,FALSE)),VLOOKUP($C87,'A4 Investment'!$A$24:$G$33,7,FALSE)*'A4 Investment'!G$18/12,0))</f>
        <v>0</v>
      </c>
      <c r="I87" s="160">
        <f t="shared" si="8"/>
        <v>8904.1666666666661</v>
      </c>
    </row>
    <row r="88" spans="1:9" x14ac:dyDescent="0.2">
      <c r="A88" s="86">
        <f t="shared" si="9"/>
        <v>1979</v>
      </c>
      <c r="B88" s="142">
        <f t="shared" si="10"/>
        <v>66</v>
      </c>
      <c r="C88" s="143">
        <f t="shared" si="11"/>
        <v>1</v>
      </c>
      <c r="D88" s="149">
        <f>IF(B88="NA","NA",IF(ISNUMBER(VLOOKUP($C88,'A4 Investment'!$A$24:$G$33,3,FALSE)),VLOOKUP($C88,'A4 Investment'!$A$24:$G$33,3,FALSE)*'A4 Investment'!C$18/12,0))</f>
        <v>8904.1666666666661</v>
      </c>
      <c r="E88" s="150">
        <f>IF(B88="NA","NA",IF(ISNUMBER(VLOOKUP($C88,'A4 Investment'!$A$24:$G$33,4,FALSE)),VLOOKUP($C88,'A4 Investment'!$A$24:$G$33,4,FALSE)*'A4 Investment'!D$18/12,0))</f>
        <v>0</v>
      </c>
      <c r="F88" s="150">
        <f>IF(B88="NA","NA",IF(ISNUMBER(VLOOKUP($C88,'A4 Investment'!$A$24:$G$33,5,FALSE)),VLOOKUP($C88,'A4 Investment'!$A$24:$G$33,5,FALSE)*'A4 Investment'!E$18/12,0))</f>
        <v>0</v>
      </c>
      <c r="G88" s="150">
        <f>IF(B88="NA","NA",IF(ISNUMBER(VLOOKUP($C88,'A4 Investment'!$A$24:$G$33,6,FALSE)),VLOOKUP($C88,'A4 Investment'!$A$24:$G$33,6,FALSE)*'A4 Investment'!F$18/12,0))</f>
        <v>0</v>
      </c>
      <c r="H88" s="181">
        <f>IF(B88="NA","NA",IF(ISNUMBER(VLOOKUP($C88,'A4 Investment'!$A$24:$G$33,7,FALSE)),VLOOKUP($C88,'A4 Investment'!$A$24:$G$33,7,FALSE)*'A4 Investment'!G$18/12,0))</f>
        <v>0</v>
      </c>
      <c r="I88" s="160">
        <f t="shared" si="8"/>
        <v>8904.1666666666661</v>
      </c>
    </row>
    <row r="89" spans="1:9" x14ac:dyDescent="0.2">
      <c r="A89" s="86">
        <f t="shared" si="9"/>
        <v>2009</v>
      </c>
      <c r="B89" s="142">
        <f t="shared" si="10"/>
        <v>67</v>
      </c>
      <c r="C89" s="143">
        <f t="shared" si="11"/>
        <v>1</v>
      </c>
      <c r="D89" s="149">
        <f>IF(B89="NA","NA",IF(ISNUMBER(VLOOKUP($C89,'A4 Investment'!$A$24:$G$33,3,FALSE)),VLOOKUP($C89,'A4 Investment'!$A$24:$G$33,3,FALSE)*'A4 Investment'!C$18/12,0))</f>
        <v>8904.1666666666661</v>
      </c>
      <c r="E89" s="150">
        <f>IF(B89="NA","NA",IF(ISNUMBER(VLOOKUP($C89,'A4 Investment'!$A$24:$G$33,4,FALSE)),VLOOKUP($C89,'A4 Investment'!$A$24:$G$33,4,FALSE)*'A4 Investment'!D$18/12,0))</f>
        <v>0</v>
      </c>
      <c r="F89" s="150">
        <f>IF(B89="NA","NA",IF(ISNUMBER(VLOOKUP($C89,'A4 Investment'!$A$24:$G$33,5,FALSE)),VLOOKUP($C89,'A4 Investment'!$A$24:$G$33,5,FALSE)*'A4 Investment'!E$18/12,0))</f>
        <v>0</v>
      </c>
      <c r="G89" s="150">
        <f>IF(B89="NA","NA",IF(ISNUMBER(VLOOKUP($C89,'A4 Investment'!$A$24:$G$33,6,FALSE)),VLOOKUP($C89,'A4 Investment'!$A$24:$G$33,6,FALSE)*'A4 Investment'!F$18/12,0))</f>
        <v>0</v>
      </c>
      <c r="H89" s="181">
        <f>IF(B89="NA","NA",IF(ISNUMBER(VLOOKUP($C89,'A4 Investment'!$A$24:$G$33,7,FALSE)),VLOOKUP($C89,'A4 Investment'!$A$24:$G$33,7,FALSE)*'A4 Investment'!G$18/12,0))</f>
        <v>0</v>
      </c>
      <c r="I89" s="160">
        <f t="shared" si="8"/>
        <v>8904.1666666666661</v>
      </c>
    </row>
    <row r="90" spans="1:9" x14ac:dyDescent="0.2">
      <c r="A90" s="86">
        <f t="shared" si="9"/>
        <v>2040</v>
      </c>
      <c r="B90" s="142">
        <f t="shared" si="10"/>
        <v>68</v>
      </c>
      <c r="C90" s="143">
        <f t="shared" si="11"/>
        <v>1</v>
      </c>
      <c r="D90" s="149">
        <f>IF(B90="NA","NA",IF(ISNUMBER(VLOOKUP($C90,'A4 Investment'!$A$24:$G$33,3,FALSE)),VLOOKUP($C90,'A4 Investment'!$A$24:$G$33,3,FALSE)*'A4 Investment'!C$18/12,0))</f>
        <v>8904.1666666666661</v>
      </c>
      <c r="E90" s="150">
        <f>IF(B90="NA","NA",IF(ISNUMBER(VLOOKUP($C90,'A4 Investment'!$A$24:$G$33,4,FALSE)),VLOOKUP($C90,'A4 Investment'!$A$24:$G$33,4,FALSE)*'A4 Investment'!D$18/12,0))</f>
        <v>0</v>
      </c>
      <c r="F90" s="150">
        <f>IF(B90="NA","NA",IF(ISNUMBER(VLOOKUP($C90,'A4 Investment'!$A$24:$G$33,5,FALSE)),VLOOKUP($C90,'A4 Investment'!$A$24:$G$33,5,FALSE)*'A4 Investment'!E$18/12,0))</f>
        <v>0</v>
      </c>
      <c r="G90" s="150">
        <f>IF(B90="NA","NA",IF(ISNUMBER(VLOOKUP($C90,'A4 Investment'!$A$24:$G$33,6,FALSE)),VLOOKUP($C90,'A4 Investment'!$A$24:$G$33,6,FALSE)*'A4 Investment'!F$18/12,0))</f>
        <v>0</v>
      </c>
      <c r="H90" s="181">
        <f>IF(B90="NA","NA",IF(ISNUMBER(VLOOKUP($C90,'A4 Investment'!$A$24:$G$33,7,FALSE)),VLOOKUP($C90,'A4 Investment'!$A$24:$G$33,7,FALSE)*'A4 Investment'!G$18/12,0))</f>
        <v>0</v>
      </c>
      <c r="I90" s="160">
        <f t="shared" si="8"/>
        <v>8904.1666666666661</v>
      </c>
    </row>
    <row r="91" spans="1:9" x14ac:dyDescent="0.2">
      <c r="A91" s="86">
        <f t="shared" si="9"/>
        <v>2071</v>
      </c>
      <c r="B91" s="142">
        <f t="shared" si="10"/>
        <v>69</v>
      </c>
      <c r="C91" s="143">
        <f t="shared" si="11"/>
        <v>1</v>
      </c>
      <c r="D91" s="149">
        <f>IF(B91="NA","NA",IF(ISNUMBER(VLOOKUP($C91,'A4 Investment'!$A$24:$G$33,3,FALSE)),VLOOKUP($C91,'A4 Investment'!$A$24:$G$33,3,FALSE)*'A4 Investment'!C$18/12,0))</f>
        <v>8904.1666666666661</v>
      </c>
      <c r="E91" s="150">
        <f>IF(B91="NA","NA",IF(ISNUMBER(VLOOKUP($C91,'A4 Investment'!$A$24:$G$33,4,FALSE)),VLOOKUP($C91,'A4 Investment'!$A$24:$G$33,4,FALSE)*'A4 Investment'!D$18/12,0))</f>
        <v>0</v>
      </c>
      <c r="F91" s="150">
        <f>IF(B91="NA","NA",IF(ISNUMBER(VLOOKUP($C91,'A4 Investment'!$A$24:$G$33,5,FALSE)),VLOOKUP($C91,'A4 Investment'!$A$24:$G$33,5,FALSE)*'A4 Investment'!E$18/12,0))</f>
        <v>0</v>
      </c>
      <c r="G91" s="150">
        <f>IF(B91="NA","NA",IF(ISNUMBER(VLOOKUP($C91,'A4 Investment'!$A$24:$G$33,6,FALSE)),VLOOKUP($C91,'A4 Investment'!$A$24:$G$33,6,FALSE)*'A4 Investment'!F$18/12,0))</f>
        <v>0</v>
      </c>
      <c r="H91" s="181">
        <f>IF(B91="NA","NA",IF(ISNUMBER(VLOOKUP($C91,'A4 Investment'!$A$24:$G$33,7,FALSE)),VLOOKUP($C91,'A4 Investment'!$A$24:$G$33,7,FALSE)*'A4 Investment'!G$18/12,0))</f>
        <v>0</v>
      </c>
      <c r="I91" s="160">
        <f t="shared" si="8"/>
        <v>8904.1666666666661</v>
      </c>
    </row>
    <row r="92" spans="1:9" x14ac:dyDescent="0.2">
      <c r="A92" s="86">
        <f t="shared" si="9"/>
        <v>2101</v>
      </c>
      <c r="B92" s="142">
        <f t="shared" si="10"/>
        <v>70</v>
      </c>
      <c r="C92" s="143">
        <f t="shared" si="11"/>
        <v>1</v>
      </c>
      <c r="D92" s="149">
        <f>IF(B92="NA","NA",IF(ISNUMBER(VLOOKUP($C92,'A4 Investment'!$A$24:$G$33,3,FALSE)),VLOOKUP($C92,'A4 Investment'!$A$24:$G$33,3,FALSE)*'A4 Investment'!C$18/12,0))</f>
        <v>8904.1666666666661</v>
      </c>
      <c r="E92" s="150">
        <f>IF(B92="NA","NA",IF(ISNUMBER(VLOOKUP($C92,'A4 Investment'!$A$24:$G$33,4,FALSE)),VLOOKUP($C92,'A4 Investment'!$A$24:$G$33,4,FALSE)*'A4 Investment'!D$18/12,0))</f>
        <v>0</v>
      </c>
      <c r="F92" s="150">
        <f>IF(B92="NA","NA",IF(ISNUMBER(VLOOKUP($C92,'A4 Investment'!$A$24:$G$33,5,FALSE)),VLOOKUP($C92,'A4 Investment'!$A$24:$G$33,5,FALSE)*'A4 Investment'!E$18/12,0))</f>
        <v>0</v>
      </c>
      <c r="G92" s="150">
        <f>IF(B92="NA","NA",IF(ISNUMBER(VLOOKUP($C92,'A4 Investment'!$A$24:$G$33,6,FALSE)),VLOOKUP($C92,'A4 Investment'!$A$24:$G$33,6,FALSE)*'A4 Investment'!F$18/12,0))</f>
        <v>0</v>
      </c>
      <c r="H92" s="181">
        <f>IF(B92="NA","NA",IF(ISNUMBER(VLOOKUP($C92,'A4 Investment'!$A$24:$G$33,7,FALSE)),VLOOKUP($C92,'A4 Investment'!$A$24:$G$33,7,FALSE)*'A4 Investment'!G$18/12,0))</f>
        <v>0</v>
      </c>
      <c r="I92" s="160">
        <f t="shared" si="8"/>
        <v>8904.1666666666661</v>
      </c>
    </row>
    <row r="93" spans="1:9" x14ac:dyDescent="0.2">
      <c r="A93" s="86">
        <f t="shared" si="9"/>
        <v>2132</v>
      </c>
      <c r="B93" s="142">
        <f t="shared" si="10"/>
        <v>71</v>
      </c>
      <c r="C93" s="143">
        <f t="shared" si="11"/>
        <v>1</v>
      </c>
      <c r="D93" s="149">
        <f>IF(B93="NA","NA",IF(ISNUMBER(VLOOKUP($C93,'A4 Investment'!$A$24:$G$33,3,FALSE)),VLOOKUP($C93,'A4 Investment'!$A$24:$G$33,3,FALSE)*'A4 Investment'!C$18/12,0))</f>
        <v>8904.1666666666661</v>
      </c>
      <c r="E93" s="150">
        <f>IF(B93="NA","NA",IF(ISNUMBER(VLOOKUP($C93,'A4 Investment'!$A$24:$G$33,4,FALSE)),VLOOKUP($C93,'A4 Investment'!$A$24:$G$33,4,FALSE)*'A4 Investment'!D$18/12,0))</f>
        <v>0</v>
      </c>
      <c r="F93" s="150">
        <f>IF(B93="NA","NA",IF(ISNUMBER(VLOOKUP($C93,'A4 Investment'!$A$24:$G$33,5,FALSE)),VLOOKUP($C93,'A4 Investment'!$A$24:$G$33,5,FALSE)*'A4 Investment'!E$18/12,0))</f>
        <v>0</v>
      </c>
      <c r="G93" s="150">
        <f>IF(B93="NA","NA",IF(ISNUMBER(VLOOKUP($C93,'A4 Investment'!$A$24:$G$33,6,FALSE)),VLOOKUP($C93,'A4 Investment'!$A$24:$G$33,6,FALSE)*'A4 Investment'!F$18/12,0))</f>
        <v>0</v>
      </c>
      <c r="H93" s="181">
        <f>IF(B93="NA","NA",IF(ISNUMBER(VLOOKUP($C93,'A4 Investment'!$A$24:$G$33,7,FALSE)),VLOOKUP($C93,'A4 Investment'!$A$24:$G$33,7,FALSE)*'A4 Investment'!G$18/12,0))</f>
        <v>0</v>
      </c>
      <c r="I93" s="160">
        <f t="shared" si="8"/>
        <v>8904.1666666666661</v>
      </c>
    </row>
    <row r="94" spans="1:9" x14ac:dyDescent="0.2">
      <c r="A94" s="86">
        <f t="shared" si="9"/>
        <v>2162</v>
      </c>
      <c r="B94" s="142">
        <f t="shared" si="10"/>
        <v>72</v>
      </c>
      <c r="C94" s="143">
        <f t="shared" si="11"/>
        <v>1</v>
      </c>
      <c r="D94" s="149">
        <f>IF(B94="NA","NA",IF(ISNUMBER(VLOOKUP($C94,'A4 Investment'!$A$24:$G$33,3,FALSE)),VLOOKUP($C94,'A4 Investment'!$A$24:$G$33,3,FALSE)*'A4 Investment'!C$18/12,0))</f>
        <v>8904.1666666666661</v>
      </c>
      <c r="E94" s="150">
        <f>IF(B94="NA","NA",IF(ISNUMBER(VLOOKUP($C94,'A4 Investment'!$A$24:$G$33,4,FALSE)),VLOOKUP($C94,'A4 Investment'!$A$24:$G$33,4,FALSE)*'A4 Investment'!D$18/12,0))</f>
        <v>0</v>
      </c>
      <c r="F94" s="150">
        <f>IF(B94="NA","NA",IF(ISNUMBER(VLOOKUP($C94,'A4 Investment'!$A$24:$G$33,5,FALSE)),VLOOKUP($C94,'A4 Investment'!$A$24:$G$33,5,FALSE)*'A4 Investment'!E$18/12,0))</f>
        <v>0</v>
      </c>
      <c r="G94" s="150">
        <f>IF(B94="NA","NA",IF(ISNUMBER(VLOOKUP($C94,'A4 Investment'!$A$24:$G$33,6,FALSE)),VLOOKUP($C94,'A4 Investment'!$A$24:$G$33,6,FALSE)*'A4 Investment'!F$18/12,0))</f>
        <v>0</v>
      </c>
      <c r="H94" s="181">
        <f>IF(B94="NA","NA",IF(ISNUMBER(VLOOKUP($C94,'A4 Investment'!$A$24:$G$33,7,FALSE)),VLOOKUP($C94,'A4 Investment'!$A$24:$G$33,7,FALSE)*'A4 Investment'!G$18/12,0))</f>
        <v>0</v>
      </c>
      <c r="I94" s="160">
        <f t="shared" si="8"/>
        <v>8904.1666666666661</v>
      </c>
    </row>
    <row r="95" spans="1:9" x14ac:dyDescent="0.2">
      <c r="A95" s="86">
        <f t="shared" si="9"/>
        <v>2193</v>
      </c>
      <c r="B95" s="142">
        <f t="shared" si="10"/>
        <v>73</v>
      </c>
      <c r="C95" s="143">
        <f t="shared" si="11"/>
        <v>1</v>
      </c>
      <c r="D95" s="149">
        <f>IF(B95="NA","NA",IF(ISNUMBER(VLOOKUP($C95,'A4 Investment'!$A$24:$G$33,3,FALSE)),VLOOKUP($C95,'A4 Investment'!$A$24:$G$33,3,FALSE)*'A4 Investment'!C$18/12,0))</f>
        <v>8904.1666666666661</v>
      </c>
      <c r="E95" s="150">
        <f>IF(B95="NA","NA",IF(ISNUMBER(VLOOKUP($C95,'A4 Investment'!$A$24:$G$33,4,FALSE)),VLOOKUP($C95,'A4 Investment'!$A$24:$G$33,4,FALSE)*'A4 Investment'!D$18/12,0))</f>
        <v>0</v>
      </c>
      <c r="F95" s="150">
        <f>IF(B95="NA","NA",IF(ISNUMBER(VLOOKUP($C95,'A4 Investment'!$A$24:$G$33,5,FALSE)),VLOOKUP($C95,'A4 Investment'!$A$24:$G$33,5,FALSE)*'A4 Investment'!E$18/12,0))</f>
        <v>0</v>
      </c>
      <c r="G95" s="150">
        <f>IF(B95="NA","NA",IF(ISNUMBER(VLOOKUP($C95,'A4 Investment'!$A$24:$G$33,6,FALSE)),VLOOKUP($C95,'A4 Investment'!$A$24:$G$33,6,FALSE)*'A4 Investment'!F$18/12,0))</f>
        <v>0</v>
      </c>
      <c r="H95" s="181">
        <f>IF(B95="NA","NA",IF(ISNUMBER(VLOOKUP($C95,'A4 Investment'!$A$24:$G$33,7,FALSE)),VLOOKUP($C95,'A4 Investment'!$A$24:$G$33,7,FALSE)*'A4 Investment'!G$18/12,0))</f>
        <v>0</v>
      </c>
      <c r="I95" s="160">
        <f t="shared" si="8"/>
        <v>8904.1666666666661</v>
      </c>
    </row>
    <row r="96" spans="1:9" x14ac:dyDescent="0.2">
      <c r="A96" s="86">
        <f t="shared" si="9"/>
        <v>2224</v>
      </c>
      <c r="B96" s="142">
        <f t="shared" si="10"/>
        <v>74</v>
      </c>
      <c r="C96" s="143">
        <f t="shared" si="11"/>
        <v>1</v>
      </c>
      <c r="D96" s="149">
        <f>IF(B96="NA","NA",IF(ISNUMBER(VLOOKUP($C96,'A4 Investment'!$A$24:$G$33,3,FALSE)),VLOOKUP($C96,'A4 Investment'!$A$24:$G$33,3,FALSE)*'A4 Investment'!C$18/12,0))</f>
        <v>8904.1666666666661</v>
      </c>
      <c r="E96" s="150">
        <f>IF(B96="NA","NA",IF(ISNUMBER(VLOOKUP($C96,'A4 Investment'!$A$24:$G$33,4,FALSE)),VLOOKUP($C96,'A4 Investment'!$A$24:$G$33,4,FALSE)*'A4 Investment'!D$18/12,0))</f>
        <v>0</v>
      </c>
      <c r="F96" s="150">
        <f>IF(B96="NA","NA",IF(ISNUMBER(VLOOKUP($C96,'A4 Investment'!$A$24:$G$33,5,FALSE)),VLOOKUP($C96,'A4 Investment'!$A$24:$G$33,5,FALSE)*'A4 Investment'!E$18/12,0))</f>
        <v>0</v>
      </c>
      <c r="G96" s="150">
        <f>IF(B96="NA","NA",IF(ISNUMBER(VLOOKUP($C96,'A4 Investment'!$A$24:$G$33,6,FALSE)),VLOOKUP($C96,'A4 Investment'!$A$24:$G$33,6,FALSE)*'A4 Investment'!F$18/12,0))</f>
        <v>0</v>
      </c>
      <c r="H96" s="181">
        <f>IF(B96="NA","NA",IF(ISNUMBER(VLOOKUP($C96,'A4 Investment'!$A$24:$G$33,7,FALSE)),VLOOKUP($C96,'A4 Investment'!$A$24:$G$33,7,FALSE)*'A4 Investment'!G$18/12,0))</f>
        <v>0</v>
      </c>
      <c r="I96" s="160">
        <f t="shared" si="8"/>
        <v>8904.1666666666661</v>
      </c>
    </row>
    <row r="97" spans="1:9" x14ac:dyDescent="0.2">
      <c r="A97" s="86">
        <f t="shared" si="9"/>
        <v>2252</v>
      </c>
      <c r="B97" s="142">
        <f t="shared" si="10"/>
        <v>75</v>
      </c>
      <c r="C97" s="143">
        <f t="shared" si="11"/>
        <v>1</v>
      </c>
      <c r="D97" s="149">
        <f>IF(B97="NA","NA",IF(ISNUMBER(VLOOKUP($C97,'A4 Investment'!$A$24:$G$33,3,FALSE)),VLOOKUP($C97,'A4 Investment'!$A$24:$G$33,3,FALSE)*'A4 Investment'!C$18/12,0))</f>
        <v>8904.1666666666661</v>
      </c>
      <c r="E97" s="150">
        <f>IF(B97="NA","NA",IF(ISNUMBER(VLOOKUP($C97,'A4 Investment'!$A$24:$G$33,4,FALSE)),VLOOKUP($C97,'A4 Investment'!$A$24:$G$33,4,FALSE)*'A4 Investment'!D$18/12,0))</f>
        <v>0</v>
      </c>
      <c r="F97" s="150">
        <f>IF(B97="NA","NA",IF(ISNUMBER(VLOOKUP($C97,'A4 Investment'!$A$24:$G$33,5,FALSE)),VLOOKUP($C97,'A4 Investment'!$A$24:$G$33,5,FALSE)*'A4 Investment'!E$18/12,0))</f>
        <v>0</v>
      </c>
      <c r="G97" s="150">
        <f>IF(B97="NA","NA",IF(ISNUMBER(VLOOKUP($C97,'A4 Investment'!$A$24:$G$33,6,FALSE)),VLOOKUP($C97,'A4 Investment'!$A$24:$G$33,6,FALSE)*'A4 Investment'!F$18/12,0))</f>
        <v>0</v>
      </c>
      <c r="H97" s="181">
        <f>IF(B97="NA","NA",IF(ISNUMBER(VLOOKUP($C97,'A4 Investment'!$A$24:$G$33,7,FALSE)),VLOOKUP($C97,'A4 Investment'!$A$24:$G$33,7,FALSE)*'A4 Investment'!G$18/12,0))</f>
        <v>0</v>
      </c>
      <c r="I97" s="160">
        <f t="shared" si="8"/>
        <v>8904.1666666666661</v>
      </c>
    </row>
    <row r="98" spans="1:9" x14ac:dyDescent="0.2">
      <c r="A98" s="86">
        <f t="shared" si="9"/>
        <v>2283</v>
      </c>
      <c r="B98" s="142">
        <f t="shared" si="10"/>
        <v>76</v>
      </c>
      <c r="C98" s="143">
        <f t="shared" si="11"/>
        <v>1</v>
      </c>
      <c r="D98" s="149">
        <f>IF(B98="NA","NA",IF(ISNUMBER(VLOOKUP($C98,'A4 Investment'!$A$24:$G$33,3,FALSE)),VLOOKUP($C98,'A4 Investment'!$A$24:$G$33,3,FALSE)*'A4 Investment'!C$18/12,0))</f>
        <v>8904.1666666666661</v>
      </c>
      <c r="E98" s="150">
        <f>IF(B98="NA","NA",IF(ISNUMBER(VLOOKUP($C98,'A4 Investment'!$A$24:$G$33,4,FALSE)),VLOOKUP($C98,'A4 Investment'!$A$24:$G$33,4,FALSE)*'A4 Investment'!D$18/12,0))</f>
        <v>0</v>
      </c>
      <c r="F98" s="150">
        <f>IF(B98="NA","NA",IF(ISNUMBER(VLOOKUP($C98,'A4 Investment'!$A$24:$G$33,5,FALSE)),VLOOKUP($C98,'A4 Investment'!$A$24:$G$33,5,FALSE)*'A4 Investment'!E$18/12,0))</f>
        <v>0</v>
      </c>
      <c r="G98" s="150">
        <f>IF(B98="NA","NA",IF(ISNUMBER(VLOOKUP($C98,'A4 Investment'!$A$24:$G$33,6,FALSE)),VLOOKUP($C98,'A4 Investment'!$A$24:$G$33,6,FALSE)*'A4 Investment'!F$18/12,0))</f>
        <v>0</v>
      </c>
      <c r="H98" s="181">
        <f>IF(B98="NA","NA",IF(ISNUMBER(VLOOKUP($C98,'A4 Investment'!$A$24:$G$33,7,FALSE)),VLOOKUP($C98,'A4 Investment'!$A$24:$G$33,7,FALSE)*'A4 Investment'!G$18/12,0))</f>
        <v>0</v>
      </c>
      <c r="I98" s="160">
        <f t="shared" si="8"/>
        <v>8904.1666666666661</v>
      </c>
    </row>
    <row r="99" spans="1:9" x14ac:dyDescent="0.2">
      <c r="A99" s="86">
        <f t="shared" si="9"/>
        <v>2313</v>
      </c>
      <c r="B99" s="142">
        <f t="shared" si="10"/>
        <v>77</v>
      </c>
      <c r="C99" s="143">
        <f t="shared" si="11"/>
        <v>1</v>
      </c>
      <c r="D99" s="149">
        <f>IF(B99="NA","NA",IF(ISNUMBER(VLOOKUP($C99,'A4 Investment'!$A$24:$G$33,3,FALSE)),VLOOKUP($C99,'A4 Investment'!$A$24:$G$33,3,FALSE)*'A4 Investment'!C$18/12,0))</f>
        <v>8904.1666666666661</v>
      </c>
      <c r="E99" s="150">
        <f>IF(B99="NA","NA",IF(ISNUMBER(VLOOKUP($C99,'A4 Investment'!$A$24:$G$33,4,FALSE)),VLOOKUP($C99,'A4 Investment'!$A$24:$G$33,4,FALSE)*'A4 Investment'!D$18/12,0))</f>
        <v>0</v>
      </c>
      <c r="F99" s="150">
        <f>IF(B99="NA","NA",IF(ISNUMBER(VLOOKUP($C99,'A4 Investment'!$A$24:$G$33,5,FALSE)),VLOOKUP($C99,'A4 Investment'!$A$24:$G$33,5,FALSE)*'A4 Investment'!E$18/12,0))</f>
        <v>0</v>
      </c>
      <c r="G99" s="150">
        <f>IF(B99="NA","NA",IF(ISNUMBER(VLOOKUP($C99,'A4 Investment'!$A$24:$G$33,6,FALSE)),VLOOKUP($C99,'A4 Investment'!$A$24:$G$33,6,FALSE)*'A4 Investment'!F$18/12,0))</f>
        <v>0</v>
      </c>
      <c r="H99" s="181">
        <f>IF(B99="NA","NA",IF(ISNUMBER(VLOOKUP($C99,'A4 Investment'!$A$24:$G$33,7,FALSE)),VLOOKUP($C99,'A4 Investment'!$A$24:$G$33,7,FALSE)*'A4 Investment'!G$18/12,0))</f>
        <v>0</v>
      </c>
      <c r="I99" s="160">
        <f t="shared" si="8"/>
        <v>8904.1666666666661</v>
      </c>
    </row>
    <row r="100" spans="1:9" x14ac:dyDescent="0.2">
      <c r="A100" s="86">
        <f t="shared" si="9"/>
        <v>2344</v>
      </c>
      <c r="B100" s="142">
        <f t="shared" si="10"/>
        <v>78</v>
      </c>
      <c r="C100" s="143">
        <f t="shared" si="11"/>
        <v>1</v>
      </c>
      <c r="D100" s="149">
        <f>IF(B100="NA","NA",IF(ISNUMBER(VLOOKUP($C100,'A4 Investment'!$A$24:$G$33,3,FALSE)),VLOOKUP($C100,'A4 Investment'!$A$24:$G$33,3,FALSE)*'A4 Investment'!C$18/12,0))</f>
        <v>8904.1666666666661</v>
      </c>
      <c r="E100" s="150">
        <f>IF(B100="NA","NA",IF(ISNUMBER(VLOOKUP($C100,'A4 Investment'!$A$24:$G$33,4,FALSE)),VLOOKUP($C100,'A4 Investment'!$A$24:$G$33,4,FALSE)*'A4 Investment'!D$18/12,0))</f>
        <v>0</v>
      </c>
      <c r="F100" s="150">
        <f>IF(B100="NA","NA",IF(ISNUMBER(VLOOKUP($C100,'A4 Investment'!$A$24:$G$33,5,FALSE)),VLOOKUP($C100,'A4 Investment'!$A$24:$G$33,5,FALSE)*'A4 Investment'!E$18/12,0))</f>
        <v>0</v>
      </c>
      <c r="G100" s="150">
        <f>IF(B100="NA","NA",IF(ISNUMBER(VLOOKUP($C100,'A4 Investment'!$A$24:$G$33,6,FALSE)),VLOOKUP($C100,'A4 Investment'!$A$24:$G$33,6,FALSE)*'A4 Investment'!F$18/12,0))</f>
        <v>0</v>
      </c>
      <c r="H100" s="181">
        <f>IF(B100="NA","NA",IF(ISNUMBER(VLOOKUP($C100,'A4 Investment'!$A$24:$G$33,7,FALSE)),VLOOKUP($C100,'A4 Investment'!$A$24:$G$33,7,FALSE)*'A4 Investment'!G$18/12,0))</f>
        <v>0</v>
      </c>
      <c r="I100" s="160">
        <f t="shared" si="8"/>
        <v>8904.1666666666661</v>
      </c>
    </row>
    <row r="101" spans="1:9" x14ac:dyDescent="0.2">
      <c r="A101" s="86">
        <f t="shared" si="9"/>
        <v>2374</v>
      </c>
      <c r="B101" s="142">
        <f t="shared" si="10"/>
        <v>79</v>
      </c>
      <c r="C101" s="143">
        <f t="shared" si="11"/>
        <v>1</v>
      </c>
      <c r="D101" s="149">
        <f>IF(B101="NA","NA",IF(ISNUMBER(VLOOKUP($C101,'A4 Investment'!$A$24:$G$33,3,FALSE)),VLOOKUP($C101,'A4 Investment'!$A$24:$G$33,3,FALSE)*'A4 Investment'!C$18/12,0))</f>
        <v>8904.1666666666661</v>
      </c>
      <c r="E101" s="150">
        <f>IF(B101="NA","NA",IF(ISNUMBER(VLOOKUP($C101,'A4 Investment'!$A$24:$G$33,4,FALSE)),VLOOKUP($C101,'A4 Investment'!$A$24:$G$33,4,FALSE)*'A4 Investment'!D$18/12,0))</f>
        <v>0</v>
      </c>
      <c r="F101" s="150">
        <f>IF(B101="NA","NA",IF(ISNUMBER(VLOOKUP($C101,'A4 Investment'!$A$24:$G$33,5,FALSE)),VLOOKUP($C101,'A4 Investment'!$A$24:$G$33,5,FALSE)*'A4 Investment'!E$18/12,0))</f>
        <v>0</v>
      </c>
      <c r="G101" s="150">
        <f>IF(B101="NA","NA",IF(ISNUMBER(VLOOKUP($C101,'A4 Investment'!$A$24:$G$33,6,FALSE)),VLOOKUP($C101,'A4 Investment'!$A$24:$G$33,6,FALSE)*'A4 Investment'!F$18/12,0))</f>
        <v>0</v>
      </c>
      <c r="H101" s="181">
        <f>IF(B101="NA","NA",IF(ISNUMBER(VLOOKUP($C101,'A4 Investment'!$A$24:$G$33,7,FALSE)),VLOOKUP($C101,'A4 Investment'!$A$24:$G$33,7,FALSE)*'A4 Investment'!G$18/12,0))</f>
        <v>0</v>
      </c>
      <c r="I101" s="160">
        <f t="shared" si="8"/>
        <v>8904.1666666666661</v>
      </c>
    </row>
    <row r="102" spans="1:9" x14ac:dyDescent="0.2">
      <c r="A102" s="86">
        <f t="shared" si="9"/>
        <v>2405</v>
      </c>
      <c r="B102" s="142">
        <f t="shared" si="10"/>
        <v>80</v>
      </c>
      <c r="C102" s="143">
        <f t="shared" si="11"/>
        <v>1</v>
      </c>
      <c r="D102" s="149">
        <f>IF(B102="NA","NA",IF(ISNUMBER(VLOOKUP($C102,'A4 Investment'!$A$24:$G$33,3,FALSE)),VLOOKUP($C102,'A4 Investment'!$A$24:$G$33,3,FALSE)*'A4 Investment'!C$18/12,0))</f>
        <v>8904.1666666666661</v>
      </c>
      <c r="E102" s="150">
        <f>IF(B102="NA","NA",IF(ISNUMBER(VLOOKUP($C102,'A4 Investment'!$A$24:$G$33,4,FALSE)),VLOOKUP($C102,'A4 Investment'!$A$24:$G$33,4,FALSE)*'A4 Investment'!D$18/12,0))</f>
        <v>0</v>
      </c>
      <c r="F102" s="150">
        <f>IF(B102="NA","NA",IF(ISNUMBER(VLOOKUP($C102,'A4 Investment'!$A$24:$G$33,5,FALSE)),VLOOKUP($C102,'A4 Investment'!$A$24:$G$33,5,FALSE)*'A4 Investment'!E$18/12,0))</f>
        <v>0</v>
      </c>
      <c r="G102" s="150">
        <f>IF(B102="NA","NA",IF(ISNUMBER(VLOOKUP($C102,'A4 Investment'!$A$24:$G$33,6,FALSE)),VLOOKUP($C102,'A4 Investment'!$A$24:$G$33,6,FALSE)*'A4 Investment'!F$18/12,0))</f>
        <v>0</v>
      </c>
      <c r="H102" s="181">
        <f>IF(B102="NA","NA",IF(ISNUMBER(VLOOKUP($C102,'A4 Investment'!$A$24:$G$33,7,FALSE)),VLOOKUP($C102,'A4 Investment'!$A$24:$G$33,7,FALSE)*'A4 Investment'!G$18/12,0))</f>
        <v>0</v>
      </c>
      <c r="I102" s="160">
        <f t="shared" si="8"/>
        <v>8904.1666666666661</v>
      </c>
    </row>
    <row r="103" spans="1:9" x14ac:dyDescent="0.2">
      <c r="A103" s="86">
        <f t="shared" si="9"/>
        <v>2436</v>
      </c>
      <c r="B103" s="142">
        <f t="shared" si="10"/>
        <v>81</v>
      </c>
      <c r="C103" s="143">
        <f t="shared" si="11"/>
        <v>1</v>
      </c>
      <c r="D103" s="149">
        <f>IF(B103="NA","NA",IF(ISNUMBER(VLOOKUP($C103,'A4 Investment'!$A$24:$G$33,3,FALSE)),VLOOKUP($C103,'A4 Investment'!$A$24:$G$33,3,FALSE)*'A4 Investment'!C$18/12,0))</f>
        <v>8904.1666666666661</v>
      </c>
      <c r="E103" s="150">
        <f>IF(B103="NA","NA",IF(ISNUMBER(VLOOKUP($C103,'A4 Investment'!$A$24:$G$33,4,FALSE)),VLOOKUP($C103,'A4 Investment'!$A$24:$G$33,4,FALSE)*'A4 Investment'!D$18/12,0))</f>
        <v>0</v>
      </c>
      <c r="F103" s="150">
        <f>IF(B103="NA","NA",IF(ISNUMBER(VLOOKUP($C103,'A4 Investment'!$A$24:$G$33,5,FALSE)),VLOOKUP($C103,'A4 Investment'!$A$24:$G$33,5,FALSE)*'A4 Investment'!E$18/12,0))</f>
        <v>0</v>
      </c>
      <c r="G103" s="150">
        <f>IF(B103="NA","NA",IF(ISNUMBER(VLOOKUP($C103,'A4 Investment'!$A$24:$G$33,6,FALSE)),VLOOKUP($C103,'A4 Investment'!$A$24:$G$33,6,FALSE)*'A4 Investment'!F$18/12,0))</f>
        <v>0</v>
      </c>
      <c r="H103" s="181">
        <f>IF(B103="NA","NA",IF(ISNUMBER(VLOOKUP($C103,'A4 Investment'!$A$24:$G$33,7,FALSE)),VLOOKUP($C103,'A4 Investment'!$A$24:$G$33,7,FALSE)*'A4 Investment'!G$18/12,0))</f>
        <v>0</v>
      </c>
      <c r="I103" s="160">
        <f t="shared" si="8"/>
        <v>8904.1666666666661</v>
      </c>
    </row>
    <row r="104" spans="1:9" x14ac:dyDescent="0.2">
      <c r="A104" s="86">
        <f t="shared" si="9"/>
        <v>2466</v>
      </c>
      <c r="B104" s="142">
        <f t="shared" si="10"/>
        <v>82</v>
      </c>
      <c r="C104" s="143">
        <f t="shared" si="11"/>
        <v>1</v>
      </c>
      <c r="D104" s="149">
        <f>IF(B104="NA","NA",IF(ISNUMBER(VLOOKUP($C104,'A4 Investment'!$A$24:$G$33,3,FALSE)),VLOOKUP($C104,'A4 Investment'!$A$24:$G$33,3,FALSE)*'A4 Investment'!C$18/12,0))</f>
        <v>8904.1666666666661</v>
      </c>
      <c r="E104" s="150">
        <f>IF(B104="NA","NA",IF(ISNUMBER(VLOOKUP($C104,'A4 Investment'!$A$24:$G$33,4,FALSE)),VLOOKUP($C104,'A4 Investment'!$A$24:$G$33,4,FALSE)*'A4 Investment'!D$18/12,0))</f>
        <v>0</v>
      </c>
      <c r="F104" s="150">
        <f>IF(B104="NA","NA",IF(ISNUMBER(VLOOKUP($C104,'A4 Investment'!$A$24:$G$33,5,FALSE)),VLOOKUP($C104,'A4 Investment'!$A$24:$G$33,5,FALSE)*'A4 Investment'!E$18/12,0))</f>
        <v>0</v>
      </c>
      <c r="G104" s="150">
        <f>IF(B104="NA","NA",IF(ISNUMBER(VLOOKUP($C104,'A4 Investment'!$A$24:$G$33,6,FALSE)),VLOOKUP($C104,'A4 Investment'!$A$24:$G$33,6,FALSE)*'A4 Investment'!F$18/12,0))</f>
        <v>0</v>
      </c>
      <c r="H104" s="181">
        <f>IF(B104="NA","NA",IF(ISNUMBER(VLOOKUP($C104,'A4 Investment'!$A$24:$G$33,7,FALSE)),VLOOKUP($C104,'A4 Investment'!$A$24:$G$33,7,FALSE)*'A4 Investment'!G$18/12,0))</f>
        <v>0</v>
      </c>
      <c r="I104" s="160">
        <f t="shared" si="8"/>
        <v>8904.1666666666661</v>
      </c>
    </row>
    <row r="105" spans="1:9" x14ac:dyDescent="0.2">
      <c r="A105" s="86">
        <f t="shared" si="9"/>
        <v>2497</v>
      </c>
      <c r="B105" s="142">
        <f t="shared" si="10"/>
        <v>83</v>
      </c>
      <c r="C105" s="143">
        <f t="shared" si="11"/>
        <v>1</v>
      </c>
      <c r="D105" s="149">
        <f>IF(B105="NA","NA",IF(ISNUMBER(VLOOKUP($C105,'A4 Investment'!$A$24:$G$33,3,FALSE)),VLOOKUP($C105,'A4 Investment'!$A$24:$G$33,3,FALSE)*'A4 Investment'!C$18/12,0))</f>
        <v>8904.1666666666661</v>
      </c>
      <c r="E105" s="150">
        <f>IF(B105="NA","NA",IF(ISNUMBER(VLOOKUP($C105,'A4 Investment'!$A$24:$G$33,4,FALSE)),VLOOKUP($C105,'A4 Investment'!$A$24:$G$33,4,FALSE)*'A4 Investment'!D$18/12,0))</f>
        <v>0</v>
      </c>
      <c r="F105" s="150">
        <f>IF(B105="NA","NA",IF(ISNUMBER(VLOOKUP($C105,'A4 Investment'!$A$24:$G$33,5,FALSE)),VLOOKUP($C105,'A4 Investment'!$A$24:$G$33,5,FALSE)*'A4 Investment'!E$18/12,0))</f>
        <v>0</v>
      </c>
      <c r="G105" s="150">
        <f>IF(B105="NA","NA",IF(ISNUMBER(VLOOKUP($C105,'A4 Investment'!$A$24:$G$33,6,FALSE)),VLOOKUP($C105,'A4 Investment'!$A$24:$G$33,6,FALSE)*'A4 Investment'!F$18/12,0))</f>
        <v>0</v>
      </c>
      <c r="H105" s="181">
        <f>IF(B105="NA","NA",IF(ISNUMBER(VLOOKUP($C105,'A4 Investment'!$A$24:$G$33,7,FALSE)),VLOOKUP($C105,'A4 Investment'!$A$24:$G$33,7,FALSE)*'A4 Investment'!G$18/12,0))</f>
        <v>0</v>
      </c>
      <c r="I105" s="160">
        <f t="shared" si="8"/>
        <v>8904.1666666666661</v>
      </c>
    </row>
    <row r="106" spans="1:9" x14ac:dyDescent="0.2">
      <c r="A106" s="86">
        <f t="shared" si="9"/>
        <v>2527</v>
      </c>
      <c r="B106" s="142">
        <f t="shared" si="10"/>
        <v>84</v>
      </c>
      <c r="C106" s="143">
        <f t="shared" si="11"/>
        <v>1</v>
      </c>
      <c r="D106" s="149">
        <f>IF(B106="NA","NA",IF(ISNUMBER(VLOOKUP($C106,'A4 Investment'!$A$24:$G$33,3,FALSE)),VLOOKUP($C106,'A4 Investment'!$A$24:$G$33,3,FALSE)*'A4 Investment'!C$18/12,0))</f>
        <v>8904.1666666666661</v>
      </c>
      <c r="E106" s="150">
        <f>IF(B106="NA","NA",IF(ISNUMBER(VLOOKUP($C106,'A4 Investment'!$A$24:$G$33,4,FALSE)),VLOOKUP($C106,'A4 Investment'!$A$24:$G$33,4,FALSE)*'A4 Investment'!D$18/12,0))</f>
        <v>0</v>
      </c>
      <c r="F106" s="150">
        <f>IF(B106="NA","NA",IF(ISNUMBER(VLOOKUP($C106,'A4 Investment'!$A$24:$G$33,5,FALSE)),VLOOKUP($C106,'A4 Investment'!$A$24:$G$33,5,FALSE)*'A4 Investment'!E$18/12,0))</f>
        <v>0</v>
      </c>
      <c r="G106" s="150">
        <f>IF(B106="NA","NA",IF(ISNUMBER(VLOOKUP($C106,'A4 Investment'!$A$24:$G$33,6,FALSE)),VLOOKUP($C106,'A4 Investment'!$A$24:$G$33,6,FALSE)*'A4 Investment'!F$18/12,0))</f>
        <v>0</v>
      </c>
      <c r="H106" s="181">
        <f>IF(B106="NA","NA",IF(ISNUMBER(VLOOKUP($C106,'A4 Investment'!$A$24:$G$33,7,FALSE)),VLOOKUP($C106,'A4 Investment'!$A$24:$G$33,7,FALSE)*'A4 Investment'!G$18/12,0))</f>
        <v>0</v>
      </c>
      <c r="I106" s="160">
        <f t="shared" si="8"/>
        <v>8904.1666666666661</v>
      </c>
    </row>
    <row r="107" spans="1:9" x14ac:dyDescent="0.2">
      <c r="A107" s="86">
        <f t="shared" si="9"/>
        <v>2558</v>
      </c>
      <c r="B107" s="142">
        <f t="shared" si="10"/>
        <v>85</v>
      </c>
      <c r="C107" s="143">
        <f t="shared" si="11"/>
        <v>1</v>
      </c>
      <c r="D107" s="149">
        <f>IF(B107="NA","NA",IF(ISNUMBER(VLOOKUP($C107,'A4 Investment'!$A$24:$G$33,3,FALSE)),VLOOKUP($C107,'A4 Investment'!$A$24:$G$33,3,FALSE)*'A4 Investment'!C$18/12,0))</f>
        <v>8904.1666666666661</v>
      </c>
      <c r="E107" s="150">
        <f>IF(B107="NA","NA",IF(ISNUMBER(VLOOKUP($C107,'A4 Investment'!$A$24:$G$33,4,FALSE)),VLOOKUP($C107,'A4 Investment'!$A$24:$G$33,4,FALSE)*'A4 Investment'!D$18/12,0))</f>
        <v>0</v>
      </c>
      <c r="F107" s="150">
        <f>IF(B107="NA","NA",IF(ISNUMBER(VLOOKUP($C107,'A4 Investment'!$A$24:$G$33,5,FALSE)),VLOOKUP($C107,'A4 Investment'!$A$24:$G$33,5,FALSE)*'A4 Investment'!E$18/12,0))</f>
        <v>0</v>
      </c>
      <c r="G107" s="150">
        <f>IF(B107="NA","NA",IF(ISNUMBER(VLOOKUP($C107,'A4 Investment'!$A$24:$G$33,6,FALSE)),VLOOKUP($C107,'A4 Investment'!$A$24:$G$33,6,FALSE)*'A4 Investment'!F$18/12,0))</f>
        <v>0</v>
      </c>
      <c r="H107" s="181">
        <f>IF(B107="NA","NA",IF(ISNUMBER(VLOOKUP($C107,'A4 Investment'!$A$24:$G$33,7,FALSE)),VLOOKUP($C107,'A4 Investment'!$A$24:$G$33,7,FALSE)*'A4 Investment'!G$18/12,0))</f>
        <v>0</v>
      </c>
      <c r="I107" s="160">
        <f t="shared" si="8"/>
        <v>8904.1666666666661</v>
      </c>
    </row>
    <row r="108" spans="1:9" x14ac:dyDescent="0.2">
      <c r="A108" s="86">
        <f t="shared" si="9"/>
        <v>2589</v>
      </c>
      <c r="B108" s="142">
        <f t="shared" si="10"/>
        <v>86</v>
      </c>
      <c r="C108" s="143">
        <f t="shared" si="11"/>
        <v>1</v>
      </c>
      <c r="D108" s="149">
        <f>IF(B108="NA","NA",IF(ISNUMBER(VLOOKUP($C108,'A4 Investment'!$A$24:$G$33,3,FALSE)),VLOOKUP($C108,'A4 Investment'!$A$24:$G$33,3,FALSE)*'A4 Investment'!C$18/12,0))</f>
        <v>8904.1666666666661</v>
      </c>
      <c r="E108" s="150">
        <f>IF(B108="NA","NA",IF(ISNUMBER(VLOOKUP($C108,'A4 Investment'!$A$24:$G$33,4,FALSE)),VLOOKUP($C108,'A4 Investment'!$A$24:$G$33,4,FALSE)*'A4 Investment'!D$18/12,0))</f>
        <v>0</v>
      </c>
      <c r="F108" s="150">
        <f>IF(B108="NA","NA",IF(ISNUMBER(VLOOKUP($C108,'A4 Investment'!$A$24:$G$33,5,FALSE)),VLOOKUP($C108,'A4 Investment'!$A$24:$G$33,5,FALSE)*'A4 Investment'!E$18/12,0))</f>
        <v>0</v>
      </c>
      <c r="G108" s="150">
        <f>IF(B108="NA","NA",IF(ISNUMBER(VLOOKUP($C108,'A4 Investment'!$A$24:$G$33,6,FALSE)),VLOOKUP($C108,'A4 Investment'!$A$24:$G$33,6,FALSE)*'A4 Investment'!F$18/12,0))</f>
        <v>0</v>
      </c>
      <c r="H108" s="181">
        <f>IF(B108="NA","NA",IF(ISNUMBER(VLOOKUP($C108,'A4 Investment'!$A$24:$G$33,7,FALSE)),VLOOKUP($C108,'A4 Investment'!$A$24:$G$33,7,FALSE)*'A4 Investment'!G$18/12,0))</f>
        <v>0</v>
      </c>
      <c r="I108" s="160">
        <f t="shared" si="8"/>
        <v>8904.1666666666661</v>
      </c>
    </row>
    <row r="109" spans="1:9" x14ac:dyDescent="0.2">
      <c r="A109" s="86">
        <f t="shared" si="9"/>
        <v>2617</v>
      </c>
      <c r="B109" s="142">
        <f t="shared" si="10"/>
        <v>87</v>
      </c>
      <c r="C109" s="143">
        <f t="shared" si="11"/>
        <v>1</v>
      </c>
      <c r="D109" s="149">
        <f>IF(B109="NA","NA",IF(ISNUMBER(VLOOKUP($C109,'A4 Investment'!$A$24:$G$33,3,FALSE)),VLOOKUP($C109,'A4 Investment'!$A$24:$G$33,3,FALSE)*'A4 Investment'!C$18/12,0))</f>
        <v>8904.1666666666661</v>
      </c>
      <c r="E109" s="150">
        <f>IF(B109="NA","NA",IF(ISNUMBER(VLOOKUP($C109,'A4 Investment'!$A$24:$G$33,4,FALSE)),VLOOKUP($C109,'A4 Investment'!$A$24:$G$33,4,FALSE)*'A4 Investment'!D$18/12,0))</f>
        <v>0</v>
      </c>
      <c r="F109" s="150">
        <f>IF(B109="NA","NA",IF(ISNUMBER(VLOOKUP($C109,'A4 Investment'!$A$24:$G$33,5,FALSE)),VLOOKUP($C109,'A4 Investment'!$A$24:$G$33,5,FALSE)*'A4 Investment'!E$18/12,0))</f>
        <v>0</v>
      </c>
      <c r="G109" s="150">
        <f>IF(B109="NA","NA",IF(ISNUMBER(VLOOKUP($C109,'A4 Investment'!$A$24:$G$33,6,FALSE)),VLOOKUP($C109,'A4 Investment'!$A$24:$G$33,6,FALSE)*'A4 Investment'!F$18/12,0))</f>
        <v>0</v>
      </c>
      <c r="H109" s="181">
        <f>IF(B109="NA","NA",IF(ISNUMBER(VLOOKUP($C109,'A4 Investment'!$A$24:$G$33,7,FALSE)),VLOOKUP($C109,'A4 Investment'!$A$24:$G$33,7,FALSE)*'A4 Investment'!G$18/12,0))</f>
        <v>0</v>
      </c>
      <c r="I109" s="160">
        <f t="shared" si="8"/>
        <v>8904.1666666666661</v>
      </c>
    </row>
    <row r="110" spans="1:9" x14ac:dyDescent="0.2">
      <c r="A110" s="86">
        <f t="shared" si="9"/>
        <v>2648</v>
      </c>
      <c r="B110" s="142">
        <f t="shared" si="10"/>
        <v>88</v>
      </c>
      <c r="C110" s="143">
        <f t="shared" si="11"/>
        <v>1</v>
      </c>
      <c r="D110" s="149">
        <f>IF(B110="NA","NA",IF(ISNUMBER(VLOOKUP($C110,'A4 Investment'!$A$24:$G$33,3,FALSE)),VLOOKUP($C110,'A4 Investment'!$A$24:$G$33,3,FALSE)*'A4 Investment'!C$18/12,0))</f>
        <v>8904.1666666666661</v>
      </c>
      <c r="E110" s="150">
        <f>IF(B110="NA","NA",IF(ISNUMBER(VLOOKUP($C110,'A4 Investment'!$A$24:$G$33,4,FALSE)),VLOOKUP($C110,'A4 Investment'!$A$24:$G$33,4,FALSE)*'A4 Investment'!D$18/12,0))</f>
        <v>0</v>
      </c>
      <c r="F110" s="150">
        <f>IF(B110="NA","NA",IF(ISNUMBER(VLOOKUP($C110,'A4 Investment'!$A$24:$G$33,5,FALSE)),VLOOKUP($C110,'A4 Investment'!$A$24:$G$33,5,FALSE)*'A4 Investment'!E$18/12,0))</f>
        <v>0</v>
      </c>
      <c r="G110" s="150">
        <f>IF(B110="NA","NA",IF(ISNUMBER(VLOOKUP($C110,'A4 Investment'!$A$24:$G$33,6,FALSE)),VLOOKUP($C110,'A4 Investment'!$A$24:$G$33,6,FALSE)*'A4 Investment'!F$18/12,0))</f>
        <v>0</v>
      </c>
      <c r="H110" s="181">
        <f>IF(B110="NA","NA",IF(ISNUMBER(VLOOKUP($C110,'A4 Investment'!$A$24:$G$33,7,FALSE)),VLOOKUP($C110,'A4 Investment'!$A$24:$G$33,7,FALSE)*'A4 Investment'!G$18/12,0))</f>
        <v>0</v>
      </c>
      <c r="I110" s="160">
        <f t="shared" si="8"/>
        <v>8904.1666666666661</v>
      </c>
    </row>
    <row r="111" spans="1:9" x14ac:dyDescent="0.2">
      <c r="A111" s="86">
        <f t="shared" si="9"/>
        <v>2678</v>
      </c>
      <c r="B111" s="142">
        <f t="shared" si="10"/>
        <v>89</v>
      </c>
      <c r="C111" s="143">
        <f t="shared" si="11"/>
        <v>1</v>
      </c>
      <c r="D111" s="149">
        <f>IF(B111="NA","NA",IF(ISNUMBER(VLOOKUP($C111,'A4 Investment'!$A$24:$G$33,3,FALSE)),VLOOKUP($C111,'A4 Investment'!$A$24:$G$33,3,FALSE)*'A4 Investment'!C$18/12,0))</f>
        <v>8904.1666666666661</v>
      </c>
      <c r="E111" s="150">
        <f>IF(B111="NA","NA",IF(ISNUMBER(VLOOKUP($C111,'A4 Investment'!$A$24:$G$33,4,FALSE)),VLOOKUP($C111,'A4 Investment'!$A$24:$G$33,4,FALSE)*'A4 Investment'!D$18/12,0))</f>
        <v>0</v>
      </c>
      <c r="F111" s="150">
        <f>IF(B111="NA","NA",IF(ISNUMBER(VLOOKUP($C111,'A4 Investment'!$A$24:$G$33,5,FALSE)),VLOOKUP($C111,'A4 Investment'!$A$24:$G$33,5,FALSE)*'A4 Investment'!E$18/12,0))</f>
        <v>0</v>
      </c>
      <c r="G111" s="150">
        <f>IF(B111="NA","NA",IF(ISNUMBER(VLOOKUP($C111,'A4 Investment'!$A$24:$G$33,6,FALSE)),VLOOKUP($C111,'A4 Investment'!$A$24:$G$33,6,FALSE)*'A4 Investment'!F$18/12,0))</f>
        <v>0</v>
      </c>
      <c r="H111" s="181">
        <f>IF(B111="NA","NA",IF(ISNUMBER(VLOOKUP($C111,'A4 Investment'!$A$24:$G$33,7,FALSE)),VLOOKUP($C111,'A4 Investment'!$A$24:$G$33,7,FALSE)*'A4 Investment'!G$18/12,0))</f>
        <v>0</v>
      </c>
      <c r="I111" s="160">
        <f t="shared" si="8"/>
        <v>8904.1666666666661</v>
      </c>
    </row>
    <row r="112" spans="1:9" x14ac:dyDescent="0.2">
      <c r="A112" s="86">
        <f t="shared" si="9"/>
        <v>2709</v>
      </c>
      <c r="B112" s="142">
        <f t="shared" si="10"/>
        <v>90</v>
      </c>
      <c r="C112" s="143">
        <f t="shared" si="11"/>
        <v>1</v>
      </c>
      <c r="D112" s="149">
        <f>IF(B112="NA","NA",IF(ISNUMBER(VLOOKUP($C112,'A4 Investment'!$A$24:$G$33,3,FALSE)),VLOOKUP($C112,'A4 Investment'!$A$24:$G$33,3,FALSE)*'A4 Investment'!C$18/12,0))</f>
        <v>8904.1666666666661</v>
      </c>
      <c r="E112" s="150">
        <f>IF(B112="NA","NA",IF(ISNUMBER(VLOOKUP($C112,'A4 Investment'!$A$24:$G$33,4,FALSE)),VLOOKUP($C112,'A4 Investment'!$A$24:$G$33,4,FALSE)*'A4 Investment'!D$18/12,0))</f>
        <v>0</v>
      </c>
      <c r="F112" s="150">
        <f>IF(B112="NA","NA",IF(ISNUMBER(VLOOKUP($C112,'A4 Investment'!$A$24:$G$33,5,FALSE)),VLOOKUP($C112,'A4 Investment'!$A$24:$G$33,5,FALSE)*'A4 Investment'!E$18/12,0))</f>
        <v>0</v>
      </c>
      <c r="G112" s="150">
        <f>IF(B112="NA","NA",IF(ISNUMBER(VLOOKUP($C112,'A4 Investment'!$A$24:$G$33,6,FALSE)),VLOOKUP($C112,'A4 Investment'!$A$24:$G$33,6,FALSE)*'A4 Investment'!F$18/12,0))</f>
        <v>0</v>
      </c>
      <c r="H112" s="181">
        <f>IF(B112="NA","NA",IF(ISNUMBER(VLOOKUP($C112,'A4 Investment'!$A$24:$G$33,7,FALSE)),VLOOKUP($C112,'A4 Investment'!$A$24:$G$33,7,FALSE)*'A4 Investment'!G$18/12,0))</f>
        <v>0</v>
      </c>
      <c r="I112" s="160">
        <f t="shared" si="8"/>
        <v>8904.1666666666661</v>
      </c>
    </row>
    <row r="113" spans="1:9" x14ac:dyDescent="0.2">
      <c r="A113" s="86">
        <f t="shared" si="9"/>
        <v>2739</v>
      </c>
      <c r="B113" s="142">
        <f t="shared" si="10"/>
        <v>91</v>
      </c>
      <c r="C113" s="143">
        <f t="shared" si="11"/>
        <v>1</v>
      </c>
      <c r="D113" s="149">
        <f>IF(B113="NA","NA",IF(ISNUMBER(VLOOKUP($C113,'A4 Investment'!$A$24:$G$33,3,FALSE)),VLOOKUP($C113,'A4 Investment'!$A$24:$G$33,3,FALSE)*'A4 Investment'!C$18/12,0))</f>
        <v>8904.1666666666661</v>
      </c>
      <c r="E113" s="150">
        <f>IF(B113="NA","NA",IF(ISNUMBER(VLOOKUP($C113,'A4 Investment'!$A$24:$G$33,4,FALSE)),VLOOKUP($C113,'A4 Investment'!$A$24:$G$33,4,FALSE)*'A4 Investment'!D$18/12,0))</f>
        <v>0</v>
      </c>
      <c r="F113" s="150">
        <f>IF(B113="NA","NA",IF(ISNUMBER(VLOOKUP($C113,'A4 Investment'!$A$24:$G$33,5,FALSE)),VLOOKUP($C113,'A4 Investment'!$A$24:$G$33,5,FALSE)*'A4 Investment'!E$18/12,0))</f>
        <v>0</v>
      </c>
      <c r="G113" s="150">
        <f>IF(B113="NA","NA",IF(ISNUMBER(VLOOKUP($C113,'A4 Investment'!$A$24:$G$33,6,FALSE)),VLOOKUP($C113,'A4 Investment'!$A$24:$G$33,6,FALSE)*'A4 Investment'!F$18/12,0))</f>
        <v>0</v>
      </c>
      <c r="H113" s="181">
        <f>IF(B113="NA","NA",IF(ISNUMBER(VLOOKUP($C113,'A4 Investment'!$A$24:$G$33,7,FALSE)),VLOOKUP($C113,'A4 Investment'!$A$24:$G$33,7,FALSE)*'A4 Investment'!G$18/12,0))</f>
        <v>0</v>
      </c>
      <c r="I113" s="160">
        <f t="shared" si="8"/>
        <v>8904.1666666666661</v>
      </c>
    </row>
    <row r="114" spans="1:9" x14ac:dyDescent="0.2">
      <c r="A114" s="86">
        <f t="shared" si="9"/>
        <v>2770</v>
      </c>
      <c r="B114" s="142">
        <f t="shared" si="10"/>
        <v>92</v>
      </c>
      <c r="C114" s="143">
        <f t="shared" si="11"/>
        <v>1</v>
      </c>
      <c r="D114" s="149">
        <f>IF(B114="NA","NA",IF(ISNUMBER(VLOOKUP($C114,'A4 Investment'!$A$24:$G$33,3,FALSE)),VLOOKUP($C114,'A4 Investment'!$A$24:$G$33,3,FALSE)*'A4 Investment'!C$18/12,0))</f>
        <v>8904.1666666666661</v>
      </c>
      <c r="E114" s="150">
        <f>IF(B114="NA","NA",IF(ISNUMBER(VLOOKUP($C114,'A4 Investment'!$A$24:$G$33,4,FALSE)),VLOOKUP($C114,'A4 Investment'!$A$24:$G$33,4,FALSE)*'A4 Investment'!D$18/12,0))</f>
        <v>0</v>
      </c>
      <c r="F114" s="150">
        <f>IF(B114="NA","NA",IF(ISNUMBER(VLOOKUP($C114,'A4 Investment'!$A$24:$G$33,5,FALSE)),VLOOKUP($C114,'A4 Investment'!$A$24:$G$33,5,FALSE)*'A4 Investment'!E$18/12,0))</f>
        <v>0</v>
      </c>
      <c r="G114" s="150">
        <f>IF(B114="NA","NA",IF(ISNUMBER(VLOOKUP($C114,'A4 Investment'!$A$24:$G$33,6,FALSE)),VLOOKUP($C114,'A4 Investment'!$A$24:$G$33,6,FALSE)*'A4 Investment'!F$18/12,0))</f>
        <v>0</v>
      </c>
      <c r="H114" s="181">
        <f>IF(B114="NA","NA",IF(ISNUMBER(VLOOKUP($C114,'A4 Investment'!$A$24:$G$33,7,FALSE)),VLOOKUP($C114,'A4 Investment'!$A$24:$G$33,7,FALSE)*'A4 Investment'!G$18/12,0))</f>
        <v>0</v>
      </c>
      <c r="I114" s="160">
        <f t="shared" si="8"/>
        <v>8904.1666666666661</v>
      </c>
    </row>
    <row r="115" spans="1:9" x14ac:dyDescent="0.2">
      <c r="A115" s="86">
        <f t="shared" si="9"/>
        <v>2801</v>
      </c>
      <c r="B115" s="142">
        <f t="shared" si="10"/>
        <v>93</v>
      </c>
      <c r="C115" s="143">
        <f t="shared" si="11"/>
        <v>1</v>
      </c>
      <c r="D115" s="149">
        <f>IF(B115="NA","NA",IF(ISNUMBER(VLOOKUP($C115,'A4 Investment'!$A$24:$G$33,3,FALSE)),VLOOKUP($C115,'A4 Investment'!$A$24:$G$33,3,FALSE)*'A4 Investment'!C$18/12,0))</f>
        <v>8904.1666666666661</v>
      </c>
      <c r="E115" s="150">
        <f>IF(B115="NA","NA",IF(ISNUMBER(VLOOKUP($C115,'A4 Investment'!$A$24:$G$33,4,FALSE)),VLOOKUP($C115,'A4 Investment'!$A$24:$G$33,4,FALSE)*'A4 Investment'!D$18/12,0))</f>
        <v>0</v>
      </c>
      <c r="F115" s="150">
        <f>IF(B115="NA","NA",IF(ISNUMBER(VLOOKUP($C115,'A4 Investment'!$A$24:$G$33,5,FALSE)),VLOOKUP($C115,'A4 Investment'!$A$24:$G$33,5,FALSE)*'A4 Investment'!E$18/12,0))</f>
        <v>0</v>
      </c>
      <c r="G115" s="150">
        <f>IF(B115="NA","NA",IF(ISNUMBER(VLOOKUP($C115,'A4 Investment'!$A$24:$G$33,6,FALSE)),VLOOKUP($C115,'A4 Investment'!$A$24:$G$33,6,FALSE)*'A4 Investment'!F$18/12,0))</f>
        <v>0</v>
      </c>
      <c r="H115" s="181">
        <f>IF(B115="NA","NA",IF(ISNUMBER(VLOOKUP($C115,'A4 Investment'!$A$24:$G$33,7,FALSE)),VLOOKUP($C115,'A4 Investment'!$A$24:$G$33,7,FALSE)*'A4 Investment'!G$18/12,0))</f>
        <v>0</v>
      </c>
      <c r="I115" s="160">
        <f t="shared" ref="I115:I146" si="12">IF(B115="NA","NA",SUM(D115:H115))</f>
        <v>8904.1666666666661</v>
      </c>
    </row>
    <row r="116" spans="1:9" x14ac:dyDescent="0.2">
      <c r="A116" s="86">
        <f t="shared" si="9"/>
        <v>2831</v>
      </c>
      <c r="B116" s="142">
        <f t="shared" si="10"/>
        <v>94</v>
      </c>
      <c r="C116" s="143">
        <f t="shared" si="11"/>
        <v>1</v>
      </c>
      <c r="D116" s="149">
        <f>IF(B116="NA","NA",IF(ISNUMBER(VLOOKUP($C116,'A4 Investment'!$A$24:$G$33,3,FALSE)),VLOOKUP($C116,'A4 Investment'!$A$24:$G$33,3,FALSE)*'A4 Investment'!C$18/12,0))</f>
        <v>8904.1666666666661</v>
      </c>
      <c r="E116" s="150">
        <f>IF(B116="NA","NA",IF(ISNUMBER(VLOOKUP($C116,'A4 Investment'!$A$24:$G$33,4,FALSE)),VLOOKUP($C116,'A4 Investment'!$A$24:$G$33,4,FALSE)*'A4 Investment'!D$18/12,0))</f>
        <v>0</v>
      </c>
      <c r="F116" s="150">
        <f>IF(B116="NA","NA",IF(ISNUMBER(VLOOKUP($C116,'A4 Investment'!$A$24:$G$33,5,FALSE)),VLOOKUP($C116,'A4 Investment'!$A$24:$G$33,5,FALSE)*'A4 Investment'!E$18/12,0))</f>
        <v>0</v>
      </c>
      <c r="G116" s="150">
        <f>IF(B116="NA","NA",IF(ISNUMBER(VLOOKUP($C116,'A4 Investment'!$A$24:$G$33,6,FALSE)),VLOOKUP($C116,'A4 Investment'!$A$24:$G$33,6,FALSE)*'A4 Investment'!F$18/12,0))</f>
        <v>0</v>
      </c>
      <c r="H116" s="181">
        <f>IF(B116="NA","NA",IF(ISNUMBER(VLOOKUP($C116,'A4 Investment'!$A$24:$G$33,7,FALSE)),VLOOKUP($C116,'A4 Investment'!$A$24:$G$33,7,FALSE)*'A4 Investment'!G$18/12,0))</f>
        <v>0</v>
      </c>
      <c r="I116" s="160">
        <f t="shared" si="12"/>
        <v>8904.1666666666661</v>
      </c>
    </row>
    <row r="117" spans="1:9" x14ac:dyDescent="0.2">
      <c r="A117" s="86">
        <f t="shared" si="9"/>
        <v>2862</v>
      </c>
      <c r="B117" s="142">
        <f t="shared" si="10"/>
        <v>95</v>
      </c>
      <c r="C117" s="143">
        <f t="shared" si="11"/>
        <v>1</v>
      </c>
      <c r="D117" s="149">
        <f>IF(B117="NA","NA",IF(ISNUMBER(VLOOKUP($C117,'A4 Investment'!$A$24:$G$33,3,FALSE)),VLOOKUP($C117,'A4 Investment'!$A$24:$G$33,3,FALSE)*'A4 Investment'!C$18/12,0))</f>
        <v>8904.1666666666661</v>
      </c>
      <c r="E117" s="150">
        <f>IF(B117="NA","NA",IF(ISNUMBER(VLOOKUP($C117,'A4 Investment'!$A$24:$G$33,4,FALSE)),VLOOKUP($C117,'A4 Investment'!$A$24:$G$33,4,FALSE)*'A4 Investment'!D$18/12,0))</f>
        <v>0</v>
      </c>
      <c r="F117" s="150">
        <f>IF(B117="NA","NA",IF(ISNUMBER(VLOOKUP($C117,'A4 Investment'!$A$24:$G$33,5,FALSE)),VLOOKUP($C117,'A4 Investment'!$A$24:$G$33,5,FALSE)*'A4 Investment'!E$18/12,0))</f>
        <v>0</v>
      </c>
      <c r="G117" s="150">
        <f>IF(B117="NA","NA",IF(ISNUMBER(VLOOKUP($C117,'A4 Investment'!$A$24:$G$33,6,FALSE)),VLOOKUP($C117,'A4 Investment'!$A$24:$G$33,6,FALSE)*'A4 Investment'!F$18/12,0))</f>
        <v>0</v>
      </c>
      <c r="H117" s="181">
        <f>IF(B117="NA","NA",IF(ISNUMBER(VLOOKUP($C117,'A4 Investment'!$A$24:$G$33,7,FALSE)),VLOOKUP($C117,'A4 Investment'!$A$24:$G$33,7,FALSE)*'A4 Investment'!G$18/12,0))</f>
        <v>0</v>
      </c>
      <c r="I117" s="160">
        <f t="shared" si="12"/>
        <v>8904.1666666666661</v>
      </c>
    </row>
    <row r="118" spans="1:9" x14ac:dyDescent="0.2">
      <c r="A118" s="86">
        <f t="shared" si="9"/>
        <v>2892</v>
      </c>
      <c r="B118" s="142">
        <f t="shared" si="10"/>
        <v>96</v>
      </c>
      <c r="C118" s="143">
        <f t="shared" si="11"/>
        <v>1</v>
      </c>
      <c r="D118" s="149">
        <f>IF(B118="NA","NA",IF(ISNUMBER(VLOOKUP($C118,'A4 Investment'!$A$24:$G$33,3,FALSE)),VLOOKUP($C118,'A4 Investment'!$A$24:$G$33,3,FALSE)*'A4 Investment'!C$18/12,0))</f>
        <v>8904.1666666666661</v>
      </c>
      <c r="E118" s="150">
        <f>IF(B118="NA","NA",IF(ISNUMBER(VLOOKUP($C118,'A4 Investment'!$A$24:$G$33,4,FALSE)),VLOOKUP($C118,'A4 Investment'!$A$24:$G$33,4,FALSE)*'A4 Investment'!D$18/12,0))</f>
        <v>0</v>
      </c>
      <c r="F118" s="150">
        <f>IF(B118="NA","NA",IF(ISNUMBER(VLOOKUP($C118,'A4 Investment'!$A$24:$G$33,5,FALSE)),VLOOKUP($C118,'A4 Investment'!$A$24:$G$33,5,FALSE)*'A4 Investment'!E$18/12,0))</f>
        <v>0</v>
      </c>
      <c r="G118" s="150">
        <f>IF(B118="NA","NA",IF(ISNUMBER(VLOOKUP($C118,'A4 Investment'!$A$24:$G$33,6,FALSE)),VLOOKUP($C118,'A4 Investment'!$A$24:$G$33,6,FALSE)*'A4 Investment'!F$18/12,0))</f>
        <v>0</v>
      </c>
      <c r="H118" s="181">
        <f>IF(B118="NA","NA",IF(ISNUMBER(VLOOKUP($C118,'A4 Investment'!$A$24:$G$33,7,FALSE)),VLOOKUP($C118,'A4 Investment'!$A$24:$G$33,7,FALSE)*'A4 Investment'!G$18/12,0))</f>
        <v>0</v>
      </c>
      <c r="I118" s="160">
        <f t="shared" si="12"/>
        <v>8904.1666666666661</v>
      </c>
    </row>
    <row r="119" spans="1:9" x14ac:dyDescent="0.2">
      <c r="A119" s="86">
        <f t="shared" si="9"/>
        <v>2923</v>
      </c>
      <c r="B119" s="142">
        <f t="shared" si="10"/>
        <v>97</v>
      </c>
      <c r="C119" s="143">
        <f t="shared" si="11"/>
        <v>1</v>
      </c>
      <c r="D119" s="149">
        <f>IF(B119="NA","NA",IF(ISNUMBER(VLOOKUP($C119,'A4 Investment'!$A$24:$G$33,3,FALSE)),VLOOKUP($C119,'A4 Investment'!$A$24:$G$33,3,FALSE)*'A4 Investment'!C$18/12,0))</f>
        <v>8904.1666666666661</v>
      </c>
      <c r="E119" s="150">
        <f>IF(B119="NA","NA",IF(ISNUMBER(VLOOKUP($C119,'A4 Investment'!$A$24:$G$33,4,FALSE)),VLOOKUP($C119,'A4 Investment'!$A$24:$G$33,4,FALSE)*'A4 Investment'!D$18/12,0))</f>
        <v>0</v>
      </c>
      <c r="F119" s="150">
        <f>IF(B119="NA","NA",IF(ISNUMBER(VLOOKUP($C119,'A4 Investment'!$A$24:$G$33,5,FALSE)),VLOOKUP($C119,'A4 Investment'!$A$24:$G$33,5,FALSE)*'A4 Investment'!E$18/12,0))</f>
        <v>0</v>
      </c>
      <c r="G119" s="150">
        <f>IF(B119="NA","NA",IF(ISNUMBER(VLOOKUP($C119,'A4 Investment'!$A$24:$G$33,6,FALSE)),VLOOKUP($C119,'A4 Investment'!$A$24:$G$33,6,FALSE)*'A4 Investment'!F$18/12,0))</f>
        <v>0</v>
      </c>
      <c r="H119" s="181">
        <f>IF(B119="NA","NA",IF(ISNUMBER(VLOOKUP($C119,'A4 Investment'!$A$24:$G$33,7,FALSE)),VLOOKUP($C119,'A4 Investment'!$A$24:$G$33,7,FALSE)*'A4 Investment'!G$18/12,0))</f>
        <v>0</v>
      </c>
      <c r="I119" s="160">
        <f t="shared" si="12"/>
        <v>8904.1666666666661</v>
      </c>
    </row>
    <row r="120" spans="1:9" x14ac:dyDescent="0.2">
      <c r="A120" s="86">
        <f t="shared" si="9"/>
        <v>2954</v>
      </c>
      <c r="B120" s="142">
        <f t="shared" si="10"/>
        <v>98</v>
      </c>
      <c r="C120" s="143">
        <f t="shared" si="11"/>
        <v>1</v>
      </c>
      <c r="D120" s="149">
        <f>IF(B120="NA","NA",IF(ISNUMBER(VLOOKUP($C120,'A4 Investment'!$A$24:$G$33,3,FALSE)),VLOOKUP($C120,'A4 Investment'!$A$24:$G$33,3,FALSE)*'A4 Investment'!C$18/12,0))</f>
        <v>8904.1666666666661</v>
      </c>
      <c r="E120" s="150">
        <f>IF(B120="NA","NA",IF(ISNUMBER(VLOOKUP($C120,'A4 Investment'!$A$24:$G$33,4,FALSE)),VLOOKUP($C120,'A4 Investment'!$A$24:$G$33,4,FALSE)*'A4 Investment'!D$18/12,0))</f>
        <v>0</v>
      </c>
      <c r="F120" s="150">
        <f>IF(B120="NA","NA",IF(ISNUMBER(VLOOKUP($C120,'A4 Investment'!$A$24:$G$33,5,FALSE)),VLOOKUP($C120,'A4 Investment'!$A$24:$G$33,5,FALSE)*'A4 Investment'!E$18/12,0))</f>
        <v>0</v>
      </c>
      <c r="G120" s="150">
        <f>IF(B120="NA","NA",IF(ISNUMBER(VLOOKUP($C120,'A4 Investment'!$A$24:$G$33,6,FALSE)),VLOOKUP($C120,'A4 Investment'!$A$24:$G$33,6,FALSE)*'A4 Investment'!F$18/12,0))</f>
        <v>0</v>
      </c>
      <c r="H120" s="181">
        <f>IF(B120="NA","NA",IF(ISNUMBER(VLOOKUP($C120,'A4 Investment'!$A$24:$G$33,7,FALSE)),VLOOKUP($C120,'A4 Investment'!$A$24:$G$33,7,FALSE)*'A4 Investment'!G$18/12,0))</f>
        <v>0</v>
      </c>
      <c r="I120" s="160">
        <f t="shared" si="12"/>
        <v>8904.1666666666661</v>
      </c>
    </row>
    <row r="121" spans="1:9" x14ac:dyDescent="0.2">
      <c r="A121" s="86">
        <f t="shared" si="9"/>
        <v>2983</v>
      </c>
      <c r="B121" s="142">
        <f t="shared" si="10"/>
        <v>99</v>
      </c>
      <c r="C121" s="143">
        <f t="shared" si="11"/>
        <v>1</v>
      </c>
      <c r="D121" s="149">
        <f>IF(B121="NA","NA",IF(ISNUMBER(VLOOKUP($C121,'A4 Investment'!$A$24:$G$33,3,FALSE)),VLOOKUP($C121,'A4 Investment'!$A$24:$G$33,3,FALSE)*'A4 Investment'!C$18/12,0))</f>
        <v>8904.1666666666661</v>
      </c>
      <c r="E121" s="150">
        <f>IF(B121="NA","NA",IF(ISNUMBER(VLOOKUP($C121,'A4 Investment'!$A$24:$G$33,4,FALSE)),VLOOKUP($C121,'A4 Investment'!$A$24:$G$33,4,FALSE)*'A4 Investment'!D$18/12,0))</f>
        <v>0</v>
      </c>
      <c r="F121" s="150">
        <f>IF(B121="NA","NA",IF(ISNUMBER(VLOOKUP($C121,'A4 Investment'!$A$24:$G$33,5,FALSE)),VLOOKUP($C121,'A4 Investment'!$A$24:$G$33,5,FALSE)*'A4 Investment'!E$18/12,0))</f>
        <v>0</v>
      </c>
      <c r="G121" s="150">
        <f>IF(B121="NA","NA",IF(ISNUMBER(VLOOKUP($C121,'A4 Investment'!$A$24:$G$33,6,FALSE)),VLOOKUP($C121,'A4 Investment'!$A$24:$G$33,6,FALSE)*'A4 Investment'!F$18/12,0))</f>
        <v>0</v>
      </c>
      <c r="H121" s="181">
        <f>IF(B121="NA","NA",IF(ISNUMBER(VLOOKUP($C121,'A4 Investment'!$A$24:$G$33,7,FALSE)),VLOOKUP($C121,'A4 Investment'!$A$24:$G$33,7,FALSE)*'A4 Investment'!G$18/12,0))</f>
        <v>0</v>
      </c>
      <c r="I121" s="160">
        <f t="shared" si="12"/>
        <v>8904.1666666666661</v>
      </c>
    </row>
    <row r="122" spans="1:9" x14ac:dyDescent="0.2">
      <c r="A122" s="86">
        <f t="shared" si="9"/>
        <v>3014</v>
      </c>
      <c r="B122" s="142">
        <f t="shared" si="10"/>
        <v>100</v>
      </c>
      <c r="C122" s="143">
        <f t="shared" si="11"/>
        <v>1</v>
      </c>
      <c r="D122" s="149">
        <f>IF(B122="NA","NA",IF(ISNUMBER(VLOOKUP($C122,'A4 Investment'!$A$24:$G$33,3,FALSE)),VLOOKUP($C122,'A4 Investment'!$A$24:$G$33,3,FALSE)*'A4 Investment'!C$18/12,0))</f>
        <v>8904.1666666666661</v>
      </c>
      <c r="E122" s="150">
        <f>IF(B122="NA","NA",IF(ISNUMBER(VLOOKUP($C122,'A4 Investment'!$A$24:$G$33,4,FALSE)),VLOOKUP($C122,'A4 Investment'!$A$24:$G$33,4,FALSE)*'A4 Investment'!D$18/12,0))</f>
        <v>0</v>
      </c>
      <c r="F122" s="150">
        <f>IF(B122="NA","NA",IF(ISNUMBER(VLOOKUP($C122,'A4 Investment'!$A$24:$G$33,5,FALSE)),VLOOKUP($C122,'A4 Investment'!$A$24:$G$33,5,FALSE)*'A4 Investment'!E$18/12,0))</f>
        <v>0</v>
      </c>
      <c r="G122" s="150">
        <f>IF(B122="NA","NA",IF(ISNUMBER(VLOOKUP($C122,'A4 Investment'!$A$24:$G$33,6,FALSE)),VLOOKUP($C122,'A4 Investment'!$A$24:$G$33,6,FALSE)*'A4 Investment'!F$18/12,0))</f>
        <v>0</v>
      </c>
      <c r="H122" s="181">
        <f>IF(B122="NA","NA",IF(ISNUMBER(VLOOKUP($C122,'A4 Investment'!$A$24:$G$33,7,FALSE)),VLOOKUP($C122,'A4 Investment'!$A$24:$G$33,7,FALSE)*'A4 Investment'!G$18/12,0))</f>
        <v>0</v>
      </c>
      <c r="I122" s="160">
        <f t="shared" si="12"/>
        <v>8904.1666666666661</v>
      </c>
    </row>
    <row r="123" spans="1:9" x14ac:dyDescent="0.2">
      <c r="A123" s="86">
        <f t="shared" si="9"/>
        <v>3044</v>
      </c>
      <c r="B123" s="142">
        <f t="shared" si="10"/>
        <v>101</v>
      </c>
      <c r="C123" s="143">
        <f t="shared" si="11"/>
        <v>1</v>
      </c>
      <c r="D123" s="149">
        <f>IF(B123="NA","NA",IF(ISNUMBER(VLOOKUP($C123,'A4 Investment'!$A$24:$G$33,3,FALSE)),VLOOKUP($C123,'A4 Investment'!$A$24:$G$33,3,FALSE)*'A4 Investment'!C$18/12,0))</f>
        <v>8904.1666666666661</v>
      </c>
      <c r="E123" s="150">
        <f>IF(B123="NA","NA",IF(ISNUMBER(VLOOKUP($C123,'A4 Investment'!$A$24:$G$33,4,FALSE)),VLOOKUP($C123,'A4 Investment'!$A$24:$G$33,4,FALSE)*'A4 Investment'!D$18/12,0))</f>
        <v>0</v>
      </c>
      <c r="F123" s="150">
        <f>IF(B123="NA","NA",IF(ISNUMBER(VLOOKUP($C123,'A4 Investment'!$A$24:$G$33,5,FALSE)),VLOOKUP($C123,'A4 Investment'!$A$24:$G$33,5,FALSE)*'A4 Investment'!E$18/12,0))</f>
        <v>0</v>
      </c>
      <c r="G123" s="150">
        <f>IF(B123="NA","NA",IF(ISNUMBER(VLOOKUP($C123,'A4 Investment'!$A$24:$G$33,6,FALSE)),VLOOKUP($C123,'A4 Investment'!$A$24:$G$33,6,FALSE)*'A4 Investment'!F$18/12,0))</f>
        <v>0</v>
      </c>
      <c r="H123" s="181">
        <f>IF(B123="NA","NA",IF(ISNUMBER(VLOOKUP($C123,'A4 Investment'!$A$24:$G$33,7,FALSE)),VLOOKUP($C123,'A4 Investment'!$A$24:$G$33,7,FALSE)*'A4 Investment'!G$18/12,0))</f>
        <v>0</v>
      </c>
      <c r="I123" s="160">
        <f t="shared" si="12"/>
        <v>8904.1666666666661</v>
      </c>
    </row>
    <row r="124" spans="1:9" x14ac:dyDescent="0.2">
      <c r="A124" s="86">
        <f t="shared" si="9"/>
        <v>3075</v>
      </c>
      <c r="B124" s="142">
        <f t="shared" si="10"/>
        <v>102</v>
      </c>
      <c r="C124" s="143">
        <f t="shared" si="11"/>
        <v>1</v>
      </c>
      <c r="D124" s="149">
        <f>IF(B124="NA","NA",IF(ISNUMBER(VLOOKUP($C124,'A4 Investment'!$A$24:$G$33,3,FALSE)),VLOOKUP($C124,'A4 Investment'!$A$24:$G$33,3,FALSE)*'A4 Investment'!C$18/12,0))</f>
        <v>8904.1666666666661</v>
      </c>
      <c r="E124" s="150">
        <f>IF(B124="NA","NA",IF(ISNUMBER(VLOOKUP($C124,'A4 Investment'!$A$24:$G$33,4,FALSE)),VLOOKUP($C124,'A4 Investment'!$A$24:$G$33,4,FALSE)*'A4 Investment'!D$18/12,0))</f>
        <v>0</v>
      </c>
      <c r="F124" s="150">
        <f>IF(B124="NA","NA",IF(ISNUMBER(VLOOKUP($C124,'A4 Investment'!$A$24:$G$33,5,FALSE)),VLOOKUP($C124,'A4 Investment'!$A$24:$G$33,5,FALSE)*'A4 Investment'!E$18/12,0))</f>
        <v>0</v>
      </c>
      <c r="G124" s="150">
        <f>IF(B124="NA","NA",IF(ISNUMBER(VLOOKUP($C124,'A4 Investment'!$A$24:$G$33,6,FALSE)),VLOOKUP($C124,'A4 Investment'!$A$24:$G$33,6,FALSE)*'A4 Investment'!F$18/12,0))</f>
        <v>0</v>
      </c>
      <c r="H124" s="181">
        <f>IF(B124="NA","NA",IF(ISNUMBER(VLOOKUP($C124,'A4 Investment'!$A$24:$G$33,7,FALSE)),VLOOKUP($C124,'A4 Investment'!$A$24:$G$33,7,FALSE)*'A4 Investment'!G$18/12,0))</f>
        <v>0</v>
      </c>
      <c r="I124" s="160">
        <f t="shared" si="12"/>
        <v>8904.1666666666661</v>
      </c>
    </row>
    <row r="125" spans="1:9" x14ac:dyDescent="0.2">
      <c r="A125" s="86">
        <f t="shared" si="9"/>
        <v>3105</v>
      </c>
      <c r="B125" s="142">
        <f t="shared" si="10"/>
        <v>103</v>
      </c>
      <c r="C125" s="143">
        <f t="shared" si="11"/>
        <v>1</v>
      </c>
      <c r="D125" s="149">
        <f>IF(B125="NA","NA",IF(ISNUMBER(VLOOKUP($C125,'A4 Investment'!$A$24:$G$33,3,FALSE)),VLOOKUP($C125,'A4 Investment'!$A$24:$G$33,3,FALSE)*'A4 Investment'!C$18/12,0))</f>
        <v>8904.1666666666661</v>
      </c>
      <c r="E125" s="150">
        <f>IF(B125="NA","NA",IF(ISNUMBER(VLOOKUP($C125,'A4 Investment'!$A$24:$G$33,4,FALSE)),VLOOKUP($C125,'A4 Investment'!$A$24:$G$33,4,FALSE)*'A4 Investment'!D$18/12,0))</f>
        <v>0</v>
      </c>
      <c r="F125" s="150">
        <f>IF(B125="NA","NA",IF(ISNUMBER(VLOOKUP($C125,'A4 Investment'!$A$24:$G$33,5,FALSE)),VLOOKUP($C125,'A4 Investment'!$A$24:$G$33,5,FALSE)*'A4 Investment'!E$18/12,0))</f>
        <v>0</v>
      </c>
      <c r="G125" s="150">
        <f>IF(B125="NA","NA",IF(ISNUMBER(VLOOKUP($C125,'A4 Investment'!$A$24:$G$33,6,FALSE)),VLOOKUP($C125,'A4 Investment'!$A$24:$G$33,6,FALSE)*'A4 Investment'!F$18/12,0))</f>
        <v>0</v>
      </c>
      <c r="H125" s="181">
        <f>IF(B125="NA","NA",IF(ISNUMBER(VLOOKUP($C125,'A4 Investment'!$A$24:$G$33,7,FALSE)),VLOOKUP($C125,'A4 Investment'!$A$24:$G$33,7,FALSE)*'A4 Investment'!G$18/12,0))</f>
        <v>0</v>
      </c>
      <c r="I125" s="160">
        <f t="shared" si="12"/>
        <v>8904.1666666666661</v>
      </c>
    </row>
    <row r="126" spans="1:9" x14ac:dyDescent="0.2">
      <c r="A126" s="86">
        <f t="shared" si="9"/>
        <v>3136</v>
      </c>
      <c r="B126" s="142">
        <f t="shared" si="10"/>
        <v>104</v>
      </c>
      <c r="C126" s="143">
        <f t="shared" si="11"/>
        <v>1</v>
      </c>
      <c r="D126" s="149">
        <f>IF(B126="NA","NA",IF(ISNUMBER(VLOOKUP($C126,'A4 Investment'!$A$24:$G$33,3,FALSE)),VLOOKUP($C126,'A4 Investment'!$A$24:$G$33,3,FALSE)*'A4 Investment'!C$18/12,0))</f>
        <v>8904.1666666666661</v>
      </c>
      <c r="E126" s="150">
        <f>IF(B126="NA","NA",IF(ISNUMBER(VLOOKUP($C126,'A4 Investment'!$A$24:$G$33,4,FALSE)),VLOOKUP($C126,'A4 Investment'!$A$24:$G$33,4,FALSE)*'A4 Investment'!D$18/12,0))</f>
        <v>0</v>
      </c>
      <c r="F126" s="150">
        <f>IF(B126="NA","NA",IF(ISNUMBER(VLOOKUP($C126,'A4 Investment'!$A$24:$G$33,5,FALSE)),VLOOKUP($C126,'A4 Investment'!$A$24:$G$33,5,FALSE)*'A4 Investment'!E$18/12,0))</f>
        <v>0</v>
      </c>
      <c r="G126" s="150">
        <f>IF(B126="NA","NA",IF(ISNUMBER(VLOOKUP($C126,'A4 Investment'!$A$24:$G$33,6,FALSE)),VLOOKUP($C126,'A4 Investment'!$A$24:$G$33,6,FALSE)*'A4 Investment'!F$18/12,0))</f>
        <v>0</v>
      </c>
      <c r="H126" s="181">
        <f>IF(B126="NA","NA",IF(ISNUMBER(VLOOKUP($C126,'A4 Investment'!$A$24:$G$33,7,FALSE)),VLOOKUP($C126,'A4 Investment'!$A$24:$G$33,7,FALSE)*'A4 Investment'!G$18/12,0))</f>
        <v>0</v>
      </c>
      <c r="I126" s="160">
        <f t="shared" si="12"/>
        <v>8904.1666666666661</v>
      </c>
    </row>
    <row r="127" spans="1:9" x14ac:dyDescent="0.2">
      <c r="A127" s="86">
        <f t="shared" si="9"/>
        <v>3167</v>
      </c>
      <c r="B127" s="142">
        <f t="shared" si="10"/>
        <v>105</v>
      </c>
      <c r="C127" s="143">
        <f t="shared" si="11"/>
        <v>1</v>
      </c>
      <c r="D127" s="149">
        <f>IF(B127="NA","NA",IF(ISNUMBER(VLOOKUP($C127,'A4 Investment'!$A$24:$G$33,3,FALSE)),VLOOKUP($C127,'A4 Investment'!$A$24:$G$33,3,FALSE)*'A4 Investment'!C$18/12,0))</f>
        <v>8904.1666666666661</v>
      </c>
      <c r="E127" s="150">
        <f>IF(B127="NA","NA",IF(ISNUMBER(VLOOKUP($C127,'A4 Investment'!$A$24:$G$33,4,FALSE)),VLOOKUP($C127,'A4 Investment'!$A$24:$G$33,4,FALSE)*'A4 Investment'!D$18/12,0))</f>
        <v>0</v>
      </c>
      <c r="F127" s="150">
        <f>IF(B127="NA","NA",IF(ISNUMBER(VLOOKUP($C127,'A4 Investment'!$A$24:$G$33,5,FALSE)),VLOOKUP($C127,'A4 Investment'!$A$24:$G$33,5,FALSE)*'A4 Investment'!E$18/12,0))</f>
        <v>0</v>
      </c>
      <c r="G127" s="150">
        <f>IF(B127="NA","NA",IF(ISNUMBER(VLOOKUP($C127,'A4 Investment'!$A$24:$G$33,6,FALSE)),VLOOKUP($C127,'A4 Investment'!$A$24:$G$33,6,FALSE)*'A4 Investment'!F$18/12,0))</f>
        <v>0</v>
      </c>
      <c r="H127" s="181">
        <f>IF(B127="NA","NA",IF(ISNUMBER(VLOOKUP($C127,'A4 Investment'!$A$24:$G$33,7,FALSE)),VLOOKUP($C127,'A4 Investment'!$A$24:$G$33,7,FALSE)*'A4 Investment'!G$18/12,0))</f>
        <v>0</v>
      </c>
      <c r="I127" s="160">
        <f t="shared" si="12"/>
        <v>8904.1666666666661</v>
      </c>
    </row>
    <row r="128" spans="1:9" x14ac:dyDescent="0.2">
      <c r="A128" s="86">
        <f t="shared" si="9"/>
        <v>3197</v>
      </c>
      <c r="B128" s="142">
        <f t="shared" si="10"/>
        <v>106</v>
      </c>
      <c r="C128" s="143">
        <f t="shared" si="11"/>
        <v>1</v>
      </c>
      <c r="D128" s="149">
        <f>IF(B128="NA","NA",IF(ISNUMBER(VLOOKUP($C128,'A4 Investment'!$A$24:$G$33,3,FALSE)),VLOOKUP($C128,'A4 Investment'!$A$24:$G$33,3,FALSE)*'A4 Investment'!C$18/12,0))</f>
        <v>8904.1666666666661</v>
      </c>
      <c r="E128" s="150">
        <f>IF(B128="NA","NA",IF(ISNUMBER(VLOOKUP($C128,'A4 Investment'!$A$24:$G$33,4,FALSE)),VLOOKUP($C128,'A4 Investment'!$A$24:$G$33,4,FALSE)*'A4 Investment'!D$18/12,0))</f>
        <v>0</v>
      </c>
      <c r="F128" s="150">
        <f>IF(B128="NA","NA",IF(ISNUMBER(VLOOKUP($C128,'A4 Investment'!$A$24:$G$33,5,FALSE)),VLOOKUP($C128,'A4 Investment'!$A$24:$G$33,5,FALSE)*'A4 Investment'!E$18/12,0))</f>
        <v>0</v>
      </c>
      <c r="G128" s="150">
        <f>IF(B128="NA","NA",IF(ISNUMBER(VLOOKUP($C128,'A4 Investment'!$A$24:$G$33,6,FALSE)),VLOOKUP($C128,'A4 Investment'!$A$24:$G$33,6,FALSE)*'A4 Investment'!F$18/12,0))</f>
        <v>0</v>
      </c>
      <c r="H128" s="181">
        <f>IF(B128="NA","NA",IF(ISNUMBER(VLOOKUP($C128,'A4 Investment'!$A$24:$G$33,7,FALSE)),VLOOKUP($C128,'A4 Investment'!$A$24:$G$33,7,FALSE)*'A4 Investment'!G$18/12,0))</f>
        <v>0</v>
      </c>
      <c r="I128" s="160">
        <f t="shared" si="12"/>
        <v>8904.1666666666661</v>
      </c>
    </row>
    <row r="129" spans="1:9" x14ac:dyDescent="0.2">
      <c r="A129" s="86">
        <f t="shared" si="9"/>
        <v>3228</v>
      </c>
      <c r="B129" s="142">
        <f t="shared" si="10"/>
        <v>107</v>
      </c>
      <c r="C129" s="143">
        <f t="shared" si="11"/>
        <v>1</v>
      </c>
      <c r="D129" s="149">
        <f>IF(B129="NA","NA",IF(ISNUMBER(VLOOKUP($C129,'A4 Investment'!$A$24:$G$33,3,FALSE)),VLOOKUP($C129,'A4 Investment'!$A$24:$G$33,3,FALSE)*'A4 Investment'!C$18/12,0))</f>
        <v>8904.1666666666661</v>
      </c>
      <c r="E129" s="150">
        <f>IF(B129="NA","NA",IF(ISNUMBER(VLOOKUP($C129,'A4 Investment'!$A$24:$G$33,4,FALSE)),VLOOKUP($C129,'A4 Investment'!$A$24:$G$33,4,FALSE)*'A4 Investment'!D$18/12,0))</f>
        <v>0</v>
      </c>
      <c r="F129" s="150">
        <f>IF(B129="NA","NA",IF(ISNUMBER(VLOOKUP($C129,'A4 Investment'!$A$24:$G$33,5,FALSE)),VLOOKUP($C129,'A4 Investment'!$A$24:$G$33,5,FALSE)*'A4 Investment'!E$18/12,0))</f>
        <v>0</v>
      </c>
      <c r="G129" s="150">
        <f>IF(B129="NA","NA",IF(ISNUMBER(VLOOKUP($C129,'A4 Investment'!$A$24:$G$33,6,FALSE)),VLOOKUP($C129,'A4 Investment'!$A$24:$G$33,6,FALSE)*'A4 Investment'!F$18/12,0))</f>
        <v>0</v>
      </c>
      <c r="H129" s="181">
        <f>IF(B129="NA","NA",IF(ISNUMBER(VLOOKUP($C129,'A4 Investment'!$A$24:$G$33,7,FALSE)),VLOOKUP($C129,'A4 Investment'!$A$24:$G$33,7,FALSE)*'A4 Investment'!G$18/12,0))</f>
        <v>0</v>
      </c>
      <c r="I129" s="160">
        <f t="shared" si="12"/>
        <v>8904.1666666666661</v>
      </c>
    </row>
    <row r="130" spans="1:9" x14ac:dyDescent="0.2">
      <c r="A130" s="86">
        <f t="shared" si="9"/>
        <v>3258</v>
      </c>
      <c r="B130" s="142">
        <f t="shared" si="10"/>
        <v>108</v>
      </c>
      <c r="C130" s="143">
        <f t="shared" si="11"/>
        <v>1</v>
      </c>
      <c r="D130" s="149">
        <f>IF(B130="NA","NA",IF(ISNUMBER(VLOOKUP($C130,'A4 Investment'!$A$24:$G$33,3,FALSE)),VLOOKUP($C130,'A4 Investment'!$A$24:$G$33,3,FALSE)*'A4 Investment'!C$18/12,0))</f>
        <v>8904.1666666666661</v>
      </c>
      <c r="E130" s="150">
        <f>IF(B130="NA","NA",IF(ISNUMBER(VLOOKUP($C130,'A4 Investment'!$A$24:$G$33,4,FALSE)),VLOOKUP($C130,'A4 Investment'!$A$24:$G$33,4,FALSE)*'A4 Investment'!D$18/12,0))</f>
        <v>0</v>
      </c>
      <c r="F130" s="150">
        <f>IF(B130="NA","NA",IF(ISNUMBER(VLOOKUP($C130,'A4 Investment'!$A$24:$G$33,5,FALSE)),VLOOKUP($C130,'A4 Investment'!$A$24:$G$33,5,FALSE)*'A4 Investment'!E$18/12,0))</f>
        <v>0</v>
      </c>
      <c r="G130" s="150">
        <f>IF(B130="NA","NA",IF(ISNUMBER(VLOOKUP($C130,'A4 Investment'!$A$24:$G$33,6,FALSE)),VLOOKUP($C130,'A4 Investment'!$A$24:$G$33,6,FALSE)*'A4 Investment'!F$18/12,0))</f>
        <v>0</v>
      </c>
      <c r="H130" s="181">
        <f>IF(B130="NA","NA",IF(ISNUMBER(VLOOKUP($C130,'A4 Investment'!$A$24:$G$33,7,FALSE)),VLOOKUP($C130,'A4 Investment'!$A$24:$G$33,7,FALSE)*'A4 Investment'!G$18/12,0))</f>
        <v>0</v>
      </c>
      <c r="I130" s="160">
        <f t="shared" si="12"/>
        <v>8904.1666666666661</v>
      </c>
    </row>
    <row r="131" spans="1:9" x14ac:dyDescent="0.2">
      <c r="A131" s="86">
        <f t="shared" si="9"/>
        <v>3289</v>
      </c>
      <c r="B131" s="142">
        <f t="shared" si="10"/>
        <v>109</v>
      </c>
      <c r="C131" s="143">
        <f t="shared" si="11"/>
        <v>1</v>
      </c>
      <c r="D131" s="149">
        <f>IF(B131="NA","NA",IF(ISNUMBER(VLOOKUP($C131,'A4 Investment'!$A$24:$G$33,3,FALSE)),VLOOKUP($C131,'A4 Investment'!$A$24:$G$33,3,FALSE)*'A4 Investment'!C$18/12,0))</f>
        <v>8904.1666666666661</v>
      </c>
      <c r="E131" s="150">
        <f>IF(B131="NA","NA",IF(ISNUMBER(VLOOKUP($C131,'A4 Investment'!$A$24:$G$33,4,FALSE)),VLOOKUP($C131,'A4 Investment'!$A$24:$G$33,4,FALSE)*'A4 Investment'!D$18/12,0))</f>
        <v>0</v>
      </c>
      <c r="F131" s="150">
        <f>IF(B131="NA","NA",IF(ISNUMBER(VLOOKUP($C131,'A4 Investment'!$A$24:$G$33,5,FALSE)),VLOOKUP($C131,'A4 Investment'!$A$24:$G$33,5,FALSE)*'A4 Investment'!E$18/12,0))</f>
        <v>0</v>
      </c>
      <c r="G131" s="150">
        <f>IF(B131="NA","NA",IF(ISNUMBER(VLOOKUP($C131,'A4 Investment'!$A$24:$G$33,6,FALSE)),VLOOKUP($C131,'A4 Investment'!$A$24:$G$33,6,FALSE)*'A4 Investment'!F$18/12,0))</f>
        <v>0</v>
      </c>
      <c r="H131" s="181">
        <f>IF(B131="NA","NA",IF(ISNUMBER(VLOOKUP($C131,'A4 Investment'!$A$24:$G$33,7,FALSE)),VLOOKUP($C131,'A4 Investment'!$A$24:$G$33,7,FALSE)*'A4 Investment'!G$18/12,0))</f>
        <v>0</v>
      </c>
      <c r="I131" s="160">
        <f t="shared" si="12"/>
        <v>8904.1666666666661</v>
      </c>
    </row>
    <row r="132" spans="1:9" x14ac:dyDescent="0.2">
      <c r="A132" s="86">
        <f t="shared" si="9"/>
        <v>3320</v>
      </c>
      <c r="B132" s="142">
        <f t="shared" si="10"/>
        <v>110</v>
      </c>
      <c r="C132" s="143">
        <f t="shared" si="11"/>
        <v>1</v>
      </c>
      <c r="D132" s="149">
        <f>IF(B132="NA","NA",IF(ISNUMBER(VLOOKUP($C132,'A4 Investment'!$A$24:$G$33,3,FALSE)),VLOOKUP($C132,'A4 Investment'!$A$24:$G$33,3,FALSE)*'A4 Investment'!C$18/12,0))</f>
        <v>8904.1666666666661</v>
      </c>
      <c r="E132" s="150">
        <f>IF(B132="NA","NA",IF(ISNUMBER(VLOOKUP($C132,'A4 Investment'!$A$24:$G$33,4,FALSE)),VLOOKUP($C132,'A4 Investment'!$A$24:$G$33,4,FALSE)*'A4 Investment'!D$18/12,0))</f>
        <v>0</v>
      </c>
      <c r="F132" s="150">
        <f>IF(B132="NA","NA",IF(ISNUMBER(VLOOKUP($C132,'A4 Investment'!$A$24:$G$33,5,FALSE)),VLOOKUP($C132,'A4 Investment'!$A$24:$G$33,5,FALSE)*'A4 Investment'!E$18/12,0))</f>
        <v>0</v>
      </c>
      <c r="G132" s="150">
        <f>IF(B132="NA","NA",IF(ISNUMBER(VLOOKUP($C132,'A4 Investment'!$A$24:$G$33,6,FALSE)),VLOOKUP($C132,'A4 Investment'!$A$24:$G$33,6,FALSE)*'A4 Investment'!F$18/12,0))</f>
        <v>0</v>
      </c>
      <c r="H132" s="181">
        <f>IF(B132="NA","NA",IF(ISNUMBER(VLOOKUP($C132,'A4 Investment'!$A$24:$G$33,7,FALSE)),VLOOKUP($C132,'A4 Investment'!$A$24:$G$33,7,FALSE)*'A4 Investment'!G$18/12,0))</f>
        <v>0</v>
      </c>
      <c r="I132" s="160">
        <f t="shared" si="12"/>
        <v>8904.1666666666661</v>
      </c>
    </row>
    <row r="133" spans="1:9" x14ac:dyDescent="0.2">
      <c r="A133" s="86">
        <f t="shared" si="9"/>
        <v>3348</v>
      </c>
      <c r="B133" s="142">
        <f t="shared" si="10"/>
        <v>111</v>
      </c>
      <c r="C133" s="143">
        <f t="shared" si="11"/>
        <v>1</v>
      </c>
      <c r="D133" s="149">
        <f>IF(B133="NA","NA",IF(ISNUMBER(VLOOKUP($C133,'A4 Investment'!$A$24:$G$33,3,FALSE)),VLOOKUP($C133,'A4 Investment'!$A$24:$G$33,3,FALSE)*'A4 Investment'!C$18/12,0))</f>
        <v>8904.1666666666661</v>
      </c>
      <c r="E133" s="150">
        <f>IF(B133="NA","NA",IF(ISNUMBER(VLOOKUP($C133,'A4 Investment'!$A$24:$G$33,4,FALSE)),VLOOKUP($C133,'A4 Investment'!$A$24:$G$33,4,FALSE)*'A4 Investment'!D$18/12,0))</f>
        <v>0</v>
      </c>
      <c r="F133" s="150">
        <f>IF(B133="NA","NA",IF(ISNUMBER(VLOOKUP($C133,'A4 Investment'!$A$24:$G$33,5,FALSE)),VLOOKUP($C133,'A4 Investment'!$A$24:$G$33,5,FALSE)*'A4 Investment'!E$18/12,0))</f>
        <v>0</v>
      </c>
      <c r="G133" s="150">
        <f>IF(B133="NA","NA",IF(ISNUMBER(VLOOKUP($C133,'A4 Investment'!$A$24:$G$33,6,FALSE)),VLOOKUP($C133,'A4 Investment'!$A$24:$G$33,6,FALSE)*'A4 Investment'!F$18/12,0))</f>
        <v>0</v>
      </c>
      <c r="H133" s="181">
        <f>IF(B133="NA","NA",IF(ISNUMBER(VLOOKUP($C133,'A4 Investment'!$A$24:$G$33,7,FALSE)),VLOOKUP($C133,'A4 Investment'!$A$24:$G$33,7,FALSE)*'A4 Investment'!G$18/12,0))</f>
        <v>0</v>
      </c>
      <c r="I133" s="160">
        <f t="shared" si="12"/>
        <v>8904.1666666666661</v>
      </c>
    </row>
    <row r="134" spans="1:9" x14ac:dyDescent="0.2">
      <c r="A134" s="86">
        <f t="shared" si="9"/>
        <v>3379</v>
      </c>
      <c r="B134" s="142">
        <f t="shared" si="10"/>
        <v>112</v>
      </c>
      <c r="C134" s="143">
        <f t="shared" si="11"/>
        <v>1</v>
      </c>
      <c r="D134" s="149">
        <f>IF(B134="NA","NA",IF(ISNUMBER(VLOOKUP($C134,'A4 Investment'!$A$24:$G$33,3,FALSE)),VLOOKUP($C134,'A4 Investment'!$A$24:$G$33,3,FALSE)*'A4 Investment'!C$18/12,0))</f>
        <v>8904.1666666666661</v>
      </c>
      <c r="E134" s="150">
        <f>IF(B134="NA","NA",IF(ISNUMBER(VLOOKUP($C134,'A4 Investment'!$A$24:$G$33,4,FALSE)),VLOOKUP($C134,'A4 Investment'!$A$24:$G$33,4,FALSE)*'A4 Investment'!D$18/12,0))</f>
        <v>0</v>
      </c>
      <c r="F134" s="150">
        <f>IF(B134="NA","NA",IF(ISNUMBER(VLOOKUP($C134,'A4 Investment'!$A$24:$G$33,5,FALSE)),VLOOKUP($C134,'A4 Investment'!$A$24:$G$33,5,FALSE)*'A4 Investment'!E$18/12,0))</f>
        <v>0</v>
      </c>
      <c r="G134" s="150">
        <f>IF(B134="NA","NA",IF(ISNUMBER(VLOOKUP($C134,'A4 Investment'!$A$24:$G$33,6,FALSE)),VLOOKUP($C134,'A4 Investment'!$A$24:$G$33,6,FALSE)*'A4 Investment'!F$18/12,0))</f>
        <v>0</v>
      </c>
      <c r="H134" s="181">
        <f>IF(B134="NA","NA",IF(ISNUMBER(VLOOKUP($C134,'A4 Investment'!$A$24:$G$33,7,FALSE)),VLOOKUP($C134,'A4 Investment'!$A$24:$G$33,7,FALSE)*'A4 Investment'!G$18/12,0))</f>
        <v>0</v>
      </c>
      <c r="I134" s="160">
        <f t="shared" si="12"/>
        <v>8904.1666666666661</v>
      </c>
    </row>
    <row r="135" spans="1:9" x14ac:dyDescent="0.2">
      <c r="A135" s="86">
        <f t="shared" si="9"/>
        <v>3409</v>
      </c>
      <c r="B135" s="142">
        <f t="shared" si="10"/>
        <v>113</v>
      </c>
      <c r="C135" s="143">
        <f t="shared" si="11"/>
        <v>1</v>
      </c>
      <c r="D135" s="149">
        <f>IF(B135="NA","NA",IF(ISNUMBER(VLOOKUP($C135,'A4 Investment'!$A$24:$G$33,3,FALSE)),VLOOKUP($C135,'A4 Investment'!$A$24:$G$33,3,FALSE)*'A4 Investment'!C$18/12,0))</f>
        <v>8904.1666666666661</v>
      </c>
      <c r="E135" s="150">
        <f>IF(B135="NA","NA",IF(ISNUMBER(VLOOKUP($C135,'A4 Investment'!$A$24:$G$33,4,FALSE)),VLOOKUP($C135,'A4 Investment'!$A$24:$G$33,4,FALSE)*'A4 Investment'!D$18/12,0))</f>
        <v>0</v>
      </c>
      <c r="F135" s="150">
        <f>IF(B135="NA","NA",IF(ISNUMBER(VLOOKUP($C135,'A4 Investment'!$A$24:$G$33,5,FALSE)),VLOOKUP($C135,'A4 Investment'!$A$24:$G$33,5,FALSE)*'A4 Investment'!E$18/12,0))</f>
        <v>0</v>
      </c>
      <c r="G135" s="150">
        <f>IF(B135="NA","NA",IF(ISNUMBER(VLOOKUP($C135,'A4 Investment'!$A$24:$G$33,6,FALSE)),VLOOKUP($C135,'A4 Investment'!$A$24:$G$33,6,FALSE)*'A4 Investment'!F$18/12,0))</f>
        <v>0</v>
      </c>
      <c r="H135" s="181">
        <f>IF(B135="NA","NA",IF(ISNUMBER(VLOOKUP($C135,'A4 Investment'!$A$24:$G$33,7,FALSE)),VLOOKUP($C135,'A4 Investment'!$A$24:$G$33,7,FALSE)*'A4 Investment'!G$18/12,0))</f>
        <v>0</v>
      </c>
      <c r="I135" s="160">
        <f t="shared" si="12"/>
        <v>8904.1666666666661</v>
      </c>
    </row>
    <row r="136" spans="1:9" x14ac:dyDescent="0.2">
      <c r="A136" s="86">
        <f t="shared" si="9"/>
        <v>3440</v>
      </c>
      <c r="B136" s="142">
        <f t="shared" si="10"/>
        <v>114</v>
      </c>
      <c r="C136" s="143">
        <f t="shared" si="11"/>
        <v>1</v>
      </c>
      <c r="D136" s="149">
        <f>IF(B136="NA","NA",IF(ISNUMBER(VLOOKUP($C136,'A4 Investment'!$A$24:$G$33,3,FALSE)),VLOOKUP($C136,'A4 Investment'!$A$24:$G$33,3,FALSE)*'A4 Investment'!C$18/12,0))</f>
        <v>8904.1666666666661</v>
      </c>
      <c r="E136" s="150">
        <f>IF(B136="NA","NA",IF(ISNUMBER(VLOOKUP($C136,'A4 Investment'!$A$24:$G$33,4,FALSE)),VLOOKUP($C136,'A4 Investment'!$A$24:$G$33,4,FALSE)*'A4 Investment'!D$18/12,0))</f>
        <v>0</v>
      </c>
      <c r="F136" s="150">
        <f>IF(B136="NA","NA",IF(ISNUMBER(VLOOKUP($C136,'A4 Investment'!$A$24:$G$33,5,FALSE)),VLOOKUP($C136,'A4 Investment'!$A$24:$G$33,5,FALSE)*'A4 Investment'!E$18/12,0))</f>
        <v>0</v>
      </c>
      <c r="G136" s="150">
        <f>IF(B136="NA","NA",IF(ISNUMBER(VLOOKUP($C136,'A4 Investment'!$A$24:$G$33,6,FALSE)),VLOOKUP($C136,'A4 Investment'!$A$24:$G$33,6,FALSE)*'A4 Investment'!F$18/12,0))</f>
        <v>0</v>
      </c>
      <c r="H136" s="181">
        <f>IF(B136="NA","NA",IF(ISNUMBER(VLOOKUP($C136,'A4 Investment'!$A$24:$G$33,7,FALSE)),VLOOKUP($C136,'A4 Investment'!$A$24:$G$33,7,FALSE)*'A4 Investment'!G$18/12,0))</f>
        <v>0</v>
      </c>
      <c r="I136" s="160">
        <f t="shared" si="12"/>
        <v>8904.1666666666661</v>
      </c>
    </row>
    <row r="137" spans="1:9" x14ac:dyDescent="0.2">
      <c r="A137" s="86">
        <f t="shared" si="9"/>
        <v>3470</v>
      </c>
      <c r="B137" s="142">
        <f t="shared" si="10"/>
        <v>115</v>
      </c>
      <c r="C137" s="143">
        <f t="shared" si="11"/>
        <v>1</v>
      </c>
      <c r="D137" s="149">
        <f>IF(B137="NA","NA",IF(ISNUMBER(VLOOKUP($C137,'A4 Investment'!$A$24:$G$33,3,FALSE)),VLOOKUP($C137,'A4 Investment'!$A$24:$G$33,3,FALSE)*'A4 Investment'!C$18/12,0))</f>
        <v>8904.1666666666661</v>
      </c>
      <c r="E137" s="150">
        <f>IF(B137="NA","NA",IF(ISNUMBER(VLOOKUP($C137,'A4 Investment'!$A$24:$G$33,4,FALSE)),VLOOKUP($C137,'A4 Investment'!$A$24:$G$33,4,FALSE)*'A4 Investment'!D$18/12,0))</f>
        <v>0</v>
      </c>
      <c r="F137" s="150">
        <f>IF(B137="NA","NA",IF(ISNUMBER(VLOOKUP($C137,'A4 Investment'!$A$24:$G$33,5,FALSE)),VLOOKUP($C137,'A4 Investment'!$A$24:$G$33,5,FALSE)*'A4 Investment'!E$18/12,0))</f>
        <v>0</v>
      </c>
      <c r="G137" s="150">
        <f>IF(B137="NA","NA",IF(ISNUMBER(VLOOKUP($C137,'A4 Investment'!$A$24:$G$33,6,FALSE)),VLOOKUP($C137,'A4 Investment'!$A$24:$G$33,6,FALSE)*'A4 Investment'!F$18/12,0))</f>
        <v>0</v>
      </c>
      <c r="H137" s="181">
        <f>IF(B137="NA","NA",IF(ISNUMBER(VLOOKUP($C137,'A4 Investment'!$A$24:$G$33,7,FALSE)),VLOOKUP($C137,'A4 Investment'!$A$24:$G$33,7,FALSE)*'A4 Investment'!G$18/12,0))</f>
        <v>0</v>
      </c>
      <c r="I137" s="160">
        <f t="shared" si="12"/>
        <v>8904.1666666666661</v>
      </c>
    </row>
    <row r="138" spans="1:9" x14ac:dyDescent="0.2">
      <c r="A138" s="86">
        <f t="shared" si="9"/>
        <v>3501</v>
      </c>
      <c r="B138" s="142">
        <f t="shared" si="10"/>
        <v>116</v>
      </c>
      <c r="C138" s="143">
        <f t="shared" si="11"/>
        <v>1</v>
      </c>
      <c r="D138" s="149">
        <f>IF(B138="NA","NA",IF(ISNUMBER(VLOOKUP($C138,'A4 Investment'!$A$24:$G$33,3,FALSE)),VLOOKUP($C138,'A4 Investment'!$A$24:$G$33,3,FALSE)*'A4 Investment'!C$18/12,0))</f>
        <v>8904.1666666666661</v>
      </c>
      <c r="E138" s="150">
        <f>IF(B138="NA","NA",IF(ISNUMBER(VLOOKUP($C138,'A4 Investment'!$A$24:$G$33,4,FALSE)),VLOOKUP($C138,'A4 Investment'!$A$24:$G$33,4,FALSE)*'A4 Investment'!D$18/12,0))</f>
        <v>0</v>
      </c>
      <c r="F138" s="150">
        <f>IF(B138="NA","NA",IF(ISNUMBER(VLOOKUP($C138,'A4 Investment'!$A$24:$G$33,5,FALSE)),VLOOKUP($C138,'A4 Investment'!$A$24:$G$33,5,FALSE)*'A4 Investment'!E$18/12,0))</f>
        <v>0</v>
      </c>
      <c r="G138" s="150">
        <f>IF(B138="NA","NA",IF(ISNUMBER(VLOOKUP($C138,'A4 Investment'!$A$24:$G$33,6,FALSE)),VLOOKUP($C138,'A4 Investment'!$A$24:$G$33,6,FALSE)*'A4 Investment'!F$18/12,0))</f>
        <v>0</v>
      </c>
      <c r="H138" s="181">
        <f>IF(B138="NA","NA",IF(ISNUMBER(VLOOKUP($C138,'A4 Investment'!$A$24:$G$33,7,FALSE)),VLOOKUP($C138,'A4 Investment'!$A$24:$G$33,7,FALSE)*'A4 Investment'!G$18/12,0))</f>
        <v>0</v>
      </c>
      <c r="I138" s="160">
        <f t="shared" si="12"/>
        <v>8904.1666666666661</v>
      </c>
    </row>
    <row r="139" spans="1:9" x14ac:dyDescent="0.2">
      <c r="A139" s="86">
        <f t="shared" si="9"/>
        <v>3532</v>
      </c>
      <c r="B139" s="142">
        <f t="shared" si="10"/>
        <v>117</v>
      </c>
      <c r="C139" s="143">
        <f t="shared" si="11"/>
        <v>1</v>
      </c>
      <c r="D139" s="149">
        <f>IF(B139="NA","NA",IF(ISNUMBER(VLOOKUP($C139,'A4 Investment'!$A$24:$G$33,3,FALSE)),VLOOKUP($C139,'A4 Investment'!$A$24:$G$33,3,FALSE)*'A4 Investment'!C$18/12,0))</f>
        <v>8904.1666666666661</v>
      </c>
      <c r="E139" s="150">
        <f>IF(B139="NA","NA",IF(ISNUMBER(VLOOKUP($C139,'A4 Investment'!$A$24:$G$33,4,FALSE)),VLOOKUP($C139,'A4 Investment'!$A$24:$G$33,4,FALSE)*'A4 Investment'!D$18/12,0))</f>
        <v>0</v>
      </c>
      <c r="F139" s="150">
        <f>IF(B139="NA","NA",IF(ISNUMBER(VLOOKUP($C139,'A4 Investment'!$A$24:$G$33,5,FALSE)),VLOOKUP($C139,'A4 Investment'!$A$24:$G$33,5,FALSE)*'A4 Investment'!E$18/12,0))</f>
        <v>0</v>
      </c>
      <c r="G139" s="150">
        <f>IF(B139="NA","NA",IF(ISNUMBER(VLOOKUP($C139,'A4 Investment'!$A$24:$G$33,6,FALSE)),VLOOKUP($C139,'A4 Investment'!$A$24:$G$33,6,FALSE)*'A4 Investment'!F$18/12,0))</f>
        <v>0</v>
      </c>
      <c r="H139" s="181">
        <f>IF(B139="NA","NA",IF(ISNUMBER(VLOOKUP($C139,'A4 Investment'!$A$24:$G$33,7,FALSE)),VLOOKUP($C139,'A4 Investment'!$A$24:$G$33,7,FALSE)*'A4 Investment'!G$18/12,0))</f>
        <v>0</v>
      </c>
      <c r="I139" s="160">
        <f t="shared" si="12"/>
        <v>8904.1666666666661</v>
      </c>
    </row>
    <row r="140" spans="1:9" x14ac:dyDescent="0.2">
      <c r="A140" s="86">
        <f t="shared" si="9"/>
        <v>3562</v>
      </c>
      <c r="B140" s="142">
        <f t="shared" si="10"/>
        <v>118</v>
      </c>
      <c r="C140" s="143">
        <f t="shared" si="11"/>
        <v>1</v>
      </c>
      <c r="D140" s="149">
        <f>IF(B140="NA","NA",IF(ISNUMBER(VLOOKUP($C140,'A4 Investment'!$A$24:$G$33,3,FALSE)),VLOOKUP($C140,'A4 Investment'!$A$24:$G$33,3,FALSE)*'A4 Investment'!C$18/12,0))</f>
        <v>8904.1666666666661</v>
      </c>
      <c r="E140" s="150">
        <f>IF(B140="NA","NA",IF(ISNUMBER(VLOOKUP($C140,'A4 Investment'!$A$24:$G$33,4,FALSE)),VLOOKUP($C140,'A4 Investment'!$A$24:$G$33,4,FALSE)*'A4 Investment'!D$18/12,0))</f>
        <v>0</v>
      </c>
      <c r="F140" s="150">
        <f>IF(B140="NA","NA",IF(ISNUMBER(VLOOKUP($C140,'A4 Investment'!$A$24:$G$33,5,FALSE)),VLOOKUP($C140,'A4 Investment'!$A$24:$G$33,5,FALSE)*'A4 Investment'!E$18/12,0))</f>
        <v>0</v>
      </c>
      <c r="G140" s="150">
        <f>IF(B140="NA","NA",IF(ISNUMBER(VLOOKUP($C140,'A4 Investment'!$A$24:$G$33,6,FALSE)),VLOOKUP($C140,'A4 Investment'!$A$24:$G$33,6,FALSE)*'A4 Investment'!F$18/12,0))</f>
        <v>0</v>
      </c>
      <c r="H140" s="181">
        <f>IF(B140="NA","NA",IF(ISNUMBER(VLOOKUP($C140,'A4 Investment'!$A$24:$G$33,7,FALSE)),VLOOKUP($C140,'A4 Investment'!$A$24:$G$33,7,FALSE)*'A4 Investment'!G$18/12,0))</f>
        <v>0</v>
      </c>
      <c r="I140" s="160">
        <f t="shared" si="12"/>
        <v>8904.1666666666661</v>
      </c>
    </row>
    <row r="141" spans="1:9" x14ac:dyDescent="0.2">
      <c r="A141" s="86">
        <f t="shared" si="9"/>
        <v>3593</v>
      </c>
      <c r="B141" s="142">
        <f t="shared" si="10"/>
        <v>119</v>
      </c>
      <c r="C141" s="143">
        <f t="shared" si="11"/>
        <v>1</v>
      </c>
      <c r="D141" s="149">
        <f>IF(B141="NA","NA",IF(ISNUMBER(VLOOKUP($C141,'A4 Investment'!$A$24:$G$33,3,FALSE)),VLOOKUP($C141,'A4 Investment'!$A$24:$G$33,3,FALSE)*'A4 Investment'!C$18/12,0))</f>
        <v>8904.1666666666661</v>
      </c>
      <c r="E141" s="150">
        <f>IF(B141="NA","NA",IF(ISNUMBER(VLOOKUP($C141,'A4 Investment'!$A$24:$G$33,4,FALSE)),VLOOKUP($C141,'A4 Investment'!$A$24:$G$33,4,FALSE)*'A4 Investment'!D$18/12,0))</f>
        <v>0</v>
      </c>
      <c r="F141" s="150">
        <f>IF(B141="NA","NA",IF(ISNUMBER(VLOOKUP($C141,'A4 Investment'!$A$24:$G$33,5,FALSE)),VLOOKUP($C141,'A4 Investment'!$A$24:$G$33,5,FALSE)*'A4 Investment'!E$18/12,0))</f>
        <v>0</v>
      </c>
      <c r="G141" s="150">
        <f>IF(B141="NA","NA",IF(ISNUMBER(VLOOKUP($C141,'A4 Investment'!$A$24:$G$33,6,FALSE)),VLOOKUP($C141,'A4 Investment'!$A$24:$G$33,6,FALSE)*'A4 Investment'!F$18/12,0))</f>
        <v>0</v>
      </c>
      <c r="H141" s="181">
        <f>IF(B141="NA","NA",IF(ISNUMBER(VLOOKUP($C141,'A4 Investment'!$A$24:$G$33,7,FALSE)),VLOOKUP($C141,'A4 Investment'!$A$24:$G$33,7,FALSE)*'A4 Investment'!G$18/12,0))</f>
        <v>0</v>
      </c>
      <c r="I141" s="160">
        <f t="shared" si="12"/>
        <v>8904.1666666666661</v>
      </c>
    </row>
    <row r="142" spans="1:9" x14ac:dyDescent="0.2">
      <c r="A142" s="86">
        <f t="shared" si="9"/>
        <v>3623</v>
      </c>
      <c r="B142" s="142">
        <f t="shared" si="10"/>
        <v>120</v>
      </c>
      <c r="C142" s="143">
        <f t="shared" si="11"/>
        <v>1</v>
      </c>
      <c r="D142" s="149">
        <f>IF(B142="NA","NA",IF(ISNUMBER(VLOOKUP($C142,'A4 Investment'!$A$24:$G$33,3,FALSE)),VLOOKUP($C142,'A4 Investment'!$A$24:$G$33,3,FALSE)*'A4 Investment'!C$18/12,0))</f>
        <v>8904.1666666666661</v>
      </c>
      <c r="E142" s="150">
        <f>IF(B142="NA","NA",IF(ISNUMBER(VLOOKUP($C142,'A4 Investment'!$A$24:$G$33,4,FALSE)),VLOOKUP($C142,'A4 Investment'!$A$24:$G$33,4,FALSE)*'A4 Investment'!D$18/12,0))</f>
        <v>0</v>
      </c>
      <c r="F142" s="150">
        <f>IF(B142="NA","NA",IF(ISNUMBER(VLOOKUP($C142,'A4 Investment'!$A$24:$G$33,5,FALSE)),VLOOKUP($C142,'A4 Investment'!$A$24:$G$33,5,FALSE)*'A4 Investment'!E$18/12,0))</f>
        <v>0</v>
      </c>
      <c r="G142" s="150">
        <f>IF(B142="NA","NA",IF(ISNUMBER(VLOOKUP($C142,'A4 Investment'!$A$24:$G$33,6,FALSE)),VLOOKUP($C142,'A4 Investment'!$A$24:$G$33,6,FALSE)*'A4 Investment'!F$18/12,0))</f>
        <v>0</v>
      </c>
      <c r="H142" s="181">
        <f>IF(B142="NA","NA",IF(ISNUMBER(VLOOKUP($C142,'A4 Investment'!$A$24:$G$33,7,FALSE)),VLOOKUP($C142,'A4 Investment'!$A$24:$G$33,7,FALSE)*'A4 Investment'!G$18/12,0))</f>
        <v>0</v>
      </c>
      <c r="I142" s="160">
        <f t="shared" si="12"/>
        <v>8904.1666666666661</v>
      </c>
    </row>
    <row r="143" spans="1:9" x14ac:dyDescent="0.2">
      <c r="A143" s="86">
        <f t="shared" si="9"/>
        <v>3654</v>
      </c>
      <c r="B143" s="142">
        <f t="shared" si="10"/>
        <v>121</v>
      </c>
      <c r="C143" s="143">
        <f t="shared" si="11"/>
        <v>1</v>
      </c>
      <c r="D143" s="149">
        <f>IF(B143="NA","NA",IF(ISNUMBER(VLOOKUP($C143,'A4 Investment'!$A$24:$G$33,3,FALSE)),VLOOKUP($C143,'A4 Investment'!$A$24:$G$33,3,FALSE)*'A4 Investment'!C$18/12,0))</f>
        <v>8904.1666666666661</v>
      </c>
      <c r="E143" s="150">
        <f>IF(B143="NA","NA",IF(ISNUMBER(VLOOKUP($C143,'A4 Investment'!$A$24:$G$33,4,FALSE)),VLOOKUP($C143,'A4 Investment'!$A$24:$G$33,4,FALSE)*'A4 Investment'!D$18/12,0))</f>
        <v>0</v>
      </c>
      <c r="F143" s="150">
        <f>IF(B143="NA","NA",IF(ISNUMBER(VLOOKUP($C143,'A4 Investment'!$A$24:$G$33,5,FALSE)),VLOOKUP($C143,'A4 Investment'!$A$24:$G$33,5,FALSE)*'A4 Investment'!E$18/12,0))</f>
        <v>0</v>
      </c>
      <c r="G143" s="150">
        <f>IF(B143="NA","NA",IF(ISNUMBER(VLOOKUP($C143,'A4 Investment'!$A$24:$G$33,6,FALSE)),VLOOKUP($C143,'A4 Investment'!$A$24:$G$33,6,FALSE)*'A4 Investment'!F$18/12,0))</f>
        <v>0</v>
      </c>
      <c r="H143" s="181">
        <f>IF(B143="NA","NA",IF(ISNUMBER(VLOOKUP($C143,'A4 Investment'!$A$24:$G$33,7,FALSE)),VLOOKUP($C143,'A4 Investment'!$A$24:$G$33,7,FALSE)*'A4 Investment'!G$18/12,0))</f>
        <v>0</v>
      </c>
      <c r="I143" s="160">
        <f t="shared" si="12"/>
        <v>8904.1666666666661</v>
      </c>
    </row>
    <row r="144" spans="1:9" x14ac:dyDescent="0.2">
      <c r="A144" s="86">
        <f t="shared" si="9"/>
        <v>3685</v>
      </c>
      <c r="B144" s="142">
        <f t="shared" si="10"/>
        <v>122</v>
      </c>
      <c r="C144" s="143">
        <f t="shared" si="11"/>
        <v>1</v>
      </c>
      <c r="D144" s="149">
        <f>IF(B144="NA","NA",IF(ISNUMBER(VLOOKUP($C144,'A4 Investment'!$A$24:$G$33,3,FALSE)),VLOOKUP($C144,'A4 Investment'!$A$24:$G$33,3,FALSE)*'A4 Investment'!C$18/12,0))</f>
        <v>8904.1666666666661</v>
      </c>
      <c r="E144" s="150">
        <f>IF(B144="NA","NA",IF(ISNUMBER(VLOOKUP($C144,'A4 Investment'!$A$24:$G$33,4,FALSE)),VLOOKUP($C144,'A4 Investment'!$A$24:$G$33,4,FALSE)*'A4 Investment'!D$18/12,0))</f>
        <v>0</v>
      </c>
      <c r="F144" s="150">
        <f>IF(B144="NA","NA",IF(ISNUMBER(VLOOKUP($C144,'A4 Investment'!$A$24:$G$33,5,FALSE)),VLOOKUP($C144,'A4 Investment'!$A$24:$G$33,5,FALSE)*'A4 Investment'!E$18/12,0))</f>
        <v>0</v>
      </c>
      <c r="G144" s="150">
        <f>IF(B144="NA","NA",IF(ISNUMBER(VLOOKUP($C144,'A4 Investment'!$A$24:$G$33,6,FALSE)),VLOOKUP($C144,'A4 Investment'!$A$24:$G$33,6,FALSE)*'A4 Investment'!F$18/12,0))</f>
        <v>0</v>
      </c>
      <c r="H144" s="181">
        <f>IF(B144="NA","NA",IF(ISNUMBER(VLOOKUP($C144,'A4 Investment'!$A$24:$G$33,7,FALSE)),VLOOKUP($C144,'A4 Investment'!$A$24:$G$33,7,FALSE)*'A4 Investment'!G$18/12,0))</f>
        <v>0</v>
      </c>
      <c r="I144" s="160">
        <f t="shared" si="12"/>
        <v>8904.1666666666661</v>
      </c>
    </row>
    <row r="145" spans="1:9" x14ac:dyDescent="0.2">
      <c r="A145" s="86">
        <f t="shared" si="9"/>
        <v>3713</v>
      </c>
      <c r="B145" s="142">
        <f t="shared" si="10"/>
        <v>123</v>
      </c>
      <c r="C145" s="143">
        <f t="shared" si="11"/>
        <v>1</v>
      </c>
      <c r="D145" s="149">
        <f>IF(B145="NA","NA",IF(ISNUMBER(VLOOKUP($C145,'A4 Investment'!$A$24:$G$33,3,FALSE)),VLOOKUP($C145,'A4 Investment'!$A$24:$G$33,3,FALSE)*'A4 Investment'!C$18/12,0))</f>
        <v>8904.1666666666661</v>
      </c>
      <c r="E145" s="150">
        <f>IF(B145="NA","NA",IF(ISNUMBER(VLOOKUP($C145,'A4 Investment'!$A$24:$G$33,4,FALSE)),VLOOKUP($C145,'A4 Investment'!$A$24:$G$33,4,FALSE)*'A4 Investment'!D$18/12,0))</f>
        <v>0</v>
      </c>
      <c r="F145" s="150">
        <f>IF(B145="NA","NA",IF(ISNUMBER(VLOOKUP($C145,'A4 Investment'!$A$24:$G$33,5,FALSE)),VLOOKUP($C145,'A4 Investment'!$A$24:$G$33,5,FALSE)*'A4 Investment'!E$18/12,0))</f>
        <v>0</v>
      </c>
      <c r="G145" s="150">
        <f>IF(B145="NA","NA",IF(ISNUMBER(VLOOKUP($C145,'A4 Investment'!$A$24:$G$33,6,FALSE)),VLOOKUP($C145,'A4 Investment'!$A$24:$G$33,6,FALSE)*'A4 Investment'!F$18/12,0))</f>
        <v>0</v>
      </c>
      <c r="H145" s="181">
        <f>IF(B145="NA","NA",IF(ISNUMBER(VLOOKUP($C145,'A4 Investment'!$A$24:$G$33,7,FALSE)),VLOOKUP($C145,'A4 Investment'!$A$24:$G$33,7,FALSE)*'A4 Investment'!G$18/12,0))</f>
        <v>0</v>
      </c>
      <c r="I145" s="160">
        <f t="shared" si="12"/>
        <v>8904.1666666666661</v>
      </c>
    </row>
    <row r="146" spans="1:9" x14ac:dyDescent="0.2">
      <c r="A146" s="86">
        <f t="shared" si="9"/>
        <v>3744</v>
      </c>
      <c r="B146" s="142">
        <f t="shared" si="10"/>
        <v>124</v>
      </c>
      <c r="C146" s="143">
        <f t="shared" si="11"/>
        <v>1</v>
      </c>
      <c r="D146" s="149">
        <f>IF(B146="NA","NA",IF(ISNUMBER(VLOOKUP($C146,'A4 Investment'!$A$24:$G$33,3,FALSE)),VLOOKUP($C146,'A4 Investment'!$A$24:$G$33,3,FALSE)*'A4 Investment'!C$18/12,0))</f>
        <v>8904.1666666666661</v>
      </c>
      <c r="E146" s="150">
        <f>IF(B146="NA","NA",IF(ISNUMBER(VLOOKUP($C146,'A4 Investment'!$A$24:$G$33,4,FALSE)),VLOOKUP($C146,'A4 Investment'!$A$24:$G$33,4,FALSE)*'A4 Investment'!D$18/12,0))</f>
        <v>0</v>
      </c>
      <c r="F146" s="150">
        <f>IF(B146="NA","NA",IF(ISNUMBER(VLOOKUP($C146,'A4 Investment'!$A$24:$G$33,5,FALSE)),VLOOKUP($C146,'A4 Investment'!$A$24:$G$33,5,FALSE)*'A4 Investment'!E$18/12,0))</f>
        <v>0</v>
      </c>
      <c r="G146" s="150">
        <f>IF(B146="NA","NA",IF(ISNUMBER(VLOOKUP($C146,'A4 Investment'!$A$24:$G$33,6,FALSE)),VLOOKUP($C146,'A4 Investment'!$A$24:$G$33,6,FALSE)*'A4 Investment'!F$18/12,0))</f>
        <v>0</v>
      </c>
      <c r="H146" s="181">
        <f>IF(B146="NA","NA",IF(ISNUMBER(VLOOKUP($C146,'A4 Investment'!$A$24:$G$33,7,FALSE)),VLOOKUP($C146,'A4 Investment'!$A$24:$G$33,7,FALSE)*'A4 Investment'!G$18/12,0))</f>
        <v>0</v>
      </c>
      <c r="I146" s="160">
        <f t="shared" si="12"/>
        <v>8904.1666666666661</v>
      </c>
    </row>
    <row r="147" spans="1:9" x14ac:dyDescent="0.2">
      <c r="A147" s="86">
        <f t="shared" si="9"/>
        <v>3774</v>
      </c>
      <c r="B147" s="142">
        <f t="shared" si="10"/>
        <v>125</v>
      </c>
      <c r="C147" s="143">
        <f t="shared" si="11"/>
        <v>1</v>
      </c>
      <c r="D147" s="149">
        <f>IF(B147="NA","NA",IF(ISNUMBER(VLOOKUP($C147,'A4 Investment'!$A$24:$G$33,3,FALSE)),VLOOKUP($C147,'A4 Investment'!$A$24:$G$33,3,FALSE)*'A4 Investment'!C$18/12,0))</f>
        <v>8904.1666666666661</v>
      </c>
      <c r="E147" s="150">
        <f>IF(B147="NA","NA",IF(ISNUMBER(VLOOKUP($C147,'A4 Investment'!$A$24:$G$33,4,FALSE)),VLOOKUP($C147,'A4 Investment'!$A$24:$G$33,4,FALSE)*'A4 Investment'!D$18/12,0))</f>
        <v>0</v>
      </c>
      <c r="F147" s="150">
        <f>IF(B147="NA","NA",IF(ISNUMBER(VLOOKUP($C147,'A4 Investment'!$A$24:$G$33,5,FALSE)),VLOOKUP($C147,'A4 Investment'!$A$24:$G$33,5,FALSE)*'A4 Investment'!E$18/12,0))</f>
        <v>0</v>
      </c>
      <c r="G147" s="150">
        <f>IF(B147="NA","NA",IF(ISNUMBER(VLOOKUP($C147,'A4 Investment'!$A$24:$G$33,6,FALSE)),VLOOKUP($C147,'A4 Investment'!$A$24:$G$33,6,FALSE)*'A4 Investment'!F$18/12,0))</f>
        <v>0</v>
      </c>
      <c r="H147" s="181">
        <f>IF(B147="NA","NA",IF(ISNUMBER(VLOOKUP($C147,'A4 Investment'!$A$24:$G$33,7,FALSE)),VLOOKUP($C147,'A4 Investment'!$A$24:$G$33,7,FALSE)*'A4 Investment'!G$18/12,0))</f>
        <v>0</v>
      </c>
      <c r="I147" s="160">
        <f t="shared" ref="I147:I178" si="13">IF(B147="NA","NA",SUM(D147:H147))</f>
        <v>8904.1666666666661</v>
      </c>
    </row>
    <row r="148" spans="1:9" x14ac:dyDescent="0.2">
      <c r="A148" s="86">
        <f t="shared" ref="A148:A211" si="14">IF(B148="NA","NA",DATE(YEAR(A147),MONTH(A147)+1,1))</f>
        <v>3805</v>
      </c>
      <c r="B148" s="142">
        <f t="shared" ref="B148:B211" si="15">IF(B147="NA","NA",IF((B147+1)&gt;$B$9,"NA",B147+1))</f>
        <v>126</v>
      </c>
      <c r="C148" s="143">
        <f t="shared" ref="C148:C211" si="16">IF(B148="NA","NA",MATCH($B$9-B148+1,$B$9:$B$18,-1))</f>
        <v>1</v>
      </c>
      <c r="D148" s="149">
        <f>IF(B148="NA","NA",IF(ISNUMBER(VLOOKUP($C148,'A4 Investment'!$A$24:$G$33,3,FALSE)),VLOOKUP($C148,'A4 Investment'!$A$24:$G$33,3,FALSE)*'A4 Investment'!C$18/12,0))</f>
        <v>8904.1666666666661</v>
      </c>
      <c r="E148" s="150">
        <f>IF(B148="NA","NA",IF(ISNUMBER(VLOOKUP($C148,'A4 Investment'!$A$24:$G$33,4,FALSE)),VLOOKUP($C148,'A4 Investment'!$A$24:$G$33,4,FALSE)*'A4 Investment'!D$18/12,0))</f>
        <v>0</v>
      </c>
      <c r="F148" s="150">
        <f>IF(B148="NA","NA",IF(ISNUMBER(VLOOKUP($C148,'A4 Investment'!$A$24:$G$33,5,FALSE)),VLOOKUP($C148,'A4 Investment'!$A$24:$G$33,5,FALSE)*'A4 Investment'!E$18/12,0))</f>
        <v>0</v>
      </c>
      <c r="G148" s="150">
        <f>IF(B148="NA","NA",IF(ISNUMBER(VLOOKUP($C148,'A4 Investment'!$A$24:$G$33,6,FALSE)),VLOOKUP($C148,'A4 Investment'!$A$24:$G$33,6,FALSE)*'A4 Investment'!F$18/12,0))</f>
        <v>0</v>
      </c>
      <c r="H148" s="181">
        <f>IF(B148="NA","NA",IF(ISNUMBER(VLOOKUP($C148,'A4 Investment'!$A$24:$G$33,7,FALSE)),VLOOKUP($C148,'A4 Investment'!$A$24:$G$33,7,FALSE)*'A4 Investment'!G$18/12,0))</f>
        <v>0</v>
      </c>
      <c r="I148" s="160">
        <f t="shared" si="13"/>
        <v>8904.1666666666661</v>
      </c>
    </row>
    <row r="149" spans="1:9" x14ac:dyDescent="0.2">
      <c r="A149" s="86">
        <f t="shared" si="14"/>
        <v>3835</v>
      </c>
      <c r="B149" s="142">
        <f t="shared" si="15"/>
        <v>127</v>
      </c>
      <c r="C149" s="143">
        <f t="shared" si="16"/>
        <v>1</v>
      </c>
      <c r="D149" s="149">
        <f>IF(B149="NA","NA",IF(ISNUMBER(VLOOKUP($C149,'A4 Investment'!$A$24:$G$33,3,FALSE)),VLOOKUP($C149,'A4 Investment'!$A$24:$G$33,3,FALSE)*'A4 Investment'!C$18/12,0))</f>
        <v>8904.1666666666661</v>
      </c>
      <c r="E149" s="150">
        <f>IF(B149="NA","NA",IF(ISNUMBER(VLOOKUP($C149,'A4 Investment'!$A$24:$G$33,4,FALSE)),VLOOKUP($C149,'A4 Investment'!$A$24:$G$33,4,FALSE)*'A4 Investment'!D$18/12,0))</f>
        <v>0</v>
      </c>
      <c r="F149" s="150">
        <f>IF(B149="NA","NA",IF(ISNUMBER(VLOOKUP($C149,'A4 Investment'!$A$24:$G$33,5,FALSE)),VLOOKUP($C149,'A4 Investment'!$A$24:$G$33,5,FALSE)*'A4 Investment'!E$18/12,0))</f>
        <v>0</v>
      </c>
      <c r="G149" s="150">
        <f>IF(B149="NA","NA",IF(ISNUMBER(VLOOKUP($C149,'A4 Investment'!$A$24:$G$33,6,FALSE)),VLOOKUP($C149,'A4 Investment'!$A$24:$G$33,6,FALSE)*'A4 Investment'!F$18/12,0))</f>
        <v>0</v>
      </c>
      <c r="H149" s="181">
        <f>IF(B149="NA","NA",IF(ISNUMBER(VLOOKUP($C149,'A4 Investment'!$A$24:$G$33,7,FALSE)),VLOOKUP($C149,'A4 Investment'!$A$24:$G$33,7,FALSE)*'A4 Investment'!G$18/12,0))</f>
        <v>0</v>
      </c>
      <c r="I149" s="160">
        <f t="shared" si="13"/>
        <v>8904.1666666666661</v>
      </c>
    </row>
    <row r="150" spans="1:9" x14ac:dyDescent="0.2">
      <c r="A150" s="86">
        <f t="shared" si="14"/>
        <v>3866</v>
      </c>
      <c r="B150" s="142">
        <f t="shared" si="15"/>
        <v>128</v>
      </c>
      <c r="C150" s="143">
        <f t="shared" si="16"/>
        <v>1</v>
      </c>
      <c r="D150" s="149">
        <f>IF(B150="NA","NA",IF(ISNUMBER(VLOOKUP($C150,'A4 Investment'!$A$24:$G$33,3,FALSE)),VLOOKUP($C150,'A4 Investment'!$A$24:$G$33,3,FALSE)*'A4 Investment'!C$18/12,0))</f>
        <v>8904.1666666666661</v>
      </c>
      <c r="E150" s="150">
        <f>IF(B150="NA","NA",IF(ISNUMBER(VLOOKUP($C150,'A4 Investment'!$A$24:$G$33,4,FALSE)),VLOOKUP($C150,'A4 Investment'!$A$24:$G$33,4,FALSE)*'A4 Investment'!D$18/12,0))</f>
        <v>0</v>
      </c>
      <c r="F150" s="150">
        <f>IF(B150="NA","NA",IF(ISNUMBER(VLOOKUP($C150,'A4 Investment'!$A$24:$G$33,5,FALSE)),VLOOKUP($C150,'A4 Investment'!$A$24:$G$33,5,FALSE)*'A4 Investment'!E$18/12,0))</f>
        <v>0</v>
      </c>
      <c r="G150" s="150">
        <f>IF(B150="NA","NA",IF(ISNUMBER(VLOOKUP($C150,'A4 Investment'!$A$24:$G$33,6,FALSE)),VLOOKUP($C150,'A4 Investment'!$A$24:$G$33,6,FALSE)*'A4 Investment'!F$18/12,0))</f>
        <v>0</v>
      </c>
      <c r="H150" s="181">
        <f>IF(B150="NA","NA",IF(ISNUMBER(VLOOKUP($C150,'A4 Investment'!$A$24:$G$33,7,FALSE)),VLOOKUP($C150,'A4 Investment'!$A$24:$G$33,7,FALSE)*'A4 Investment'!G$18/12,0))</f>
        <v>0</v>
      </c>
      <c r="I150" s="160">
        <f t="shared" si="13"/>
        <v>8904.1666666666661</v>
      </c>
    </row>
    <row r="151" spans="1:9" x14ac:dyDescent="0.2">
      <c r="A151" s="86">
        <f t="shared" si="14"/>
        <v>3897</v>
      </c>
      <c r="B151" s="142">
        <f t="shared" si="15"/>
        <v>129</v>
      </c>
      <c r="C151" s="143">
        <f t="shared" si="16"/>
        <v>1</v>
      </c>
      <c r="D151" s="149">
        <f>IF(B151="NA","NA",IF(ISNUMBER(VLOOKUP($C151,'A4 Investment'!$A$24:$G$33,3,FALSE)),VLOOKUP($C151,'A4 Investment'!$A$24:$G$33,3,FALSE)*'A4 Investment'!C$18/12,0))</f>
        <v>8904.1666666666661</v>
      </c>
      <c r="E151" s="150">
        <f>IF(B151="NA","NA",IF(ISNUMBER(VLOOKUP($C151,'A4 Investment'!$A$24:$G$33,4,FALSE)),VLOOKUP($C151,'A4 Investment'!$A$24:$G$33,4,FALSE)*'A4 Investment'!D$18/12,0))</f>
        <v>0</v>
      </c>
      <c r="F151" s="150">
        <f>IF(B151="NA","NA",IF(ISNUMBER(VLOOKUP($C151,'A4 Investment'!$A$24:$G$33,5,FALSE)),VLOOKUP($C151,'A4 Investment'!$A$24:$G$33,5,FALSE)*'A4 Investment'!E$18/12,0))</f>
        <v>0</v>
      </c>
      <c r="G151" s="150">
        <f>IF(B151="NA","NA",IF(ISNUMBER(VLOOKUP($C151,'A4 Investment'!$A$24:$G$33,6,FALSE)),VLOOKUP($C151,'A4 Investment'!$A$24:$G$33,6,FALSE)*'A4 Investment'!F$18/12,0))</f>
        <v>0</v>
      </c>
      <c r="H151" s="181">
        <f>IF(B151="NA","NA",IF(ISNUMBER(VLOOKUP($C151,'A4 Investment'!$A$24:$G$33,7,FALSE)),VLOOKUP($C151,'A4 Investment'!$A$24:$G$33,7,FALSE)*'A4 Investment'!G$18/12,0))</f>
        <v>0</v>
      </c>
      <c r="I151" s="160">
        <f t="shared" si="13"/>
        <v>8904.1666666666661</v>
      </c>
    </row>
    <row r="152" spans="1:9" x14ac:dyDescent="0.2">
      <c r="A152" s="86">
        <f t="shared" si="14"/>
        <v>3927</v>
      </c>
      <c r="B152" s="142">
        <f t="shared" si="15"/>
        <v>130</v>
      </c>
      <c r="C152" s="143">
        <f t="shared" si="16"/>
        <v>1</v>
      </c>
      <c r="D152" s="149">
        <f>IF(B152="NA","NA",IF(ISNUMBER(VLOOKUP($C152,'A4 Investment'!$A$24:$G$33,3,FALSE)),VLOOKUP($C152,'A4 Investment'!$A$24:$G$33,3,FALSE)*'A4 Investment'!C$18/12,0))</f>
        <v>8904.1666666666661</v>
      </c>
      <c r="E152" s="150">
        <f>IF(B152="NA","NA",IF(ISNUMBER(VLOOKUP($C152,'A4 Investment'!$A$24:$G$33,4,FALSE)),VLOOKUP($C152,'A4 Investment'!$A$24:$G$33,4,FALSE)*'A4 Investment'!D$18/12,0))</f>
        <v>0</v>
      </c>
      <c r="F152" s="150">
        <f>IF(B152="NA","NA",IF(ISNUMBER(VLOOKUP($C152,'A4 Investment'!$A$24:$G$33,5,FALSE)),VLOOKUP($C152,'A4 Investment'!$A$24:$G$33,5,FALSE)*'A4 Investment'!E$18/12,0))</f>
        <v>0</v>
      </c>
      <c r="G152" s="150">
        <f>IF(B152="NA","NA",IF(ISNUMBER(VLOOKUP($C152,'A4 Investment'!$A$24:$G$33,6,FALSE)),VLOOKUP($C152,'A4 Investment'!$A$24:$G$33,6,FALSE)*'A4 Investment'!F$18/12,0))</f>
        <v>0</v>
      </c>
      <c r="H152" s="181">
        <f>IF(B152="NA","NA",IF(ISNUMBER(VLOOKUP($C152,'A4 Investment'!$A$24:$G$33,7,FALSE)),VLOOKUP($C152,'A4 Investment'!$A$24:$G$33,7,FALSE)*'A4 Investment'!G$18/12,0))</f>
        <v>0</v>
      </c>
      <c r="I152" s="160">
        <f t="shared" si="13"/>
        <v>8904.1666666666661</v>
      </c>
    </row>
    <row r="153" spans="1:9" x14ac:dyDescent="0.2">
      <c r="A153" s="86">
        <f t="shared" si="14"/>
        <v>3958</v>
      </c>
      <c r="B153" s="142">
        <f t="shared" si="15"/>
        <v>131</v>
      </c>
      <c r="C153" s="143">
        <f t="shared" si="16"/>
        <v>1</v>
      </c>
      <c r="D153" s="149">
        <f>IF(B153="NA","NA",IF(ISNUMBER(VLOOKUP($C153,'A4 Investment'!$A$24:$G$33,3,FALSE)),VLOOKUP($C153,'A4 Investment'!$A$24:$G$33,3,FALSE)*'A4 Investment'!C$18/12,0))</f>
        <v>8904.1666666666661</v>
      </c>
      <c r="E153" s="150">
        <f>IF(B153="NA","NA",IF(ISNUMBER(VLOOKUP($C153,'A4 Investment'!$A$24:$G$33,4,FALSE)),VLOOKUP($C153,'A4 Investment'!$A$24:$G$33,4,FALSE)*'A4 Investment'!D$18/12,0))</f>
        <v>0</v>
      </c>
      <c r="F153" s="150">
        <f>IF(B153="NA","NA",IF(ISNUMBER(VLOOKUP($C153,'A4 Investment'!$A$24:$G$33,5,FALSE)),VLOOKUP($C153,'A4 Investment'!$A$24:$G$33,5,FALSE)*'A4 Investment'!E$18/12,0))</f>
        <v>0</v>
      </c>
      <c r="G153" s="150">
        <f>IF(B153="NA","NA",IF(ISNUMBER(VLOOKUP($C153,'A4 Investment'!$A$24:$G$33,6,FALSE)),VLOOKUP($C153,'A4 Investment'!$A$24:$G$33,6,FALSE)*'A4 Investment'!F$18/12,0))</f>
        <v>0</v>
      </c>
      <c r="H153" s="181">
        <f>IF(B153="NA","NA",IF(ISNUMBER(VLOOKUP($C153,'A4 Investment'!$A$24:$G$33,7,FALSE)),VLOOKUP($C153,'A4 Investment'!$A$24:$G$33,7,FALSE)*'A4 Investment'!G$18/12,0))</f>
        <v>0</v>
      </c>
      <c r="I153" s="160">
        <f t="shared" si="13"/>
        <v>8904.1666666666661</v>
      </c>
    </row>
    <row r="154" spans="1:9" x14ac:dyDescent="0.2">
      <c r="A154" s="86">
        <f t="shared" si="14"/>
        <v>3988</v>
      </c>
      <c r="B154" s="142">
        <f t="shared" si="15"/>
        <v>132</v>
      </c>
      <c r="C154" s="143">
        <f t="shared" si="16"/>
        <v>1</v>
      </c>
      <c r="D154" s="149">
        <f>IF(B154="NA","NA",IF(ISNUMBER(VLOOKUP($C154,'A4 Investment'!$A$24:$G$33,3,FALSE)),VLOOKUP($C154,'A4 Investment'!$A$24:$G$33,3,FALSE)*'A4 Investment'!C$18/12,0))</f>
        <v>8904.1666666666661</v>
      </c>
      <c r="E154" s="150">
        <f>IF(B154="NA","NA",IF(ISNUMBER(VLOOKUP($C154,'A4 Investment'!$A$24:$G$33,4,FALSE)),VLOOKUP($C154,'A4 Investment'!$A$24:$G$33,4,FALSE)*'A4 Investment'!D$18/12,0))</f>
        <v>0</v>
      </c>
      <c r="F154" s="150">
        <f>IF(B154="NA","NA",IF(ISNUMBER(VLOOKUP($C154,'A4 Investment'!$A$24:$G$33,5,FALSE)),VLOOKUP($C154,'A4 Investment'!$A$24:$G$33,5,FALSE)*'A4 Investment'!E$18/12,0))</f>
        <v>0</v>
      </c>
      <c r="G154" s="150">
        <f>IF(B154="NA","NA",IF(ISNUMBER(VLOOKUP($C154,'A4 Investment'!$A$24:$G$33,6,FALSE)),VLOOKUP($C154,'A4 Investment'!$A$24:$G$33,6,FALSE)*'A4 Investment'!F$18/12,0))</f>
        <v>0</v>
      </c>
      <c r="H154" s="181">
        <f>IF(B154="NA","NA",IF(ISNUMBER(VLOOKUP($C154,'A4 Investment'!$A$24:$G$33,7,FALSE)),VLOOKUP($C154,'A4 Investment'!$A$24:$G$33,7,FALSE)*'A4 Investment'!G$18/12,0))</f>
        <v>0</v>
      </c>
      <c r="I154" s="160">
        <f t="shared" si="13"/>
        <v>8904.1666666666661</v>
      </c>
    </row>
    <row r="155" spans="1:9" x14ac:dyDescent="0.2">
      <c r="A155" s="86">
        <f t="shared" si="14"/>
        <v>4019</v>
      </c>
      <c r="B155" s="142">
        <f t="shared" si="15"/>
        <v>133</v>
      </c>
      <c r="C155" s="143">
        <f t="shared" si="16"/>
        <v>1</v>
      </c>
      <c r="D155" s="149">
        <f>IF(B155="NA","NA",IF(ISNUMBER(VLOOKUP($C155,'A4 Investment'!$A$24:$G$33,3,FALSE)),VLOOKUP($C155,'A4 Investment'!$A$24:$G$33,3,FALSE)*'A4 Investment'!C$18/12,0))</f>
        <v>8904.1666666666661</v>
      </c>
      <c r="E155" s="150">
        <f>IF(B155="NA","NA",IF(ISNUMBER(VLOOKUP($C155,'A4 Investment'!$A$24:$G$33,4,FALSE)),VLOOKUP($C155,'A4 Investment'!$A$24:$G$33,4,FALSE)*'A4 Investment'!D$18/12,0))</f>
        <v>0</v>
      </c>
      <c r="F155" s="150">
        <f>IF(B155="NA","NA",IF(ISNUMBER(VLOOKUP($C155,'A4 Investment'!$A$24:$G$33,5,FALSE)),VLOOKUP($C155,'A4 Investment'!$A$24:$G$33,5,FALSE)*'A4 Investment'!E$18/12,0))</f>
        <v>0</v>
      </c>
      <c r="G155" s="150">
        <f>IF(B155="NA","NA",IF(ISNUMBER(VLOOKUP($C155,'A4 Investment'!$A$24:$G$33,6,FALSE)),VLOOKUP($C155,'A4 Investment'!$A$24:$G$33,6,FALSE)*'A4 Investment'!F$18/12,0))</f>
        <v>0</v>
      </c>
      <c r="H155" s="181">
        <f>IF(B155="NA","NA",IF(ISNUMBER(VLOOKUP($C155,'A4 Investment'!$A$24:$G$33,7,FALSE)),VLOOKUP($C155,'A4 Investment'!$A$24:$G$33,7,FALSE)*'A4 Investment'!G$18/12,0))</f>
        <v>0</v>
      </c>
      <c r="I155" s="160">
        <f t="shared" si="13"/>
        <v>8904.1666666666661</v>
      </c>
    </row>
    <row r="156" spans="1:9" x14ac:dyDescent="0.2">
      <c r="A156" s="86">
        <f t="shared" si="14"/>
        <v>4050</v>
      </c>
      <c r="B156" s="142">
        <f t="shared" si="15"/>
        <v>134</v>
      </c>
      <c r="C156" s="143">
        <f t="shared" si="16"/>
        <v>1</v>
      </c>
      <c r="D156" s="149">
        <f>IF(B156="NA","NA",IF(ISNUMBER(VLOOKUP($C156,'A4 Investment'!$A$24:$G$33,3,FALSE)),VLOOKUP($C156,'A4 Investment'!$A$24:$G$33,3,FALSE)*'A4 Investment'!C$18/12,0))</f>
        <v>8904.1666666666661</v>
      </c>
      <c r="E156" s="150">
        <f>IF(B156="NA","NA",IF(ISNUMBER(VLOOKUP($C156,'A4 Investment'!$A$24:$G$33,4,FALSE)),VLOOKUP($C156,'A4 Investment'!$A$24:$G$33,4,FALSE)*'A4 Investment'!D$18/12,0))</f>
        <v>0</v>
      </c>
      <c r="F156" s="150">
        <f>IF(B156="NA","NA",IF(ISNUMBER(VLOOKUP($C156,'A4 Investment'!$A$24:$G$33,5,FALSE)),VLOOKUP($C156,'A4 Investment'!$A$24:$G$33,5,FALSE)*'A4 Investment'!E$18/12,0))</f>
        <v>0</v>
      </c>
      <c r="G156" s="150">
        <f>IF(B156="NA","NA",IF(ISNUMBER(VLOOKUP($C156,'A4 Investment'!$A$24:$G$33,6,FALSE)),VLOOKUP($C156,'A4 Investment'!$A$24:$G$33,6,FALSE)*'A4 Investment'!F$18/12,0))</f>
        <v>0</v>
      </c>
      <c r="H156" s="181">
        <f>IF(B156="NA","NA",IF(ISNUMBER(VLOOKUP($C156,'A4 Investment'!$A$24:$G$33,7,FALSE)),VLOOKUP($C156,'A4 Investment'!$A$24:$G$33,7,FALSE)*'A4 Investment'!G$18/12,0))</f>
        <v>0</v>
      </c>
      <c r="I156" s="160">
        <f t="shared" si="13"/>
        <v>8904.1666666666661</v>
      </c>
    </row>
    <row r="157" spans="1:9" x14ac:dyDescent="0.2">
      <c r="A157" s="86">
        <f t="shared" si="14"/>
        <v>4078</v>
      </c>
      <c r="B157" s="142">
        <f t="shared" si="15"/>
        <v>135</v>
      </c>
      <c r="C157" s="143">
        <f t="shared" si="16"/>
        <v>1</v>
      </c>
      <c r="D157" s="149">
        <f>IF(B157="NA","NA",IF(ISNUMBER(VLOOKUP($C157,'A4 Investment'!$A$24:$G$33,3,FALSE)),VLOOKUP($C157,'A4 Investment'!$A$24:$G$33,3,FALSE)*'A4 Investment'!C$18/12,0))</f>
        <v>8904.1666666666661</v>
      </c>
      <c r="E157" s="150">
        <f>IF(B157="NA","NA",IF(ISNUMBER(VLOOKUP($C157,'A4 Investment'!$A$24:$G$33,4,FALSE)),VLOOKUP($C157,'A4 Investment'!$A$24:$G$33,4,FALSE)*'A4 Investment'!D$18/12,0))</f>
        <v>0</v>
      </c>
      <c r="F157" s="150">
        <f>IF(B157="NA","NA",IF(ISNUMBER(VLOOKUP($C157,'A4 Investment'!$A$24:$G$33,5,FALSE)),VLOOKUP($C157,'A4 Investment'!$A$24:$G$33,5,FALSE)*'A4 Investment'!E$18/12,0))</f>
        <v>0</v>
      </c>
      <c r="G157" s="150">
        <f>IF(B157="NA","NA",IF(ISNUMBER(VLOOKUP($C157,'A4 Investment'!$A$24:$G$33,6,FALSE)),VLOOKUP($C157,'A4 Investment'!$A$24:$G$33,6,FALSE)*'A4 Investment'!F$18/12,0))</f>
        <v>0</v>
      </c>
      <c r="H157" s="181">
        <f>IF(B157="NA","NA",IF(ISNUMBER(VLOOKUP($C157,'A4 Investment'!$A$24:$G$33,7,FALSE)),VLOOKUP($C157,'A4 Investment'!$A$24:$G$33,7,FALSE)*'A4 Investment'!G$18/12,0))</f>
        <v>0</v>
      </c>
      <c r="I157" s="160">
        <f t="shared" si="13"/>
        <v>8904.1666666666661</v>
      </c>
    </row>
    <row r="158" spans="1:9" x14ac:dyDescent="0.2">
      <c r="A158" s="86">
        <f t="shared" si="14"/>
        <v>4109</v>
      </c>
      <c r="B158" s="142">
        <f t="shared" si="15"/>
        <v>136</v>
      </c>
      <c r="C158" s="143">
        <f t="shared" si="16"/>
        <v>1</v>
      </c>
      <c r="D158" s="149">
        <f>IF(B158="NA","NA",IF(ISNUMBER(VLOOKUP($C158,'A4 Investment'!$A$24:$G$33,3,FALSE)),VLOOKUP($C158,'A4 Investment'!$A$24:$G$33,3,FALSE)*'A4 Investment'!C$18/12,0))</f>
        <v>8904.1666666666661</v>
      </c>
      <c r="E158" s="150">
        <f>IF(B158="NA","NA",IF(ISNUMBER(VLOOKUP($C158,'A4 Investment'!$A$24:$G$33,4,FALSE)),VLOOKUP($C158,'A4 Investment'!$A$24:$G$33,4,FALSE)*'A4 Investment'!D$18/12,0))</f>
        <v>0</v>
      </c>
      <c r="F158" s="150">
        <f>IF(B158="NA","NA",IF(ISNUMBER(VLOOKUP($C158,'A4 Investment'!$A$24:$G$33,5,FALSE)),VLOOKUP($C158,'A4 Investment'!$A$24:$G$33,5,FALSE)*'A4 Investment'!E$18/12,0))</f>
        <v>0</v>
      </c>
      <c r="G158" s="150">
        <f>IF(B158="NA","NA",IF(ISNUMBER(VLOOKUP($C158,'A4 Investment'!$A$24:$G$33,6,FALSE)),VLOOKUP($C158,'A4 Investment'!$A$24:$G$33,6,FALSE)*'A4 Investment'!F$18/12,0))</f>
        <v>0</v>
      </c>
      <c r="H158" s="181">
        <f>IF(B158="NA","NA",IF(ISNUMBER(VLOOKUP($C158,'A4 Investment'!$A$24:$G$33,7,FALSE)),VLOOKUP($C158,'A4 Investment'!$A$24:$G$33,7,FALSE)*'A4 Investment'!G$18/12,0))</f>
        <v>0</v>
      </c>
      <c r="I158" s="160">
        <f t="shared" si="13"/>
        <v>8904.1666666666661</v>
      </c>
    </row>
    <row r="159" spans="1:9" x14ac:dyDescent="0.2">
      <c r="A159" s="86">
        <f t="shared" si="14"/>
        <v>4139</v>
      </c>
      <c r="B159" s="142">
        <f t="shared" si="15"/>
        <v>137</v>
      </c>
      <c r="C159" s="143">
        <f t="shared" si="16"/>
        <v>1</v>
      </c>
      <c r="D159" s="149">
        <f>IF(B159="NA","NA",IF(ISNUMBER(VLOOKUP($C159,'A4 Investment'!$A$24:$G$33,3,FALSE)),VLOOKUP($C159,'A4 Investment'!$A$24:$G$33,3,FALSE)*'A4 Investment'!C$18/12,0))</f>
        <v>8904.1666666666661</v>
      </c>
      <c r="E159" s="150">
        <f>IF(B159="NA","NA",IF(ISNUMBER(VLOOKUP($C159,'A4 Investment'!$A$24:$G$33,4,FALSE)),VLOOKUP($C159,'A4 Investment'!$A$24:$G$33,4,FALSE)*'A4 Investment'!D$18/12,0))</f>
        <v>0</v>
      </c>
      <c r="F159" s="150">
        <f>IF(B159="NA","NA",IF(ISNUMBER(VLOOKUP($C159,'A4 Investment'!$A$24:$G$33,5,FALSE)),VLOOKUP($C159,'A4 Investment'!$A$24:$G$33,5,FALSE)*'A4 Investment'!E$18/12,0))</f>
        <v>0</v>
      </c>
      <c r="G159" s="150">
        <f>IF(B159="NA","NA",IF(ISNUMBER(VLOOKUP($C159,'A4 Investment'!$A$24:$G$33,6,FALSE)),VLOOKUP($C159,'A4 Investment'!$A$24:$G$33,6,FALSE)*'A4 Investment'!F$18/12,0))</f>
        <v>0</v>
      </c>
      <c r="H159" s="181">
        <f>IF(B159="NA","NA",IF(ISNUMBER(VLOOKUP($C159,'A4 Investment'!$A$24:$G$33,7,FALSE)),VLOOKUP($C159,'A4 Investment'!$A$24:$G$33,7,FALSE)*'A4 Investment'!G$18/12,0))</f>
        <v>0</v>
      </c>
      <c r="I159" s="160">
        <f t="shared" si="13"/>
        <v>8904.1666666666661</v>
      </c>
    </row>
    <row r="160" spans="1:9" x14ac:dyDescent="0.2">
      <c r="A160" s="86">
        <f t="shared" si="14"/>
        <v>4170</v>
      </c>
      <c r="B160" s="142">
        <f t="shared" si="15"/>
        <v>138</v>
      </c>
      <c r="C160" s="143">
        <f t="shared" si="16"/>
        <v>1</v>
      </c>
      <c r="D160" s="149">
        <f>IF(B160="NA","NA",IF(ISNUMBER(VLOOKUP($C160,'A4 Investment'!$A$24:$G$33,3,FALSE)),VLOOKUP($C160,'A4 Investment'!$A$24:$G$33,3,FALSE)*'A4 Investment'!C$18/12,0))</f>
        <v>8904.1666666666661</v>
      </c>
      <c r="E160" s="150">
        <f>IF(B160="NA","NA",IF(ISNUMBER(VLOOKUP($C160,'A4 Investment'!$A$24:$G$33,4,FALSE)),VLOOKUP($C160,'A4 Investment'!$A$24:$G$33,4,FALSE)*'A4 Investment'!D$18/12,0))</f>
        <v>0</v>
      </c>
      <c r="F160" s="150">
        <f>IF(B160="NA","NA",IF(ISNUMBER(VLOOKUP($C160,'A4 Investment'!$A$24:$G$33,5,FALSE)),VLOOKUP($C160,'A4 Investment'!$A$24:$G$33,5,FALSE)*'A4 Investment'!E$18/12,0))</f>
        <v>0</v>
      </c>
      <c r="G160" s="150">
        <f>IF(B160="NA","NA",IF(ISNUMBER(VLOOKUP($C160,'A4 Investment'!$A$24:$G$33,6,FALSE)),VLOOKUP($C160,'A4 Investment'!$A$24:$G$33,6,FALSE)*'A4 Investment'!F$18/12,0))</f>
        <v>0</v>
      </c>
      <c r="H160" s="181">
        <f>IF(B160="NA","NA",IF(ISNUMBER(VLOOKUP($C160,'A4 Investment'!$A$24:$G$33,7,FALSE)),VLOOKUP($C160,'A4 Investment'!$A$24:$G$33,7,FALSE)*'A4 Investment'!G$18/12,0))</f>
        <v>0</v>
      </c>
      <c r="I160" s="160">
        <f t="shared" si="13"/>
        <v>8904.1666666666661</v>
      </c>
    </row>
    <row r="161" spans="1:9" x14ac:dyDescent="0.2">
      <c r="A161" s="86">
        <f t="shared" si="14"/>
        <v>4200</v>
      </c>
      <c r="B161" s="142">
        <f t="shared" si="15"/>
        <v>139</v>
      </c>
      <c r="C161" s="143">
        <f t="shared" si="16"/>
        <v>1</v>
      </c>
      <c r="D161" s="149">
        <f>IF(B161="NA","NA",IF(ISNUMBER(VLOOKUP($C161,'A4 Investment'!$A$24:$G$33,3,FALSE)),VLOOKUP($C161,'A4 Investment'!$A$24:$G$33,3,FALSE)*'A4 Investment'!C$18/12,0))</f>
        <v>8904.1666666666661</v>
      </c>
      <c r="E161" s="150">
        <f>IF(B161="NA","NA",IF(ISNUMBER(VLOOKUP($C161,'A4 Investment'!$A$24:$G$33,4,FALSE)),VLOOKUP($C161,'A4 Investment'!$A$24:$G$33,4,FALSE)*'A4 Investment'!D$18/12,0))</f>
        <v>0</v>
      </c>
      <c r="F161" s="150">
        <f>IF(B161="NA","NA",IF(ISNUMBER(VLOOKUP($C161,'A4 Investment'!$A$24:$G$33,5,FALSE)),VLOOKUP($C161,'A4 Investment'!$A$24:$G$33,5,FALSE)*'A4 Investment'!E$18/12,0))</f>
        <v>0</v>
      </c>
      <c r="G161" s="150">
        <f>IF(B161="NA","NA",IF(ISNUMBER(VLOOKUP($C161,'A4 Investment'!$A$24:$G$33,6,FALSE)),VLOOKUP($C161,'A4 Investment'!$A$24:$G$33,6,FALSE)*'A4 Investment'!F$18/12,0))</f>
        <v>0</v>
      </c>
      <c r="H161" s="181">
        <f>IF(B161="NA","NA",IF(ISNUMBER(VLOOKUP($C161,'A4 Investment'!$A$24:$G$33,7,FALSE)),VLOOKUP($C161,'A4 Investment'!$A$24:$G$33,7,FALSE)*'A4 Investment'!G$18/12,0))</f>
        <v>0</v>
      </c>
      <c r="I161" s="160">
        <f t="shared" si="13"/>
        <v>8904.1666666666661</v>
      </c>
    </row>
    <row r="162" spans="1:9" x14ac:dyDescent="0.2">
      <c r="A162" s="86">
        <f t="shared" si="14"/>
        <v>4231</v>
      </c>
      <c r="B162" s="142">
        <f t="shared" si="15"/>
        <v>140</v>
      </c>
      <c r="C162" s="143">
        <f t="shared" si="16"/>
        <v>1</v>
      </c>
      <c r="D162" s="149">
        <f>IF(B162="NA","NA",IF(ISNUMBER(VLOOKUP($C162,'A4 Investment'!$A$24:$G$33,3,FALSE)),VLOOKUP($C162,'A4 Investment'!$A$24:$G$33,3,FALSE)*'A4 Investment'!C$18/12,0))</f>
        <v>8904.1666666666661</v>
      </c>
      <c r="E162" s="150">
        <f>IF(B162="NA","NA",IF(ISNUMBER(VLOOKUP($C162,'A4 Investment'!$A$24:$G$33,4,FALSE)),VLOOKUP($C162,'A4 Investment'!$A$24:$G$33,4,FALSE)*'A4 Investment'!D$18/12,0))</f>
        <v>0</v>
      </c>
      <c r="F162" s="150">
        <f>IF(B162="NA","NA",IF(ISNUMBER(VLOOKUP($C162,'A4 Investment'!$A$24:$G$33,5,FALSE)),VLOOKUP($C162,'A4 Investment'!$A$24:$G$33,5,FALSE)*'A4 Investment'!E$18/12,0))</f>
        <v>0</v>
      </c>
      <c r="G162" s="150">
        <f>IF(B162="NA","NA",IF(ISNUMBER(VLOOKUP($C162,'A4 Investment'!$A$24:$G$33,6,FALSE)),VLOOKUP($C162,'A4 Investment'!$A$24:$G$33,6,FALSE)*'A4 Investment'!F$18/12,0))</f>
        <v>0</v>
      </c>
      <c r="H162" s="181">
        <f>IF(B162="NA","NA",IF(ISNUMBER(VLOOKUP($C162,'A4 Investment'!$A$24:$G$33,7,FALSE)),VLOOKUP($C162,'A4 Investment'!$A$24:$G$33,7,FALSE)*'A4 Investment'!G$18/12,0))</f>
        <v>0</v>
      </c>
      <c r="I162" s="160">
        <f t="shared" si="13"/>
        <v>8904.1666666666661</v>
      </c>
    </row>
    <row r="163" spans="1:9" x14ac:dyDescent="0.2">
      <c r="A163" s="86">
        <f t="shared" si="14"/>
        <v>4262</v>
      </c>
      <c r="B163" s="142">
        <f t="shared" si="15"/>
        <v>141</v>
      </c>
      <c r="C163" s="143">
        <f t="shared" si="16"/>
        <v>1</v>
      </c>
      <c r="D163" s="149">
        <f>IF(B163="NA","NA",IF(ISNUMBER(VLOOKUP($C163,'A4 Investment'!$A$24:$G$33,3,FALSE)),VLOOKUP($C163,'A4 Investment'!$A$24:$G$33,3,FALSE)*'A4 Investment'!C$18/12,0))</f>
        <v>8904.1666666666661</v>
      </c>
      <c r="E163" s="150">
        <f>IF(B163="NA","NA",IF(ISNUMBER(VLOOKUP($C163,'A4 Investment'!$A$24:$G$33,4,FALSE)),VLOOKUP($C163,'A4 Investment'!$A$24:$G$33,4,FALSE)*'A4 Investment'!D$18/12,0))</f>
        <v>0</v>
      </c>
      <c r="F163" s="150">
        <f>IF(B163="NA","NA",IF(ISNUMBER(VLOOKUP($C163,'A4 Investment'!$A$24:$G$33,5,FALSE)),VLOOKUP($C163,'A4 Investment'!$A$24:$G$33,5,FALSE)*'A4 Investment'!E$18/12,0))</f>
        <v>0</v>
      </c>
      <c r="G163" s="150">
        <f>IF(B163="NA","NA",IF(ISNUMBER(VLOOKUP($C163,'A4 Investment'!$A$24:$G$33,6,FALSE)),VLOOKUP($C163,'A4 Investment'!$A$24:$G$33,6,FALSE)*'A4 Investment'!F$18/12,0))</f>
        <v>0</v>
      </c>
      <c r="H163" s="181">
        <f>IF(B163="NA","NA",IF(ISNUMBER(VLOOKUP($C163,'A4 Investment'!$A$24:$G$33,7,FALSE)),VLOOKUP($C163,'A4 Investment'!$A$24:$G$33,7,FALSE)*'A4 Investment'!G$18/12,0))</f>
        <v>0</v>
      </c>
      <c r="I163" s="160">
        <f t="shared" si="13"/>
        <v>8904.1666666666661</v>
      </c>
    </row>
    <row r="164" spans="1:9" x14ac:dyDescent="0.2">
      <c r="A164" s="86">
        <f t="shared" si="14"/>
        <v>4292</v>
      </c>
      <c r="B164" s="142">
        <f t="shared" si="15"/>
        <v>142</v>
      </c>
      <c r="C164" s="143">
        <f t="shared" si="16"/>
        <v>1</v>
      </c>
      <c r="D164" s="149">
        <f>IF(B164="NA","NA",IF(ISNUMBER(VLOOKUP($C164,'A4 Investment'!$A$24:$G$33,3,FALSE)),VLOOKUP($C164,'A4 Investment'!$A$24:$G$33,3,FALSE)*'A4 Investment'!C$18/12,0))</f>
        <v>8904.1666666666661</v>
      </c>
      <c r="E164" s="150">
        <f>IF(B164="NA","NA",IF(ISNUMBER(VLOOKUP($C164,'A4 Investment'!$A$24:$G$33,4,FALSE)),VLOOKUP($C164,'A4 Investment'!$A$24:$G$33,4,FALSE)*'A4 Investment'!D$18/12,0))</f>
        <v>0</v>
      </c>
      <c r="F164" s="150">
        <f>IF(B164="NA","NA",IF(ISNUMBER(VLOOKUP($C164,'A4 Investment'!$A$24:$G$33,5,FALSE)),VLOOKUP($C164,'A4 Investment'!$A$24:$G$33,5,FALSE)*'A4 Investment'!E$18/12,0))</f>
        <v>0</v>
      </c>
      <c r="G164" s="150">
        <f>IF(B164="NA","NA",IF(ISNUMBER(VLOOKUP($C164,'A4 Investment'!$A$24:$G$33,6,FALSE)),VLOOKUP($C164,'A4 Investment'!$A$24:$G$33,6,FALSE)*'A4 Investment'!F$18/12,0))</f>
        <v>0</v>
      </c>
      <c r="H164" s="181">
        <f>IF(B164="NA","NA",IF(ISNUMBER(VLOOKUP($C164,'A4 Investment'!$A$24:$G$33,7,FALSE)),VLOOKUP($C164,'A4 Investment'!$A$24:$G$33,7,FALSE)*'A4 Investment'!G$18/12,0))</f>
        <v>0</v>
      </c>
      <c r="I164" s="160">
        <f t="shared" si="13"/>
        <v>8904.1666666666661</v>
      </c>
    </row>
    <row r="165" spans="1:9" x14ac:dyDescent="0.2">
      <c r="A165" s="86">
        <f t="shared" si="14"/>
        <v>4323</v>
      </c>
      <c r="B165" s="142">
        <f t="shared" si="15"/>
        <v>143</v>
      </c>
      <c r="C165" s="143">
        <f t="shared" si="16"/>
        <v>1</v>
      </c>
      <c r="D165" s="149">
        <f>IF(B165="NA","NA",IF(ISNUMBER(VLOOKUP($C165,'A4 Investment'!$A$24:$G$33,3,FALSE)),VLOOKUP($C165,'A4 Investment'!$A$24:$G$33,3,FALSE)*'A4 Investment'!C$18/12,0))</f>
        <v>8904.1666666666661</v>
      </c>
      <c r="E165" s="150">
        <f>IF(B165="NA","NA",IF(ISNUMBER(VLOOKUP($C165,'A4 Investment'!$A$24:$G$33,4,FALSE)),VLOOKUP($C165,'A4 Investment'!$A$24:$G$33,4,FALSE)*'A4 Investment'!D$18/12,0))</f>
        <v>0</v>
      </c>
      <c r="F165" s="150">
        <f>IF(B165="NA","NA",IF(ISNUMBER(VLOOKUP($C165,'A4 Investment'!$A$24:$G$33,5,FALSE)),VLOOKUP($C165,'A4 Investment'!$A$24:$G$33,5,FALSE)*'A4 Investment'!E$18/12,0))</f>
        <v>0</v>
      </c>
      <c r="G165" s="150">
        <f>IF(B165="NA","NA",IF(ISNUMBER(VLOOKUP($C165,'A4 Investment'!$A$24:$G$33,6,FALSE)),VLOOKUP($C165,'A4 Investment'!$A$24:$G$33,6,FALSE)*'A4 Investment'!F$18/12,0))</f>
        <v>0</v>
      </c>
      <c r="H165" s="181">
        <f>IF(B165="NA","NA",IF(ISNUMBER(VLOOKUP($C165,'A4 Investment'!$A$24:$G$33,7,FALSE)),VLOOKUP($C165,'A4 Investment'!$A$24:$G$33,7,FALSE)*'A4 Investment'!G$18/12,0))</f>
        <v>0</v>
      </c>
      <c r="I165" s="160">
        <f t="shared" si="13"/>
        <v>8904.1666666666661</v>
      </c>
    </row>
    <row r="166" spans="1:9" x14ac:dyDescent="0.2">
      <c r="A166" s="86">
        <f t="shared" si="14"/>
        <v>4353</v>
      </c>
      <c r="B166" s="142">
        <f t="shared" si="15"/>
        <v>144</v>
      </c>
      <c r="C166" s="143">
        <f t="shared" si="16"/>
        <v>1</v>
      </c>
      <c r="D166" s="149">
        <f>IF(B166="NA","NA",IF(ISNUMBER(VLOOKUP($C166,'A4 Investment'!$A$24:$G$33,3,FALSE)),VLOOKUP($C166,'A4 Investment'!$A$24:$G$33,3,FALSE)*'A4 Investment'!C$18/12,0))</f>
        <v>8904.1666666666661</v>
      </c>
      <c r="E166" s="150">
        <f>IF(B166="NA","NA",IF(ISNUMBER(VLOOKUP($C166,'A4 Investment'!$A$24:$G$33,4,FALSE)),VLOOKUP($C166,'A4 Investment'!$A$24:$G$33,4,FALSE)*'A4 Investment'!D$18/12,0))</f>
        <v>0</v>
      </c>
      <c r="F166" s="150">
        <f>IF(B166="NA","NA",IF(ISNUMBER(VLOOKUP($C166,'A4 Investment'!$A$24:$G$33,5,FALSE)),VLOOKUP($C166,'A4 Investment'!$A$24:$G$33,5,FALSE)*'A4 Investment'!E$18/12,0))</f>
        <v>0</v>
      </c>
      <c r="G166" s="150">
        <f>IF(B166="NA","NA",IF(ISNUMBER(VLOOKUP($C166,'A4 Investment'!$A$24:$G$33,6,FALSE)),VLOOKUP($C166,'A4 Investment'!$A$24:$G$33,6,FALSE)*'A4 Investment'!F$18/12,0))</f>
        <v>0</v>
      </c>
      <c r="H166" s="181">
        <f>IF(B166="NA","NA",IF(ISNUMBER(VLOOKUP($C166,'A4 Investment'!$A$24:$G$33,7,FALSE)),VLOOKUP($C166,'A4 Investment'!$A$24:$G$33,7,FALSE)*'A4 Investment'!G$18/12,0))</f>
        <v>0</v>
      </c>
      <c r="I166" s="160">
        <f t="shared" si="13"/>
        <v>8904.1666666666661</v>
      </c>
    </row>
    <row r="167" spans="1:9" x14ac:dyDescent="0.2">
      <c r="A167" s="86">
        <f t="shared" si="14"/>
        <v>4384</v>
      </c>
      <c r="B167" s="142">
        <f t="shared" si="15"/>
        <v>145</v>
      </c>
      <c r="C167" s="143">
        <f t="shared" si="16"/>
        <v>1</v>
      </c>
      <c r="D167" s="149">
        <f>IF(B167="NA","NA",IF(ISNUMBER(VLOOKUP($C167,'A4 Investment'!$A$24:$G$33,3,FALSE)),VLOOKUP($C167,'A4 Investment'!$A$24:$G$33,3,FALSE)*'A4 Investment'!C$18/12,0))</f>
        <v>8904.1666666666661</v>
      </c>
      <c r="E167" s="150">
        <f>IF(B167="NA","NA",IF(ISNUMBER(VLOOKUP($C167,'A4 Investment'!$A$24:$G$33,4,FALSE)),VLOOKUP($C167,'A4 Investment'!$A$24:$G$33,4,FALSE)*'A4 Investment'!D$18/12,0))</f>
        <v>0</v>
      </c>
      <c r="F167" s="150">
        <f>IF(B167="NA","NA",IF(ISNUMBER(VLOOKUP($C167,'A4 Investment'!$A$24:$G$33,5,FALSE)),VLOOKUP($C167,'A4 Investment'!$A$24:$G$33,5,FALSE)*'A4 Investment'!E$18/12,0))</f>
        <v>0</v>
      </c>
      <c r="G167" s="150">
        <f>IF(B167="NA","NA",IF(ISNUMBER(VLOOKUP($C167,'A4 Investment'!$A$24:$G$33,6,FALSE)),VLOOKUP($C167,'A4 Investment'!$A$24:$G$33,6,FALSE)*'A4 Investment'!F$18/12,0))</f>
        <v>0</v>
      </c>
      <c r="H167" s="181">
        <f>IF(B167="NA","NA",IF(ISNUMBER(VLOOKUP($C167,'A4 Investment'!$A$24:$G$33,7,FALSE)),VLOOKUP($C167,'A4 Investment'!$A$24:$G$33,7,FALSE)*'A4 Investment'!G$18/12,0))</f>
        <v>0</v>
      </c>
      <c r="I167" s="160">
        <f t="shared" si="13"/>
        <v>8904.1666666666661</v>
      </c>
    </row>
    <row r="168" spans="1:9" x14ac:dyDescent="0.2">
      <c r="A168" s="86">
        <f t="shared" si="14"/>
        <v>4415</v>
      </c>
      <c r="B168" s="142">
        <f t="shared" si="15"/>
        <v>146</v>
      </c>
      <c r="C168" s="143">
        <f t="shared" si="16"/>
        <v>1</v>
      </c>
      <c r="D168" s="149">
        <f>IF(B168="NA","NA",IF(ISNUMBER(VLOOKUP($C168,'A4 Investment'!$A$24:$G$33,3,FALSE)),VLOOKUP($C168,'A4 Investment'!$A$24:$G$33,3,FALSE)*'A4 Investment'!C$18/12,0))</f>
        <v>8904.1666666666661</v>
      </c>
      <c r="E168" s="150">
        <f>IF(B168="NA","NA",IF(ISNUMBER(VLOOKUP($C168,'A4 Investment'!$A$24:$G$33,4,FALSE)),VLOOKUP($C168,'A4 Investment'!$A$24:$G$33,4,FALSE)*'A4 Investment'!D$18/12,0))</f>
        <v>0</v>
      </c>
      <c r="F168" s="150">
        <f>IF(B168="NA","NA",IF(ISNUMBER(VLOOKUP($C168,'A4 Investment'!$A$24:$G$33,5,FALSE)),VLOOKUP($C168,'A4 Investment'!$A$24:$G$33,5,FALSE)*'A4 Investment'!E$18/12,0))</f>
        <v>0</v>
      </c>
      <c r="G168" s="150">
        <f>IF(B168="NA","NA",IF(ISNUMBER(VLOOKUP($C168,'A4 Investment'!$A$24:$G$33,6,FALSE)),VLOOKUP($C168,'A4 Investment'!$A$24:$G$33,6,FALSE)*'A4 Investment'!F$18/12,0))</f>
        <v>0</v>
      </c>
      <c r="H168" s="181">
        <f>IF(B168="NA","NA",IF(ISNUMBER(VLOOKUP($C168,'A4 Investment'!$A$24:$G$33,7,FALSE)),VLOOKUP($C168,'A4 Investment'!$A$24:$G$33,7,FALSE)*'A4 Investment'!G$18/12,0))</f>
        <v>0</v>
      </c>
      <c r="I168" s="160">
        <f t="shared" si="13"/>
        <v>8904.1666666666661</v>
      </c>
    </row>
    <row r="169" spans="1:9" x14ac:dyDescent="0.2">
      <c r="A169" s="86">
        <f t="shared" si="14"/>
        <v>4444</v>
      </c>
      <c r="B169" s="142">
        <f t="shared" si="15"/>
        <v>147</v>
      </c>
      <c r="C169" s="143">
        <f t="shared" si="16"/>
        <v>1</v>
      </c>
      <c r="D169" s="149">
        <f>IF(B169="NA","NA",IF(ISNUMBER(VLOOKUP($C169,'A4 Investment'!$A$24:$G$33,3,FALSE)),VLOOKUP($C169,'A4 Investment'!$A$24:$G$33,3,FALSE)*'A4 Investment'!C$18/12,0))</f>
        <v>8904.1666666666661</v>
      </c>
      <c r="E169" s="150">
        <f>IF(B169="NA","NA",IF(ISNUMBER(VLOOKUP($C169,'A4 Investment'!$A$24:$G$33,4,FALSE)),VLOOKUP($C169,'A4 Investment'!$A$24:$G$33,4,FALSE)*'A4 Investment'!D$18/12,0))</f>
        <v>0</v>
      </c>
      <c r="F169" s="150">
        <f>IF(B169="NA","NA",IF(ISNUMBER(VLOOKUP($C169,'A4 Investment'!$A$24:$G$33,5,FALSE)),VLOOKUP($C169,'A4 Investment'!$A$24:$G$33,5,FALSE)*'A4 Investment'!E$18/12,0))</f>
        <v>0</v>
      </c>
      <c r="G169" s="150">
        <f>IF(B169="NA","NA",IF(ISNUMBER(VLOOKUP($C169,'A4 Investment'!$A$24:$G$33,6,FALSE)),VLOOKUP($C169,'A4 Investment'!$A$24:$G$33,6,FALSE)*'A4 Investment'!F$18/12,0))</f>
        <v>0</v>
      </c>
      <c r="H169" s="181">
        <f>IF(B169="NA","NA",IF(ISNUMBER(VLOOKUP($C169,'A4 Investment'!$A$24:$G$33,7,FALSE)),VLOOKUP($C169,'A4 Investment'!$A$24:$G$33,7,FALSE)*'A4 Investment'!G$18/12,0))</f>
        <v>0</v>
      </c>
      <c r="I169" s="160">
        <f t="shared" si="13"/>
        <v>8904.1666666666661</v>
      </c>
    </row>
    <row r="170" spans="1:9" x14ac:dyDescent="0.2">
      <c r="A170" s="86">
        <f t="shared" si="14"/>
        <v>4475</v>
      </c>
      <c r="B170" s="142">
        <f t="shared" si="15"/>
        <v>148</v>
      </c>
      <c r="C170" s="143">
        <f t="shared" si="16"/>
        <v>1</v>
      </c>
      <c r="D170" s="149">
        <f>IF(B170="NA","NA",IF(ISNUMBER(VLOOKUP($C170,'A4 Investment'!$A$24:$G$33,3,FALSE)),VLOOKUP($C170,'A4 Investment'!$A$24:$G$33,3,FALSE)*'A4 Investment'!C$18/12,0))</f>
        <v>8904.1666666666661</v>
      </c>
      <c r="E170" s="150">
        <f>IF(B170="NA","NA",IF(ISNUMBER(VLOOKUP($C170,'A4 Investment'!$A$24:$G$33,4,FALSE)),VLOOKUP($C170,'A4 Investment'!$A$24:$G$33,4,FALSE)*'A4 Investment'!D$18/12,0))</f>
        <v>0</v>
      </c>
      <c r="F170" s="150">
        <f>IF(B170="NA","NA",IF(ISNUMBER(VLOOKUP($C170,'A4 Investment'!$A$24:$G$33,5,FALSE)),VLOOKUP($C170,'A4 Investment'!$A$24:$G$33,5,FALSE)*'A4 Investment'!E$18/12,0))</f>
        <v>0</v>
      </c>
      <c r="G170" s="150">
        <f>IF(B170="NA","NA",IF(ISNUMBER(VLOOKUP($C170,'A4 Investment'!$A$24:$G$33,6,FALSE)),VLOOKUP($C170,'A4 Investment'!$A$24:$G$33,6,FALSE)*'A4 Investment'!F$18/12,0))</f>
        <v>0</v>
      </c>
      <c r="H170" s="181">
        <f>IF(B170="NA","NA",IF(ISNUMBER(VLOOKUP($C170,'A4 Investment'!$A$24:$G$33,7,FALSE)),VLOOKUP($C170,'A4 Investment'!$A$24:$G$33,7,FALSE)*'A4 Investment'!G$18/12,0))</f>
        <v>0</v>
      </c>
      <c r="I170" s="160">
        <f t="shared" si="13"/>
        <v>8904.1666666666661</v>
      </c>
    </row>
    <row r="171" spans="1:9" x14ac:dyDescent="0.2">
      <c r="A171" s="86">
        <f t="shared" si="14"/>
        <v>4505</v>
      </c>
      <c r="B171" s="142">
        <f t="shared" si="15"/>
        <v>149</v>
      </c>
      <c r="C171" s="143">
        <f t="shared" si="16"/>
        <v>1</v>
      </c>
      <c r="D171" s="149">
        <f>IF(B171="NA","NA",IF(ISNUMBER(VLOOKUP($C171,'A4 Investment'!$A$24:$G$33,3,FALSE)),VLOOKUP($C171,'A4 Investment'!$A$24:$G$33,3,FALSE)*'A4 Investment'!C$18/12,0))</f>
        <v>8904.1666666666661</v>
      </c>
      <c r="E171" s="150">
        <f>IF(B171="NA","NA",IF(ISNUMBER(VLOOKUP($C171,'A4 Investment'!$A$24:$G$33,4,FALSE)),VLOOKUP($C171,'A4 Investment'!$A$24:$G$33,4,FALSE)*'A4 Investment'!D$18/12,0))</f>
        <v>0</v>
      </c>
      <c r="F171" s="150">
        <f>IF(B171="NA","NA",IF(ISNUMBER(VLOOKUP($C171,'A4 Investment'!$A$24:$G$33,5,FALSE)),VLOOKUP($C171,'A4 Investment'!$A$24:$G$33,5,FALSE)*'A4 Investment'!E$18/12,0))</f>
        <v>0</v>
      </c>
      <c r="G171" s="150">
        <f>IF(B171="NA","NA",IF(ISNUMBER(VLOOKUP($C171,'A4 Investment'!$A$24:$G$33,6,FALSE)),VLOOKUP($C171,'A4 Investment'!$A$24:$G$33,6,FALSE)*'A4 Investment'!F$18/12,0))</f>
        <v>0</v>
      </c>
      <c r="H171" s="181">
        <f>IF(B171="NA","NA",IF(ISNUMBER(VLOOKUP($C171,'A4 Investment'!$A$24:$G$33,7,FALSE)),VLOOKUP($C171,'A4 Investment'!$A$24:$G$33,7,FALSE)*'A4 Investment'!G$18/12,0))</f>
        <v>0</v>
      </c>
      <c r="I171" s="160">
        <f t="shared" si="13"/>
        <v>8904.1666666666661</v>
      </c>
    </row>
    <row r="172" spans="1:9" x14ac:dyDescent="0.2">
      <c r="A172" s="86">
        <f t="shared" si="14"/>
        <v>4536</v>
      </c>
      <c r="B172" s="142">
        <f t="shared" si="15"/>
        <v>150</v>
      </c>
      <c r="C172" s="143">
        <f t="shared" si="16"/>
        <v>1</v>
      </c>
      <c r="D172" s="149">
        <f>IF(B172="NA","NA",IF(ISNUMBER(VLOOKUP($C172,'A4 Investment'!$A$24:$G$33,3,FALSE)),VLOOKUP($C172,'A4 Investment'!$A$24:$G$33,3,FALSE)*'A4 Investment'!C$18/12,0))</f>
        <v>8904.1666666666661</v>
      </c>
      <c r="E172" s="150">
        <f>IF(B172="NA","NA",IF(ISNUMBER(VLOOKUP($C172,'A4 Investment'!$A$24:$G$33,4,FALSE)),VLOOKUP($C172,'A4 Investment'!$A$24:$G$33,4,FALSE)*'A4 Investment'!D$18/12,0))</f>
        <v>0</v>
      </c>
      <c r="F172" s="150">
        <f>IF(B172="NA","NA",IF(ISNUMBER(VLOOKUP($C172,'A4 Investment'!$A$24:$G$33,5,FALSE)),VLOOKUP($C172,'A4 Investment'!$A$24:$G$33,5,FALSE)*'A4 Investment'!E$18/12,0))</f>
        <v>0</v>
      </c>
      <c r="G172" s="150">
        <f>IF(B172="NA","NA",IF(ISNUMBER(VLOOKUP($C172,'A4 Investment'!$A$24:$G$33,6,FALSE)),VLOOKUP($C172,'A4 Investment'!$A$24:$G$33,6,FALSE)*'A4 Investment'!F$18/12,0))</f>
        <v>0</v>
      </c>
      <c r="H172" s="181">
        <f>IF(B172="NA","NA",IF(ISNUMBER(VLOOKUP($C172,'A4 Investment'!$A$24:$G$33,7,FALSE)),VLOOKUP($C172,'A4 Investment'!$A$24:$G$33,7,FALSE)*'A4 Investment'!G$18/12,0))</f>
        <v>0</v>
      </c>
      <c r="I172" s="160">
        <f t="shared" si="13"/>
        <v>8904.1666666666661</v>
      </c>
    </row>
    <row r="173" spans="1:9" x14ac:dyDescent="0.2">
      <c r="A173" s="86">
        <f t="shared" si="14"/>
        <v>4566</v>
      </c>
      <c r="B173" s="142">
        <f t="shared" si="15"/>
        <v>151</v>
      </c>
      <c r="C173" s="143">
        <f t="shared" si="16"/>
        <v>1</v>
      </c>
      <c r="D173" s="149">
        <f>IF(B173="NA","NA",IF(ISNUMBER(VLOOKUP($C173,'A4 Investment'!$A$24:$G$33,3,FALSE)),VLOOKUP($C173,'A4 Investment'!$A$24:$G$33,3,FALSE)*'A4 Investment'!C$18/12,0))</f>
        <v>8904.1666666666661</v>
      </c>
      <c r="E173" s="150">
        <f>IF(B173="NA","NA",IF(ISNUMBER(VLOOKUP($C173,'A4 Investment'!$A$24:$G$33,4,FALSE)),VLOOKUP($C173,'A4 Investment'!$A$24:$G$33,4,FALSE)*'A4 Investment'!D$18/12,0))</f>
        <v>0</v>
      </c>
      <c r="F173" s="150">
        <f>IF(B173="NA","NA",IF(ISNUMBER(VLOOKUP($C173,'A4 Investment'!$A$24:$G$33,5,FALSE)),VLOOKUP($C173,'A4 Investment'!$A$24:$G$33,5,FALSE)*'A4 Investment'!E$18/12,0))</f>
        <v>0</v>
      </c>
      <c r="G173" s="150">
        <f>IF(B173="NA","NA",IF(ISNUMBER(VLOOKUP($C173,'A4 Investment'!$A$24:$G$33,6,FALSE)),VLOOKUP($C173,'A4 Investment'!$A$24:$G$33,6,FALSE)*'A4 Investment'!F$18/12,0))</f>
        <v>0</v>
      </c>
      <c r="H173" s="181">
        <f>IF(B173="NA","NA",IF(ISNUMBER(VLOOKUP($C173,'A4 Investment'!$A$24:$G$33,7,FALSE)),VLOOKUP($C173,'A4 Investment'!$A$24:$G$33,7,FALSE)*'A4 Investment'!G$18/12,0))</f>
        <v>0</v>
      </c>
      <c r="I173" s="160">
        <f t="shared" si="13"/>
        <v>8904.1666666666661</v>
      </c>
    </row>
    <row r="174" spans="1:9" x14ac:dyDescent="0.2">
      <c r="A174" s="86">
        <f t="shared" si="14"/>
        <v>4597</v>
      </c>
      <c r="B174" s="142">
        <f t="shared" si="15"/>
        <v>152</v>
      </c>
      <c r="C174" s="143">
        <f t="shared" si="16"/>
        <v>1</v>
      </c>
      <c r="D174" s="149">
        <f>IF(B174="NA","NA",IF(ISNUMBER(VLOOKUP($C174,'A4 Investment'!$A$24:$G$33,3,FALSE)),VLOOKUP($C174,'A4 Investment'!$A$24:$G$33,3,FALSE)*'A4 Investment'!C$18/12,0))</f>
        <v>8904.1666666666661</v>
      </c>
      <c r="E174" s="150">
        <f>IF(B174="NA","NA",IF(ISNUMBER(VLOOKUP($C174,'A4 Investment'!$A$24:$G$33,4,FALSE)),VLOOKUP($C174,'A4 Investment'!$A$24:$G$33,4,FALSE)*'A4 Investment'!D$18/12,0))</f>
        <v>0</v>
      </c>
      <c r="F174" s="150">
        <f>IF(B174="NA","NA",IF(ISNUMBER(VLOOKUP($C174,'A4 Investment'!$A$24:$G$33,5,FALSE)),VLOOKUP($C174,'A4 Investment'!$A$24:$G$33,5,FALSE)*'A4 Investment'!E$18/12,0))</f>
        <v>0</v>
      </c>
      <c r="G174" s="150">
        <f>IF(B174="NA","NA",IF(ISNUMBER(VLOOKUP($C174,'A4 Investment'!$A$24:$G$33,6,FALSE)),VLOOKUP($C174,'A4 Investment'!$A$24:$G$33,6,FALSE)*'A4 Investment'!F$18/12,0))</f>
        <v>0</v>
      </c>
      <c r="H174" s="181">
        <f>IF(B174="NA","NA",IF(ISNUMBER(VLOOKUP($C174,'A4 Investment'!$A$24:$G$33,7,FALSE)),VLOOKUP($C174,'A4 Investment'!$A$24:$G$33,7,FALSE)*'A4 Investment'!G$18/12,0))</f>
        <v>0</v>
      </c>
      <c r="I174" s="160">
        <f t="shared" si="13"/>
        <v>8904.1666666666661</v>
      </c>
    </row>
    <row r="175" spans="1:9" x14ac:dyDescent="0.2">
      <c r="A175" s="86">
        <f t="shared" si="14"/>
        <v>4628</v>
      </c>
      <c r="B175" s="142">
        <f t="shared" si="15"/>
        <v>153</v>
      </c>
      <c r="C175" s="143">
        <f t="shared" si="16"/>
        <v>1</v>
      </c>
      <c r="D175" s="149">
        <f>IF(B175="NA","NA",IF(ISNUMBER(VLOOKUP($C175,'A4 Investment'!$A$24:$G$33,3,FALSE)),VLOOKUP($C175,'A4 Investment'!$A$24:$G$33,3,FALSE)*'A4 Investment'!C$18/12,0))</f>
        <v>8904.1666666666661</v>
      </c>
      <c r="E175" s="150">
        <f>IF(B175="NA","NA",IF(ISNUMBER(VLOOKUP($C175,'A4 Investment'!$A$24:$G$33,4,FALSE)),VLOOKUP($C175,'A4 Investment'!$A$24:$G$33,4,FALSE)*'A4 Investment'!D$18/12,0))</f>
        <v>0</v>
      </c>
      <c r="F175" s="150">
        <f>IF(B175="NA","NA",IF(ISNUMBER(VLOOKUP($C175,'A4 Investment'!$A$24:$G$33,5,FALSE)),VLOOKUP($C175,'A4 Investment'!$A$24:$G$33,5,FALSE)*'A4 Investment'!E$18/12,0))</f>
        <v>0</v>
      </c>
      <c r="G175" s="150">
        <f>IF(B175="NA","NA",IF(ISNUMBER(VLOOKUP($C175,'A4 Investment'!$A$24:$G$33,6,FALSE)),VLOOKUP($C175,'A4 Investment'!$A$24:$G$33,6,FALSE)*'A4 Investment'!F$18/12,0))</f>
        <v>0</v>
      </c>
      <c r="H175" s="181">
        <f>IF(B175="NA","NA",IF(ISNUMBER(VLOOKUP($C175,'A4 Investment'!$A$24:$G$33,7,FALSE)),VLOOKUP($C175,'A4 Investment'!$A$24:$G$33,7,FALSE)*'A4 Investment'!G$18/12,0))</f>
        <v>0</v>
      </c>
      <c r="I175" s="160">
        <f t="shared" si="13"/>
        <v>8904.1666666666661</v>
      </c>
    </row>
    <row r="176" spans="1:9" x14ac:dyDescent="0.2">
      <c r="A176" s="86">
        <f t="shared" si="14"/>
        <v>4658</v>
      </c>
      <c r="B176" s="142">
        <f t="shared" si="15"/>
        <v>154</v>
      </c>
      <c r="C176" s="143">
        <f t="shared" si="16"/>
        <v>1</v>
      </c>
      <c r="D176" s="149">
        <f>IF(B176="NA","NA",IF(ISNUMBER(VLOOKUP($C176,'A4 Investment'!$A$24:$G$33,3,FALSE)),VLOOKUP($C176,'A4 Investment'!$A$24:$G$33,3,FALSE)*'A4 Investment'!C$18/12,0))</f>
        <v>8904.1666666666661</v>
      </c>
      <c r="E176" s="150">
        <f>IF(B176="NA","NA",IF(ISNUMBER(VLOOKUP($C176,'A4 Investment'!$A$24:$G$33,4,FALSE)),VLOOKUP($C176,'A4 Investment'!$A$24:$G$33,4,FALSE)*'A4 Investment'!D$18/12,0))</f>
        <v>0</v>
      </c>
      <c r="F176" s="150">
        <f>IF(B176="NA","NA",IF(ISNUMBER(VLOOKUP($C176,'A4 Investment'!$A$24:$G$33,5,FALSE)),VLOOKUP($C176,'A4 Investment'!$A$24:$G$33,5,FALSE)*'A4 Investment'!E$18/12,0))</f>
        <v>0</v>
      </c>
      <c r="G176" s="150">
        <f>IF(B176="NA","NA",IF(ISNUMBER(VLOOKUP($C176,'A4 Investment'!$A$24:$G$33,6,FALSE)),VLOOKUP($C176,'A4 Investment'!$A$24:$G$33,6,FALSE)*'A4 Investment'!F$18/12,0))</f>
        <v>0</v>
      </c>
      <c r="H176" s="181">
        <f>IF(B176="NA","NA",IF(ISNUMBER(VLOOKUP($C176,'A4 Investment'!$A$24:$G$33,7,FALSE)),VLOOKUP($C176,'A4 Investment'!$A$24:$G$33,7,FALSE)*'A4 Investment'!G$18/12,0))</f>
        <v>0</v>
      </c>
      <c r="I176" s="160">
        <f t="shared" si="13"/>
        <v>8904.1666666666661</v>
      </c>
    </row>
    <row r="177" spans="1:9" x14ac:dyDescent="0.2">
      <c r="A177" s="86">
        <f t="shared" si="14"/>
        <v>4689</v>
      </c>
      <c r="B177" s="142">
        <f t="shared" si="15"/>
        <v>155</v>
      </c>
      <c r="C177" s="143">
        <f t="shared" si="16"/>
        <v>1</v>
      </c>
      <c r="D177" s="149">
        <f>IF(B177="NA","NA",IF(ISNUMBER(VLOOKUP($C177,'A4 Investment'!$A$24:$G$33,3,FALSE)),VLOOKUP($C177,'A4 Investment'!$A$24:$G$33,3,FALSE)*'A4 Investment'!C$18/12,0))</f>
        <v>8904.1666666666661</v>
      </c>
      <c r="E177" s="150">
        <f>IF(B177="NA","NA",IF(ISNUMBER(VLOOKUP($C177,'A4 Investment'!$A$24:$G$33,4,FALSE)),VLOOKUP($C177,'A4 Investment'!$A$24:$G$33,4,FALSE)*'A4 Investment'!D$18/12,0))</f>
        <v>0</v>
      </c>
      <c r="F177" s="150">
        <f>IF(B177="NA","NA",IF(ISNUMBER(VLOOKUP($C177,'A4 Investment'!$A$24:$G$33,5,FALSE)),VLOOKUP($C177,'A4 Investment'!$A$24:$G$33,5,FALSE)*'A4 Investment'!E$18/12,0))</f>
        <v>0</v>
      </c>
      <c r="G177" s="150">
        <f>IF(B177="NA","NA",IF(ISNUMBER(VLOOKUP($C177,'A4 Investment'!$A$24:$G$33,6,FALSE)),VLOOKUP($C177,'A4 Investment'!$A$24:$G$33,6,FALSE)*'A4 Investment'!F$18/12,0))</f>
        <v>0</v>
      </c>
      <c r="H177" s="181">
        <f>IF(B177="NA","NA",IF(ISNUMBER(VLOOKUP($C177,'A4 Investment'!$A$24:$G$33,7,FALSE)),VLOOKUP($C177,'A4 Investment'!$A$24:$G$33,7,FALSE)*'A4 Investment'!G$18/12,0))</f>
        <v>0</v>
      </c>
      <c r="I177" s="160">
        <f t="shared" si="13"/>
        <v>8904.1666666666661</v>
      </c>
    </row>
    <row r="178" spans="1:9" x14ac:dyDescent="0.2">
      <c r="A178" s="86">
        <f t="shared" si="14"/>
        <v>4719</v>
      </c>
      <c r="B178" s="142">
        <f t="shared" si="15"/>
        <v>156</v>
      </c>
      <c r="C178" s="143">
        <f t="shared" si="16"/>
        <v>1</v>
      </c>
      <c r="D178" s="149">
        <f>IF(B178="NA","NA",IF(ISNUMBER(VLOOKUP($C178,'A4 Investment'!$A$24:$G$33,3,FALSE)),VLOOKUP($C178,'A4 Investment'!$A$24:$G$33,3,FALSE)*'A4 Investment'!C$18/12,0))</f>
        <v>8904.1666666666661</v>
      </c>
      <c r="E178" s="150">
        <f>IF(B178="NA","NA",IF(ISNUMBER(VLOOKUP($C178,'A4 Investment'!$A$24:$G$33,4,FALSE)),VLOOKUP($C178,'A4 Investment'!$A$24:$G$33,4,FALSE)*'A4 Investment'!D$18/12,0))</f>
        <v>0</v>
      </c>
      <c r="F178" s="150">
        <f>IF(B178="NA","NA",IF(ISNUMBER(VLOOKUP($C178,'A4 Investment'!$A$24:$G$33,5,FALSE)),VLOOKUP($C178,'A4 Investment'!$A$24:$G$33,5,FALSE)*'A4 Investment'!E$18/12,0))</f>
        <v>0</v>
      </c>
      <c r="G178" s="150">
        <f>IF(B178="NA","NA",IF(ISNUMBER(VLOOKUP($C178,'A4 Investment'!$A$24:$G$33,6,FALSE)),VLOOKUP($C178,'A4 Investment'!$A$24:$G$33,6,FALSE)*'A4 Investment'!F$18/12,0))</f>
        <v>0</v>
      </c>
      <c r="H178" s="181">
        <f>IF(B178="NA","NA",IF(ISNUMBER(VLOOKUP($C178,'A4 Investment'!$A$24:$G$33,7,FALSE)),VLOOKUP($C178,'A4 Investment'!$A$24:$G$33,7,FALSE)*'A4 Investment'!G$18/12,0))</f>
        <v>0</v>
      </c>
      <c r="I178" s="160">
        <f t="shared" si="13"/>
        <v>8904.1666666666661</v>
      </c>
    </row>
    <row r="179" spans="1:9" x14ac:dyDescent="0.2">
      <c r="A179" s="86">
        <f t="shared" si="14"/>
        <v>4750</v>
      </c>
      <c r="B179" s="142">
        <f t="shared" si="15"/>
        <v>157</v>
      </c>
      <c r="C179" s="143">
        <f t="shared" si="16"/>
        <v>1</v>
      </c>
      <c r="D179" s="149">
        <f>IF(B179="NA","NA",IF(ISNUMBER(VLOOKUP($C179,'A4 Investment'!$A$24:$G$33,3,FALSE)),VLOOKUP($C179,'A4 Investment'!$A$24:$G$33,3,FALSE)*'A4 Investment'!C$18/12,0))</f>
        <v>8904.1666666666661</v>
      </c>
      <c r="E179" s="150">
        <f>IF(B179="NA","NA",IF(ISNUMBER(VLOOKUP($C179,'A4 Investment'!$A$24:$G$33,4,FALSE)),VLOOKUP($C179,'A4 Investment'!$A$24:$G$33,4,FALSE)*'A4 Investment'!D$18/12,0))</f>
        <v>0</v>
      </c>
      <c r="F179" s="150">
        <f>IF(B179="NA","NA",IF(ISNUMBER(VLOOKUP($C179,'A4 Investment'!$A$24:$G$33,5,FALSE)),VLOOKUP($C179,'A4 Investment'!$A$24:$G$33,5,FALSE)*'A4 Investment'!E$18/12,0))</f>
        <v>0</v>
      </c>
      <c r="G179" s="150">
        <f>IF(B179="NA","NA",IF(ISNUMBER(VLOOKUP($C179,'A4 Investment'!$A$24:$G$33,6,FALSE)),VLOOKUP($C179,'A4 Investment'!$A$24:$G$33,6,FALSE)*'A4 Investment'!F$18/12,0))</f>
        <v>0</v>
      </c>
      <c r="H179" s="181">
        <f>IF(B179="NA","NA",IF(ISNUMBER(VLOOKUP($C179,'A4 Investment'!$A$24:$G$33,7,FALSE)),VLOOKUP($C179,'A4 Investment'!$A$24:$G$33,7,FALSE)*'A4 Investment'!G$18/12,0))</f>
        <v>0</v>
      </c>
      <c r="I179" s="160">
        <f t="shared" ref="I179:I210" si="17">IF(B179="NA","NA",SUM(D179:H179))</f>
        <v>8904.1666666666661</v>
      </c>
    </row>
    <row r="180" spans="1:9" x14ac:dyDescent="0.2">
      <c r="A180" s="86">
        <f t="shared" si="14"/>
        <v>4781</v>
      </c>
      <c r="B180" s="142">
        <f t="shared" si="15"/>
        <v>158</v>
      </c>
      <c r="C180" s="143">
        <f t="shared" si="16"/>
        <v>1</v>
      </c>
      <c r="D180" s="149">
        <f>IF(B180="NA","NA",IF(ISNUMBER(VLOOKUP($C180,'A4 Investment'!$A$24:$G$33,3,FALSE)),VLOOKUP($C180,'A4 Investment'!$A$24:$G$33,3,FALSE)*'A4 Investment'!C$18/12,0))</f>
        <v>8904.1666666666661</v>
      </c>
      <c r="E180" s="150">
        <f>IF(B180="NA","NA",IF(ISNUMBER(VLOOKUP($C180,'A4 Investment'!$A$24:$G$33,4,FALSE)),VLOOKUP($C180,'A4 Investment'!$A$24:$G$33,4,FALSE)*'A4 Investment'!D$18/12,0))</f>
        <v>0</v>
      </c>
      <c r="F180" s="150">
        <f>IF(B180="NA","NA",IF(ISNUMBER(VLOOKUP($C180,'A4 Investment'!$A$24:$G$33,5,FALSE)),VLOOKUP($C180,'A4 Investment'!$A$24:$G$33,5,FALSE)*'A4 Investment'!E$18/12,0))</f>
        <v>0</v>
      </c>
      <c r="G180" s="150">
        <f>IF(B180="NA","NA",IF(ISNUMBER(VLOOKUP($C180,'A4 Investment'!$A$24:$G$33,6,FALSE)),VLOOKUP($C180,'A4 Investment'!$A$24:$G$33,6,FALSE)*'A4 Investment'!F$18/12,0))</f>
        <v>0</v>
      </c>
      <c r="H180" s="181">
        <f>IF(B180="NA","NA",IF(ISNUMBER(VLOOKUP($C180,'A4 Investment'!$A$24:$G$33,7,FALSE)),VLOOKUP($C180,'A4 Investment'!$A$24:$G$33,7,FALSE)*'A4 Investment'!G$18/12,0))</f>
        <v>0</v>
      </c>
      <c r="I180" s="160">
        <f t="shared" si="17"/>
        <v>8904.1666666666661</v>
      </c>
    </row>
    <row r="181" spans="1:9" x14ac:dyDescent="0.2">
      <c r="A181" s="86">
        <f t="shared" si="14"/>
        <v>4809</v>
      </c>
      <c r="B181" s="142">
        <f t="shared" si="15"/>
        <v>159</v>
      </c>
      <c r="C181" s="143">
        <f t="shared" si="16"/>
        <v>1</v>
      </c>
      <c r="D181" s="149">
        <f>IF(B181="NA","NA",IF(ISNUMBER(VLOOKUP($C181,'A4 Investment'!$A$24:$G$33,3,FALSE)),VLOOKUP($C181,'A4 Investment'!$A$24:$G$33,3,FALSE)*'A4 Investment'!C$18/12,0))</f>
        <v>8904.1666666666661</v>
      </c>
      <c r="E181" s="150">
        <f>IF(B181="NA","NA",IF(ISNUMBER(VLOOKUP($C181,'A4 Investment'!$A$24:$G$33,4,FALSE)),VLOOKUP($C181,'A4 Investment'!$A$24:$G$33,4,FALSE)*'A4 Investment'!D$18/12,0))</f>
        <v>0</v>
      </c>
      <c r="F181" s="150">
        <f>IF(B181="NA","NA",IF(ISNUMBER(VLOOKUP($C181,'A4 Investment'!$A$24:$G$33,5,FALSE)),VLOOKUP($C181,'A4 Investment'!$A$24:$G$33,5,FALSE)*'A4 Investment'!E$18/12,0))</f>
        <v>0</v>
      </c>
      <c r="G181" s="150">
        <f>IF(B181="NA","NA",IF(ISNUMBER(VLOOKUP($C181,'A4 Investment'!$A$24:$G$33,6,FALSE)),VLOOKUP($C181,'A4 Investment'!$A$24:$G$33,6,FALSE)*'A4 Investment'!F$18/12,0))</f>
        <v>0</v>
      </c>
      <c r="H181" s="181">
        <f>IF(B181="NA","NA",IF(ISNUMBER(VLOOKUP($C181,'A4 Investment'!$A$24:$G$33,7,FALSE)),VLOOKUP($C181,'A4 Investment'!$A$24:$G$33,7,FALSE)*'A4 Investment'!G$18/12,0))</f>
        <v>0</v>
      </c>
      <c r="I181" s="160">
        <f t="shared" si="17"/>
        <v>8904.1666666666661</v>
      </c>
    </row>
    <row r="182" spans="1:9" x14ac:dyDescent="0.2">
      <c r="A182" s="86">
        <f t="shared" si="14"/>
        <v>4840</v>
      </c>
      <c r="B182" s="142">
        <f t="shared" si="15"/>
        <v>160</v>
      </c>
      <c r="C182" s="143">
        <f t="shared" si="16"/>
        <v>1</v>
      </c>
      <c r="D182" s="149">
        <f>IF(B182="NA","NA",IF(ISNUMBER(VLOOKUP($C182,'A4 Investment'!$A$24:$G$33,3,FALSE)),VLOOKUP($C182,'A4 Investment'!$A$24:$G$33,3,FALSE)*'A4 Investment'!C$18/12,0))</f>
        <v>8904.1666666666661</v>
      </c>
      <c r="E182" s="150">
        <f>IF(B182="NA","NA",IF(ISNUMBER(VLOOKUP($C182,'A4 Investment'!$A$24:$G$33,4,FALSE)),VLOOKUP($C182,'A4 Investment'!$A$24:$G$33,4,FALSE)*'A4 Investment'!D$18/12,0))</f>
        <v>0</v>
      </c>
      <c r="F182" s="150">
        <f>IF(B182="NA","NA",IF(ISNUMBER(VLOOKUP($C182,'A4 Investment'!$A$24:$G$33,5,FALSE)),VLOOKUP($C182,'A4 Investment'!$A$24:$G$33,5,FALSE)*'A4 Investment'!E$18/12,0))</f>
        <v>0</v>
      </c>
      <c r="G182" s="150">
        <f>IF(B182="NA","NA",IF(ISNUMBER(VLOOKUP($C182,'A4 Investment'!$A$24:$G$33,6,FALSE)),VLOOKUP($C182,'A4 Investment'!$A$24:$G$33,6,FALSE)*'A4 Investment'!F$18/12,0))</f>
        <v>0</v>
      </c>
      <c r="H182" s="181">
        <f>IF(B182="NA","NA",IF(ISNUMBER(VLOOKUP($C182,'A4 Investment'!$A$24:$G$33,7,FALSE)),VLOOKUP($C182,'A4 Investment'!$A$24:$G$33,7,FALSE)*'A4 Investment'!G$18/12,0))</f>
        <v>0</v>
      </c>
      <c r="I182" s="160">
        <f t="shared" si="17"/>
        <v>8904.1666666666661</v>
      </c>
    </row>
    <row r="183" spans="1:9" x14ac:dyDescent="0.2">
      <c r="A183" s="86">
        <f t="shared" si="14"/>
        <v>4870</v>
      </c>
      <c r="B183" s="142">
        <f t="shared" si="15"/>
        <v>161</v>
      </c>
      <c r="C183" s="143">
        <f t="shared" si="16"/>
        <v>1</v>
      </c>
      <c r="D183" s="149">
        <f>IF(B183="NA","NA",IF(ISNUMBER(VLOOKUP($C183,'A4 Investment'!$A$24:$G$33,3,FALSE)),VLOOKUP($C183,'A4 Investment'!$A$24:$G$33,3,FALSE)*'A4 Investment'!C$18/12,0))</f>
        <v>8904.1666666666661</v>
      </c>
      <c r="E183" s="150">
        <f>IF(B183="NA","NA",IF(ISNUMBER(VLOOKUP($C183,'A4 Investment'!$A$24:$G$33,4,FALSE)),VLOOKUP($C183,'A4 Investment'!$A$24:$G$33,4,FALSE)*'A4 Investment'!D$18/12,0))</f>
        <v>0</v>
      </c>
      <c r="F183" s="150">
        <f>IF(B183="NA","NA",IF(ISNUMBER(VLOOKUP($C183,'A4 Investment'!$A$24:$G$33,5,FALSE)),VLOOKUP($C183,'A4 Investment'!$A$24:$G$33,5,FALSE)*'A4 Investment'!E$18/12,0))</f>
        <v>0</v>
      </c>
      <c r="G183" s="150">
        <f>IF(B183="NA","NA",IF(ISNUMBER(VLOOKUP($C183,'A4 Investment'!$A$24:$G$33,6,FALSE)),VLOOKUP($C183,'A4 Investment'!$A$24:$G$33,6,FALSE)*'A4 Investment'!F$18/12,0))</f>
        <v>0</v>
      </c>
      <c r="H183" s="181">
        <f>IF(B183="NA","NA",IF(ISNUMBER(VLOOKUP($C183,'A4 Investment'!$A$24:$G$33,7,FALSE)),VLOOKUP($C183,'A4 Investment'!$A$24:$G$33,7,FALSE)*'A4 Investment'!G$18/12,0))</f>
        <v>0</v>
      </c>
      <c r="I183" s="160">
        <f t="shared" si="17"/>
        <v>8904.1666666666661</v>
      </c>
    </row>
    <row r="184" spans="1:9" x14ac:dyDescent="0.2">
      <c r="A184" s="86">
        <f t="shared" si="14"/>
        <v>4901</v>
      </c>
      <c r="B184" s="142">
        <f t="shared" si="15"/>
        <v>162</v>
      </c>
      <c r="C184" s="143">
        <f t="shared" si="16"/>
        <v>1</v>
      </c>
      <c r="D184" s="149">
        <f>IF(B184="NA","NA",IF(ISNUMBER(VLOOKUP($C184,'A4 Investment'!$A$24:$G$33,3,FALSE)),VLOOKUP($C184,'A4 Investment'!$A$24:$G$33,3,FALSE)*'A4 Investment'!C$18/12,0))</f>
        <v>8904.1666666666661</v>
      </c>
      <c r="E184" s="150">
        <f>IF(B184="NA","NA",IF(ISNUMBER(VLOOKUP($C184,'A4 Investment'!$A$24:$G$33,4,FALSE)),VLOOKUP($C184,'A4 Investment'!$A$24:$G$33,4,FALSE)*'A4 Investment'!D$18/12,0))</f>
        <v>0</v>
      </c>
      <c r="F184" s="150">
        <f>IF(B184="NA","NA",IF(ISNUMBER(VLOOKUP($C184,'A4 Investment'!$A$24:$G$33,5,FALSE)),VLOOKUP($C184,'A4 Investment'!$A$24:$G$33,5,FALSE)*'A4 Investment'!E$18/12,0))</f>
        <v>0</v>
      </c>
      <c r="G184" s="150">
        <f>IF(B184="NA","NA",IF(ISNUMBER(VLOOKUP($C184,'A4 Investment'!$A$24:$G$33,6,FALSE)),VLOOKUP($C184,'A4 Investment'!$A$24:$G$33,6,FALSE)*'A4 Investment'!F$18/12,0))</f>
        <v>0</v>
      </c>
      <c r="H184" s="181">
        <f>IF(B184="NA","NA",IF(ISNUMBER(VLOOKUP($C184,'A4 Investment'!$A$24:$G$33,7,FALSE)),VLOOKUP($C184,'A4 Investment'!$A$24:$G$33,7,FALSE)*'A4 Investment'!G$18/12,0))</f>
        <v>0</v>
      </c>
      <c r="I184" s="160">
        <f t="shared" si="17"/>
        <v>8904.1666666666661</v>
      </c>
    </row>
    <row r="185" spans="1:9" x14ac:dyDescent="0.2">
      <c r="A185" s="86">
        <f t="shared" si="14"/>
        <v>4931</v>
      </c>
      <c r="B185" s="142">
        <f t="shared" si="15"/>
        <v>163</v>
      </c>
      <c r="C185" s="143">
        <f t="shared" si="16"/>
        <v>1</v>
      </c>
      <c r="D185" s="149">
        <f>IF(B185="NA","NA",IF(ISNUMBER(VLOOKUP($C185,'A4 Investment'!$A$24:$G$33,3,FALSE)),VLOOKUP($C185,'A4 Investment'!$A$24:$G$33,3,FALSE)*'A4 Investment'!C$18/12,0))</f>
        <v>8904.1666666666661</v>
      </c>
      <c r="E185" s="150">
        <f>IF(B185="NA","NA",IF(ISNUMBER(VLOOKUP($C185,'A4 Investment'!$A$24:$G$33,4,FALSE)),VLOOKUP($C185,'A4 Investment'!$A$24:$G$33,4,FALSE)*'A4 Investment'!D$18/12,0))</f>
        <v>0</v>
      </c>
      <c r="F185" s="150">
        <f>IF(B185="NA","NA",IF(ISNUMBER(VLOOKUP($C185,'A4 Investment'!$A$24:$G$33,5,FALSE)),VLOOKUP($C185,'A4 Investment'!$A$24:$G$33,5,FALSE)*'A4 Investment'!E$18/12,0))</f>
        <v>0</v>
      </c>
      <c r="G185" s="150">
        <f>IF(B185="NA","NA",IF(ISNUMBER(VLOOKUP($C185,'A4 Investment'!$A$24:$G$33,6,FALSE)),VLOOKUP($C185,'A4 Investment'!$A$24:$G$33,6,FALSE)*'A4 Investment'!F$18/12,0))</f>
        <v>0</v>
      </c>
      <c r="H185" s="181">
        <f>IF(B185="NA","NA",IF(ISNUMBER(VLOOKUP($C185,'A4 Investment'!$A$24:$G$33,7,FALSE)),VLOOKUP($C185,'A4 Investment'!$A$24:$G$33,7,FALSE)*'A4 Investment'!G$18/12,0))</f>
        <v>0</v>
      </c>
      <c r="I185" s="160">
        <f t="shared" si="17"/>
        <v>8904.1666666666661</v>
      </c>
    </row>
    <row r="186" spans="1:9" x14ac:dyDescent="0.2">
      <c r="A186" s="86">
        <f t="shared" si="14"/>
        <v>4962</v>
      </c>
      <c r="B186" s="142">
        <f t="shared" si="15"/>
        <v>164</v>
      </c>
      <c r="C186" s="143">
        <f t="shared" si="16"/>
        <v>1</v>
      </c>
      <c r="D186" s="149">
        <f>IF(B186="NA","NA",IF(ISNUMBER(VLOOKUP($C186,'A4 Investment'!$A$24:$G$33,3,FALSE)),VLOOKUP($C186,'A4 Investment'!$A$24:$G$33,3,FALSE)*'A4 Investment'!C$18/12,0))</f>
        <v>8904.1666666666661</v>
      </c>
      <c r="E186" s="150">
        <f>IF(B186="NA","NA",IF(ISNUMBER(VLOOKUP($C186,'A4 Investment'!$A$24:$G$33,4,FALSE)),VLOOKUP($C186,'A4 Investment'!$A$24:$G$33,4,FALSE)*'A4 Investment'!D$18/12,0))</f>
        <v>0</v>
      </c>
      <c r="F186" s="150">
        <f>IF(B186="NA","NA",IF(ISNUMBER(VLOOKUP($C186,'A4 Investment'!$A$24:$G$33,5,FALSE)),VLOOKUP($C186,'A4 Investment'!$A$24:$G$33,5,FALSE)*'A4 Investment'!E$18/12,0))</f>
        <v>0</v>
      </c>
      <c r="G186" s="150">
        <f>IF(B186="NA","NA",IF(ISNUMBER(VLOOKUP($C186,'A4 Investment'!$A$24:$G$33,6,FALSE)),VLOOKUP($C186,'A4 Investment'!$A$24:$G$33,6,FALSE)*'A4 Investment'!F$18/12,0))</f>
        <v>0</v>
      </c>
      <c r="H186" s="181">
        <f>IF(B186="NA","NA",IF(ISNUMBER(VLOOKUP($C186,'A4 Investment'!$A$24:$G$33,7,FALSE)),VLOOKUP($C186,'A4 Investment'!$A$24:$G$33,7,FALSE)*'A4 Investment'!G$18/12,0))</f>
        <v>0</v>
      </c>
      <c r="I186" s="160">
        <f t="shared" si="17"/>
        <v>8904.1666666666661</v>
      </c>
    </row>
    <row r="187" spans="1:9" x14ac:dyDescent="0.2">
      <c r="A187" s="86">
        <f t="shared" si="14"/>
        <v>4993</v>
      </c>
      <c r="B187" s="142">
        <f t="shared" si="15"/>
        <v>165</v>
      </c>
      <c r="C187" s="143">
        <f t="shared" si="16"/>
        <v>1</v>
      </c>
      <c r="D187" s="149">
        <f>IF(B187="NA","NA",IF(ISNUMBER(VLOOKUP($C187,'A4 Investment'!$A$24:$G$33,3,FALSE)),VLOOKUP($C187,'A4 Investment'!$A$24:$G$33,3,FALSE)*'A4 Investment'!C$18/12,0))</f>
        <v>8904.1666666666661</v>
      </c>
      <c r="E187" s="150">
        <f>IF(B187="NA","NA",IF(ISNUMBER(VLOOKUP($C187,'A4 Investment'!$A$24:$G$33,4,FALSE)),VLOOKUP($C187,'A4 Investment'!$A$24:$G$33,4,FALSE)*'A4 Investment'!D$18/12,0))</f>
        <v>0</v>
      </c>
      <c r="F187" s="150">
        <f>IF(B187="NA","NA",IF(ISNUMBER(VLOOKUP($C187,'A4 Investment'!$A$24:$G$33,5,FALSE)),VLOOKUP($C187,'A4 Investment'!$A$24:$G$33,5,FALSE)*'A4 Investment'!E$18/12,0))</f>
        <v>0</v>
      </c>
      <c r="G187" s="150">
        <f>IF(B187="NA","NA",IF(ISNUMBER(VLOOKUP($C187,'A4 Investment'!$A$24:$G$33,6,FALSE)),VLOOKUP($C187,'A4 Investment'!$A$24:$G$33,6,FALSE)*'A4 Investment'!F$18/12,0))</f>
        <v>0</v>
      </c>
      <c r="H187" s="181">
        <f>IF(B187="NA","NA",IF(ISNUMBER(VLOOKUP($C187,'A4 Investment'!$A$24:$G$33,7,FALSE)),VLOOKUP($C187,'A4 Investment'!$A$24:$G$33,7,FALSE)*'A4 Investment'!G$18/12,0))</f>
        <v>0</v>
      </c>
      <c r="I187" s="160">
        <f t="shared" si="17"/>
        <v>8904.1666666666661</v>
      </c>
    </row>
    <row r="188" spans="1:9" x14ac:dyDescent="0.2">
      <c r="A188" s="86">
        <f t="shared" si="14"/>
        <v>5023</v>
      </c>
      <c r="B188" s="142">
        <f t="shared" si="15"/>
        <v>166</v>
      </c>
      <c r="C188" s="143">
        <f t="shared" si="16"/>
        <v>1</v>
      </c>
      <c r="D188" s="149">
        <f>IF(B188="NA","NA",IF(ISNUMBER(VLOOKUP($C188,'A4 Investment'!$A$24:$G$33,3,FALSE)),VLOOKUP($C188,'A4 Investment'!$A$24:$G$33,3,FALSE)*'A4 Investment'!C$18/12,0))</f>
        <v>8904.1666666666661</v>
      </c>
      <c r="E188" s="150">
        <f>IF(B188="NA","NA",IF(ISNUMBER(VLOOKUP($C188,'A4 Investment'!$A$24:$G$33,4,FALSE)),VLOOKUP($C188,'A4 Investment'!$A$24:$G$33,4,FALSE)*'A4 Investment'!D$18/12,0))</f>
        <v>0</v>
      </c>
      <c r="F188" s="150">
        <f>IF(B188="NA","NA",IF(ISNUMBER(VLOOKUP($C188,'A4 Investment'!$A$24:$G$33,5,FALSE)),VLOOKUP($C188,'A4 Investment'!$A$24:$G$33,5,FALSE)*'A4 Investment'!E$18/12,0))</f>
        <v>0</v>
      </c>
      <c r="G188" s="150">
        <f>IF(B188="NA","NA",IF(ISNUMBER(VLOOKUP($C188,'A4 Investment'!$A$24:$G$33,6,FALSE)),VLOOKUP($C188,'A4 Investment'!$A$24:$G$33,6,FALSE)*'A4 Investment'!F$18/12,0))</f>
        <v>0</v>
      </c>
      <c r="H188" s="181">
        <f>IF(B188="NA","NA",IF(ISNUMBER(VLOOKUP($C188,'A4 Investment'!$A$24:$G$33,7,FALSE)),VLOOKUP($C188,'A4 Investment'!$A$24:$G$33,7,FALSE)*'A4 Investment'!G$18/12,0))</f>
        <v>0</v>
      </c>
      <c r="I188" s="160">
        <f t="shared" si="17"/>
        <v>8904.1666666666661</v>
      </c>
    </row>
    <row r="189" spans="1:9" x14ac:dyDescent="0.2">
      <c r="A189" s="86">
        <f t="shared" si="14"/>
        <v>5054</v>
      </c>
      <c r="B189" s="142">
        <f t="shared" si="15"/>
        <v>167</v>
      </c>
      <c r="C189" s="143">
        <f t="shared" si="16"/>
        <v>1</v>
      </c>
      <c r="D189" s="149">
        <f>IF(B189="NA","NA",IF(ISNUMBER(VLOOKUP($C189,'A4 Investment'!$A$24:$G$33,3,FALSE)),VLOOKUP($C189,'A4 Investment'!$A$24:$G$33,3,FALSE)*'A4 Investment'!C$18/12,0))</f>
        <v>8904.1666666666661</v>
      </c>
      <c r="E189" s="150">
        <f>IF(B189="NA","NA",IF(ISNUMBER(VLOOKUP($C189,'A4 Investment'!$A$24:$G$33,4,FALSE)),VLOOKUP($C189,'A4 Investment'!$A$24:$G$33,4,FALSE)*'A4 Investment'!D$18/12,0))</f>
        <v>0</v>
      </c>
      <c r="F189" s="150">
        <f>IF(B189="NA","NA",IF(ISNUMBER(VLOOKUP($C189,'A4 Investment'!$A$24:$G$33,5,FALSE)),VLOOKUP($C189,'A4 Investment'!$A$24:$G$33,5,FALSE)*'A4 Investment'!E$18/12,0))</f>
        <v>0</v>
      </c>
      <c r="G189" s="150">
        <f>IF(B189="NA","NA",IF(ISNUMBER(VLOOKUP($C189,'A4 Investment'!$A$24:$G$33,6,FALSE)),VLOOKUP($C189,'A4 Investment'!$A$24:$G$33,6,FALSE)*'A4 Investment'!F$18/12,0))</f>
        <v>0</v>
      </c>
      <c r="H189" s="181">
        <f>IF(B189="NA","NA",IF(ISNUMBER(VLOOKUP($C189,'A4 Investment'!$A$24:$G$33,7,FALSE)),VLOOKUP($C189,'A4 Investment'!$A$24:$G$33,7,FALSE)*'A4 Investment'!G$18/12,0))</f>
        <v>0</v>
      </c>
      <c r="I189" s="160">
        <f t="shared" si="17"/>
        <v>8904.1666666666661</v>
      </c>
    </row>
    <row r="190" spans="1:9" x14ac:dyDescent="0.2">
      <c r="A190" s="86">
        <f t="shared" si="14"/>
        <v>5084</v>
      </c>
      <c r="B190" s="142">
        <f t="shared" si="15"/>
        <v>168</v>
      </c>
      <c r="C190" s="143">
        <f t="shared" si="16"/>
        <v>1</v>
      </c>
      <c r="D190" s="149">
        <f>IF(B190="NA","NA",IF(ISNUMBER(VLOOKUP($C190,'A4 Investment'!$A$24:$G$33,3,FALSE)),VLOOKUP($C190,'A4 Investment'!$A$24:$G$33,3,FALSE)*'A4 Investment'!C$18/12,0))</f>
        <v>8904.1666666666661</v>
      </c>
      <c r="E190" s="150">
        <f>IF(B190="NA","NA",IF(ISNUMBER(VLOOKUP($C190,'A4 Investment'!$A$24:$G$33,4,FALSE)),VLOOKUP($C190,'A4 Investment'!$A$24:$G$33,4,FALSE)*'A4 Investment'!D$18/12,0))</f>
        <v>0</v>
      </c>
      <c r="F190" s="150">
        <f>IF(B190="NA","NA",IF(ISNUMBER(VLOOKUP($C190,'A4 Investment'!$A$24:$G$33,5,FALSE)),VLOOKUP($C190,'A4 Investment'!$A$24:$G$33,5,FALSE)*'A4 Investment'!E$18/12,0))</f>
        <v>0</v>
      </c>
      <c r="G190" s="150">
        <f>IF(B190="NA","NA",IF(ISNUMBER(VLOOKUP($C190,'A4 Investment'!$A$24:$G$33,6,FALSE)),VLOOKUP($C190,'A4 Investment'!$A$24:$G$33,6,FALSE)*'A4 Investment'!F$18/12,0))</f>
        <v>0</v>
      </c>
      <c r="H190" s="181">
        <f>IF(B190="NA","NA",IF(ISNUMBER(VLOOKUP($C190,'A4 Investment'!$A$24:$G$33,7,FALSE)),VLOOKUP($C190,'A4 Investment'!$A$24:$G$33,7,FALSE)*'A4 Investment'!G$18/12,0))</f>
        <v>0</v>
      </c>
      <c r="I190" s="160">
        <f t="shared" si="17"/>
        <v>8904.1666666666661</v>
      </c>
    </row>
    <row r="191" spans="1:9" x14ac:dyDescent="0.2">
      <c r="A191" s="86">
        <f t="shared" si="14"/>
        <v>5115</v>
      </c>
      <c r="B191" s="142">
        <f t="shared" si="15"/>
        <v>169</v>
      </c>
      <c r="C191" s="143">
        <f t="shared" si="16"/>
        <v>1</v>
      </c>
      <c r="D191" s="149">
        <f>IF(B191="NA","NA",IF(ISNUMBER(VLOOKUP($C191,'A4 Investment'!$A$24:$G$33,3,FALSE)),VLOOKUP($C191,'A4 Investment'!$A$24:$G$33,3,FALSE)*'A4 Investment'!C$18/12,0))</f>
        <v>8904.1666666666661</v>
      </c>
      <c r="E191" s="150">
        <f>IF(B191="NA","NA",IF(ISNUMBER(VLOOKUP($C191,'A4 Investment'!$A$24:$G$33,4,FALSE)),VLOOKUP($C191,'A4 Investment'!$A$24:$G$33,4,FALSE)*'A4 Investment'!D$18/12,0))</f>
        <v>0</v>
      </c>
      <c r="F191" s="150">
        <f>IF(B191="NA","NA",IF(ISNUMBER(VLOOKUP($C191,'A4 Investment'!$A$24:$G$33,5,FALSE)),VLOOKUP($C191,'A4 Investment'!$A$24:$G$33,5,FALSE)*'A4 Investment'!E$18/12,0))</f>
        <v>0</v>
      </c>
      <c r="G191" s="150">
        <f>IF(B191="NA","NA",IF(ISNUMBER(VLOOKUP($C191,'A4 Investment'!$A$24:$G$33,6,FALSE)),VLOOKUP($C191,'A4 Investment'!$A$24:$G$33,6,FALSE)*'A4 Investment'!F$18/12,0))</f>
        <v>0</v>
      </c>
      <c r="H191" s="181">
        <f>IF(B191="NA","NA",IF(ISNUMBER(VLOOKUP($C191,'A4 Investment'!$A$24:$G$33,7,FALSE)),VLOOKUP($C191,'A4 Investment'!$A$24:$G$33,7,FALSE)*'A4 Investment'!G$18/12,0))</f>
        <v>0</v>
      </c>
      <c r="I191" s="160">
        <f t="shared" si="17"/>
        <v>8904.1666666666661</v>
      </c>
    </row>
    <row r="192" spans="1:9" x14ac:dyDescent="0.2">
      <c r="A192" s="86">
        <f t="shared" si="14"/>
        <v>5146</v>
      </c>
      <c r="B192" s="142">
        <f t="shared" si="15"/>
        <v>170</v>
      </c>
      <c r="C192" s="143">
        <f t="shared" si="16"/>
        <v>1</v>
      </c>
      <c r="D192" s="149">
        <f>IF(B192="NA","NA",IF(ISNUMBER(VLOOKUP($C192,'A4 Investment'!$A$24:$G$33,3,FALSE)),VLOOKUP($C192,'A4 Investment'!$A$24:$G$33,3,FALSE)*'A4 Investment'!C$18/12,0))</f>
        <v>8904.1666666666661</v>
      </c>
      <c r="E192" s="150">
        <f>IF(B192="NA","NA",IF(ISNUMBER(VLOOKUP($C192,'A4 Investment'!$A$24:$G$33,4,FALSE)),VLOOKUP($C192,'A4 Investment'!$A$24:$G$33,4,FALSE)*'A4 Investment'!D$18/12,0))</f>
        <v>0</v>
      </c>
      <c r="F192" s="150">
        <f>IF(B192="NA","NA",IF(ISNUMBER(VLOOKUP($C192,'A4 Investment'!$A$24:$G$33,5,FALSE)),VLOOKUP($C192,'A4 Investment'!$A$24:$G$33,5,FALSE)*'A4 Investment'!E$18/12,0))</f>
        <v>0</v>
      </c>
      <c r="G192" s="150">
        <f>IF(B192="NA","NA",IF(ISNUMBER(VLOOKUP($C192,'A4 Investment'!$A$24:$G$33,6,FALSE)),VLOOKUP($C192,'A4 Investment'!$A$24:$G$33,6,FALSE)*'A4 Investment'!F$18/12,0))</f>
        <v>0</v>
      </c>
      <c r="H192" s="181">
        <f>IF(B192="NA","NA",IF(ISNUMBER(VLOOKUP($C192,'A4 Investment'!$A$24:$G$33,7,FALSE)),VLOOKUP($C192,'A4 Investment'!$A$24:$G$33,7,FALSE)*'A4 Investment'!G$18/12,0))</f>
        <v>0</v>
      </c>
      <c r="I192" s="160">
        <f t="shared" si="17"/>
        <v>8904.1666666666661</v>
      </c>
    </row>
    <row r="193" spans="1:9" x14ac:dyDescent="0.2">
      <c r="A193" s="86">
        <f t="shared" si="14"/>
        <v>5174</v>
      </c>
      <c r="B193" s="142">
        <f t="shared" si="15"/>
        <v>171</v>
      </c>
      <c r="C193" s="143">
        <f t="shared" si="16"/>
        <v>1</v>
      </c>
      <c r="D193" s="149">
        <f>IF(B193="NA","NA",IF(ISNUMBER(VLOOKUP($C193,'A4 Investment'!$A$24:$G$33,3,FALSE)),VLOOKUP($C193,'A4 Investment'!$A$24:$G$33,3,FALSE)*'A4 Investment'!C$18/12,0))</f>
        <v>8904.1666666666661</v>
      </c>
      <c r="E193" s="150">
        <f>IF(B193="NA","NA",IF(ISNUMBER(VLOOKUP($C193,'A4 Investment'!$A$24:$G$33,4,FALSE)),VLOOKUP($C193,'A4 Investment'!$A$24:$G$33,4,FALSE)*'A4 Investment'!D$18/12,0))</f>
        <v>0</v>
      </c>
      <c r="F193" s="150">
        <f>IF(B193="NA","NA",IF(ISNUMBER(VLOOKUP($C193,'A4 Investment'!$A$24:$G$33,5,FALSE)),VLOOKUP($C193,'A4 Investment'!$A$24:$G$33,5,FALSE)*'A4 Investment'!E$18/12,0))</f>
        <v>0</v>
      </c>
      <c r="G193" s="150">
        <f>IF(B193="NA","NA",IF(ISNUMBER(VLOOKUP($C193,'A4 Investment'!$A$24:$G$33,6,FALSE)),VLOOKUP($C193,'A4 Investment'!$A$24:$G$33,6,FALSE)*'A4 Investment'!F$18/12,0))</f>
        <v>0</v>
      </c>
      <c r="H193" s="181">
        <f>IF(B193="NA","NA",IF(ISNUMBER(VLOOKUP($C193,'A4 Investment'!$A$24:$G$33,7,FALSE)),VLOOKUP($C193,'A4 Investment'!$A$24:$G$33,7,FALSE)*'A4 Investment'!G$18/12,0))</f>
        <v>0</v>
      </c>
      <c r="I193" s="160">
        <f t="shared" si="17"/>
        <v>8904.1666666666661</v>
      </c>
    </row>
    <row r="194" spans="1:9" x14ac:dyDescent="0.2">
      <c r="A194" s="86">
        <f t="shared" si="14"/>
        <v>5205</v>
      </c>
      <c r="B194" s="142">
        <f t="shared" si="15"/>
        <v>172</v>
      </c>
      <c r="C194" s="143">
        <f t="shared" si="16"/>
        <v>1</v>
      </c>
      <c r="D194" s="149">
        <f>IF(B194="NA","NA",IF(ISNUMBER(VLOOKUP($C194,'A4 Investment'!$A$24:$G$33,3,FALSE)),VLOOKUP($C194,'A4 Investment'!$A$24:$G$33,3,FALSE)*'A4 Investment'!C$18/12,0))</f>
        <v>8904.1666666666661</v>
      </c>
      <c r="E194" s="150">
        <f>IF(B194="NA","NA",IF(ISNUMBER(VLOOKUP($C194,'A4 Investment'!$A$24:$G$33,4,FALSE)),VLOOKUP($C194,'A4 Investment'!$A$24:$G$33,4,FALSE)*'A4 Investment'!D$18/12,0))</f>
        <v>0</v>
      </c>
      <c r="F194" s="150">
        <f>IF(B194="NA","NA",IF(ISNUMBER(VLOOKUP($C194,'A4 Investment'!$A$24:$G$33,5,FALSE)),VLOOKUP($C194,'A4 Investment'!$A$24:$G$33,5,FALSE)*'A4 Investment'!E$18/12,0))</f>
        <v>0</v>
      </c>
      <c r="G194" s="150">
        <f>IF(B194="NA","NA",IF(ISNUMBER(VLOOKUP($C194,'A4 Investment'!$A$24:$G$33,6,FALSE)),VLOOKUP($C194,'A4 Investment'!$A$24:$G$33,6,FALSE)*'A4 Investment'!F$18/12,0))</f>
        <v>0</v>
      </c>
      <c r="H194" s="181">
        <f>IF(B194="NA","NA",IF(ISNUMBER(VLOOKUP($C194,'A4 Investment'!$A$24:$G$33,7,FALSE)),VLOOKUP($C194,'A4 Investment'!$A$24:$G$33,7,FALSE)*'A4 Investment'!G$18/12,0))</f>
        <v>0</v>
      </c>
      <c r="I194" s="160">
        <f t="shared" si="17"/>
        <v>8904.1666666666661</v>
      </c>
    </row>
    <row r="195" spans="1:9" x14ac:dyDescent="0.2">
      <c r="A195" s="86">
        <f t="shared" si="14"/>
        <v>5235</v>
      </c>
      <c r="B195" s="142">
        <f t="shared" si="15"/>
        <v>173</v>
      </c>
      <c r="C195" s="143">
        <f t="shared" si="16"/>
        <v>1</v>
      </c>
      <c r="D195" s="149">
        <f>IF(B195="NA","NA",IF(ISNUMBER(VLOOKUP($C195,'A4 Investment'!$A$24:$G$33,3,FALSE)),VLOOKUP($C195,'A4 Investment'!$A$24:$G$33,3,FALSE)*'A4 Investment'!C$18/12,0))</f>
        <v>8904.1666666666661</v>
      </c>
      <c r="E195" s="150">
        <f>IF(B195="NA","NA",IF(ISNUMBER(VLOOKUP($C195,'A4 Investment'!$A$24:$G$33,4,FALSE)),VLOOKUP($C195,'A4 Investment'!$A$24:$G$33,4,FALSE)*'A4 Investment'!D$18/12,0))</f>
        <v>0</v>
      </c>
      <c r="F195" s="150">
        <f>IF(B195="NA","NA",IF(ISNUMBER(VLOOKUP($C195,'A4 Investment'!$A$24:$G$33,5,FALSE)),VLOOKUP($C195,'A4 Investment'!$A$24:$G$33,5,FALSE)*'A4 Investment'!E$18/12,0))</f>
        <v>0</v>
      </c>
      <c r="G195" s="150">
        <f>IF(B195="NA","NA",IF(ISNUMBER(VLOOKUP($C195,'A4 Investment'!$A$24:$G$33,6,FALSE)),VLOOKUP($C195,'A4 Investment'!$A$24:$G$33,6,FALSE)*'A4 Investment'!F$18/12,0))</f>
        <v>0</v>
      </c>
      <c r="H195" s="181">
        <f>IF(B195="NA","NA",IF(ISNUMBER(VLOOKUP($C195,'A4 Investment'!$A$24:$G$33,7,FALSE)),VLOOKUP($C195,'A4 Investment'!$A$24:$G$33,7,FALSE)*'A4 Investment'!G$18/12,0))</f>
        <v>0</v>
      </c>
      <c r="I195" s="160">
        <f t="shared" si="17"/>
        <v>8904.1666666666661</v>
      </c>
    </row>
    <row r="196" spans="1:9" x14ac:dyDescent="0.2">
      <c r="A196" s="86">
        <f t="shared" si="14"/>
        <v>5266</v>
      </c>
      <c r="B196" s="142">
        <f t="shared" si="15"/>
        <v>174</v>
      </c>
      <c r="C196" s="143">
        <f t="shared" si="16"/>
        <v>1</v>
      </c>
      <c r="D196" s="149">
        <f>IF(B196="NA","NA",IF(ISNUMBER(VLOOKUP($C196,'A4 Investment'!$A$24:$G$33,3,FALSE)),VLOOKUP($C196,'A4 Investment'!$A$24:$G$33,3,FALSE)*'A4 Investment'!C$18/12,0))</f>
        <v>8904.1666666666661</v>
      </c>
      <c r="E196" s="150">
        <f>IF(B196="NA","NA",IF(ISNUMBER(VLOOKUP($C196,'A4 Investment'!$A$24:$G$33,4,FALSE)),VLOOKUP($C196,'A4 Investment'!$A$24:$G$33,4,FALSE)*'A4 Investment'!D$18/12,0))</f>
        <v>0</v>
      </c>
      <c r="F196" s="150">
        <f>IF(B196="NA","NA",IF(ISNUMBER(VLOOKUP($C196,'A4 Investment'!$A$24:$G$33,5,FALSE)),VLOOKUP($C196,'A4 Investment'!$A$24:$G$33,5,FALSE)*'A4 Investment'!E$18/12,0))</f>
        <v>0</v>
      </c>
      <c r="G196" s="150">
        <f>IF(B196="NA","NA",IF(ISNUMBER(VLOOKUP($C196,'A4 Investment'!$A$24:$G$33,6,FALSE)),VLOOKUP($C196,'A4 Investment'!$A$24:$G$33,6,FALSE)*'A4 Investment'!F$18/12,0))</f>
        <v>0</v>
      </c>
      <c r="H196" s="181">
        <f>IF(B196="NA","NA",IF(ISNUMBER(VLOOKUP($C196,'A4 Investment'!$A$24:$G$33,7,FALSE)),VLOOKUP($C196,'A4 Investment'!$A$24:$G$33,7,FALSE)*'A4 Investment'!G$18/12,0))</f>
        <v>0</v>
      </c>
      <c r="I196" s="160">
        <f t="shared" si="17"/>
        <v>8904.1666666666661</v>
      </c>
    </row>
    <row r="197" spans="1:9" x14ac:dyDescent="0.2">
      <c r="A197" s="86">
        <f t="shared" si="14"/>
        <v>5296</v>
      </c>
      <c r="B197" s="142">
        <f t="shared" si="15"/>
        <v>175</v>
      </c>
      <c r="C197" s="143">
        <f t="shared" si="16"/>
        <v>1</v>
      </c>
      <c r="D197" s="149">
        <f>IF(B197="NA","NA",IF(ISNUMBER(VLOOKUP($C197,'A4 Investment'!$A$24:$G$33,3,FALSE)),VLOOKUP($C197,'A4 Investment'!$A$24:$G$33,3,FALSE)*'A4 Investment'!C$18/12,0))</f>
        <v>8904.1666666666661</v>
      </c>
      <c r="E197" s="150">
        <f>IF(B197="NA","NA",IF(ISNUMBER(VLOOKUP($C197,'A4 Investment'!$A$24:$G$33,4,FALSE)),VLOOKUP($C197,'A4 Investment'!$A$24:$G$33,4,FALSE)*'A4 Investment'!D$18/12,0))</f>
        <v>0</v>
      </c>
      <c r="F197" s="150">
        <f>IF(B197="NA","NA",IF(ISNUMBER(VLOOKUP($C197,'A4 Investment'!$A$24:$G$33,5,FALSE)),VLOOKUP($C197,'A4 Investment'!$A$24:$G$33,5,FALSE)*'A4 Investment'!E$18/12,0))</f>
        <v>0</v>
      </c>
      <c r="G197" s="150">
        <f>IF(B197="NA","NA",IF(ISNUMBER(VLOOKUP($C197,'A4 Investment'!$A$24:$G$33,6,FALSE)),VLOOKUP($C197,'A4 Investment'!$A$24:$G$33,6,FALSE)*'A4 Investment'!F$18/12,0))</f>
        <v>0</v>
      </c>
      <c r="H197" s="181">
        <f>IF(B197="NA","NA",IF(ISNUMBER(VLOOKUP($C197,'A4 Investment'!$A$24:$G$33,7,FALSE)),VLOOKUP($C197,'A4 Investment'!$A$24:$G$33,7,FALSE)*'A4 Investment'!G$18/12,0))</f>
        <v>0</v>
      </c>
      <c r="I197" s="160">
        <f t="shared" si="17"/>
        <v>8904.1666666666661</v>
      </c>
    </row>
    <row r="198" spans="1:9" x14ac:dyDescent="0.2">
      <c r="A198" s="86">
        <f t="shared" si="14"/>
        <v>5327</v>
      </c>
      <c r="B198" s="142">
        <f t="shared" si="15"/>
        <v>176</v>
      </c>
      <c r="C198" s="143">
        <f t="shared" si="16"/>
        <v>1</v>
      </c>
      <c r="D198" s="149">
        <f>IF(B198="NA","NA",IF(ISNUMBER(VLOOKUP($C198,'A4 Investment'!$A$24:$G$33,3,FALSE)),VLOOKUP($C198,'A4 Investment'!$A$24:$G$33,3,FALSE)*'A4 Investment'!C$18/12,0))</f>
        <v>8904.1666666666661</v>
      </c>
      <c r="E198" s="150">
        <f>IF(B198="NA","NA",IF(ISNUMBER(VLOOKUP($C198,'A4 Investment'!$A$24:$G$33,4,FALSE)),VLOOKUP($C198,'A4 Investment'!$A$24:$G$33,4,FALSE)*'A4 Investment'!D$18/12,0))</f>
        <v>0</v>
      </c>
      <c r="F198" s="150">
        <f>IF(B198="NA","NA",IF(ISNUMBER(VLOOKUP($C198,'A4 Investment'!$A$24:$G$33,5,FALSE)),VLOOKUP($C198,'A4 Investment'!$A$24:$G$33,5,FALSE)*'A4 Investment'!E$18/12,0))</f>
        <v>0</v>
      </c>
      <c r="G198" s="150">
        <f>IF(B198="NA","NA",IF(ISNUMBER(VLOOKUP($C198,'A4 Investment'!$A$24:$G$33,6,FALSE)),VLOOKUP($C198,'A4 Investment'!$A$24:$G$33,6,FALSE)*'A4 Investment'!F$18/12,0))</f>
        <v>0</v>
      </c>
      <c r="H198" s="181">
        <f>IF(B198="NA","NA",IF(ISNUMBER(VLOOKUP($C198,'A4 Investment'!$A$24:$G$33,7,FALSE)),VLOOKUP($C198,'A4 Investment'!$A$24:$G$33,7,FALSE)*'A4 Investment'!G$18/12,0))</f>
        <v>0</v>
      </c>
      <c r="I198" s="160">
        <f t="shared" si="17"/>
        <v>8904.1666666666661</v>
      </c>
    </row>
    <row r="199" spans="1:9" x14ac:dyDescent="0.2">
      <c r="A199" s="86">
        <f t="shared" si="14"/>
        <v>5358</v>
      </c>
      <c r="B199" s="142">
        <f t="shared" si="15"/>
        <v>177</v>
      </c>
      <c r="C199" s="143">
        <f t="shared" si="16"/>
        <v>1</v>
      </c>
      <c r="D199" s="149">
        <f>IF(B199="NA","NA",IF(ISNUMBER(VLOOKUP($C199,'A4 Investment'!$A$24:$G$33,3,FALSE)),VLOOKUP($C199,'A4 Investment'!$A$24:$G$33,3,FALSE)*'A4 Investment'!C$18/12,0))</f>
        <v>8904.1666666666661</v>
      </c>
      <c r="E199" s="150">
        <f>IF(B199="NA","NA",IF(ISNUMBER(VLOOKUP($C199,'A4 Investment'!$A$24:$G$33,4,FALSE)),VLOOKUP($C199,'A4 Investment'!$A$24:$G$33,4,FALSE)*'A4 Investment'!D$18/12,0))</f>
        <v>0</v>
      </c>
      <c r="F199" s="150">
        <f>IF(B199="NA","NA",IF(ISNUMBER(VLOOKUP($C199,'A4 Investment'!$A$24:$G$33,5,FALSE)),VLOOKUP($C199,'A4 Investment'!$A$24:$G$33,5,FALSE)*'A4 Investment'!E$18/12,0))</f>
        <v>0</v>
      </c>
      <c r="G199" s="150">
        <f>IF(B199="NA","NA",IF(ISNUMBER(VLOOKUP($C199,'A4 Investment'!$A$24:$G$33,6,FALSE)),VLOOKUP($C199,'A4 Investment'!$A$24:$G$33,6,FALSE)*'A4 Investment'!F$18/12,0))</f>
        <v>0</v>
      </c>
      <c r="H199" s="181">
        <f>IF(B199="NA","NA",IF(ISNUMBER(VLOOKUP($C199,'A4 Investment'!$A$24:$G$33,7,FALSE)),VLOOKUP($C199,'A4 Investment'!$A$24:$G$33,7,FALSE)*'A4 Investment'!G$18/12,0))</f>
        <v>0</v>
      </c>
      <c r="I199" s="160">
        <f t="shared" si="17"/>
        <v>8904.1666666666661</v>
      </c>
    </row>
    <row r="200" spans="1:9" x14ac:dyDescent="0.2">
      <c r="A200" s="86">
        <f t="shared" si="14"/>
        <v>5388</v>
      </c>
      <c r="B200" s="142">
        <f t="shared" si="15"/>
        <v>178</v>
      </c>
      <c r="C200" s="143">
        <f t="shared" si="16"/>
        <v>1</v>
      </c>
      <c r="D200" s="149">
        <f>IF(B200="NA","NA",IF(ISNUMBER(VLOOKUP($C200,'A4 Investment'!$A$24:$G$33,3,FALSE)),VLOOKUP($C200,'A4 Investment'!$A$24:$G$33,3,FALSE)*'A4 Investment'!C$18/12,0))</f>
        <v>8904.1666666666661</v>
      </c>
      <c r="E200" s="150">
        <f>IF(B200="NA","NA",IF(ISNUMBER(VLOOKUP($C200,'A4 Investment'!$A$24:$G$33,4,FALSE)),VLOOKUP($C200,'A4 Investment'!$A$24:$G$33,4,FALSE)*'A4 Investment'!D$18/12,0))</f>
        <v>0</v>
      </c>
      <c r="F200" s="150">
        <f>IF(B200="NA","NA",IF(ISNUMBER(VLOOKUP($C200,'A4 Investment'!$A$24:$G$33,5,FALSE)),VLOOKUP($C200,'A4 Investment'!$A$24:$G$33,5,FALSE)*'A4 Investment'!E$18/12,0))</f>
        <v>0</v>
      </c>
      <c r="G200" s="150">
        <f>IF(B200="NA","NA",IF(ISNUMBER(VLOOKUP($C200,'A4 Investment'!$A$24:$G$33,6,FALSE)),VLOOKUP($C200,'A4 Investment'!$A$24:$G$33,6,FALSE)*'A4 Investment'!F$18/12,0))</f>
        <v>0</v>
      </c>
      <c r="H200" s="181">
        <f>IF(B200="NA","NA",IF(ISNUMBER(VLOOKUP($C200,'A4 Investment'!$A$24:$G$33,7,FALSE)),VLOOKUP($C200,'A4 Investment'!$A$24:$G$33,7,FALSE)*'A4 Investment'!G$18/12,0))</f>
        <v>0</v>
      </c>
      <c r="I200" s="160">
        <f t="shared" si="17"/>
        <v>8904.1666666666661</v>
      </c>
    </row>
    <row r="201" spans="1:9" x14ac:dyDescent="0.2">
      <c r="A201" s="86">
        <f t="shared" si="14"/>
        <v>5419</v>
      </c>
      <c r="B201" s="142">
        <f t="shared" si="15"/>
        <v>179</v>
      </c>
      <c r="C201" s="143">
        <f t="shared" si="16"/>
        <v>1</v>
      </c>
      <c r="D201" s="149">
        <f>IF(B201="NA","NA",IF(ISNUMBER(VLOOKUP($C201,'A4 Investment'!$A$24:$G$33,3,FALSE)),VLOOKUP($C201,'A4 Investment'!$A$24:$G$33,3,FALSE)*'A4 Investment'!C$18/12,0))</f>
        <v>8904.1666666666661</v>
      </c>
      <c r="E201" s="150">
        <f>IF(B201="NA","NA",IF(ISNUMBER(VLOOKUP($C201,'A4 Investment'!$A$24:$G$33,4,FALSE)),VLOOKUP($C201,'A4 Investment'!$A$24:$G$33,4,FALSE)*'A4 Investment'!D$18/12,0))</f>
        <v>0</v>
      </c>
      <c r="F201" s="150">
        <f>IF(B201="NA","NA",IF(ISNUMBER(VLOOKUP($C201,'A4 Investment'!$A$24:$G$33,5,FALSE)),VLOOKUP($C201,'A4 Investment'!$A$24:$G$33,5,FALSE)*'A4 Investment'!E$18/12,0))</f>
        <v>0</v>
      </c>
      <c r="G201" s="150">
        <f>IF(B201="NA","NA",IF(ISNUMBER(VLOOKUP($C201,'A4 Investment'!$A$24:$G$33,6,FALSE)),VLOOKUP($C201,'A4 Investment'!$A$24:$G$33,6,FALSE)*'A4 Investment'!F$18/12,0))</f>
        <v>0</v>
      </c>
      <c r="H201" s="181">
        <f>IF(B201="NA","NA",IF(ISNUMBER(VLOOKUP($C201,'A4 Investment'!$A$24:$G$33,7,FALSE)),VLOOKUP($C201,'A4 Investment'!$A$24:$G$33,7,FALSE)*'A4 Investment'!G$18/12,0))</f>
        <v>0</v>
      </c>
      <c r="I201" s="160">
        <f t="shared" si="17"/>
        <v>8904.1666666666661</v>
      </c>
    </row>
    <row r="202" spans="1:9" x14ac:dyDescent="0.2">
      <c r="A202" s="86">
        <f t="shared" si="14"/>
        <v>5449</v>
      </c>
      <c r="B202" s="142">
        <f t="shared" si="15"/>
        <v>180</v>
      </c>
      <c r="C202" s="143">
        <f t="shared" si="16"/>
        <v>1</v>
      </c>
      <c r="D202" s="149">
        <f>IF(B202="NA","NA",IF(ISNUMBER(VLOOKUP($C202,'A4 Investment'!$A$24:$G$33,3,FALSE)),VLOOKUP($C202,'A4 Investment'!$A$24:$G$33,3,FALSE)*'A4 Investment'!C$18/12,0))</f>
        <v>8904.1666666666661</v>
      </c>
      <c r="E202" s="150">
        <f>IF(B202="NA","NA",IF(ISNUMBER(VLOOKUP($C202,'A4 Investment'!$A$24:$G$33,4,FALSE)),VLOOKUP($C202,'A4 Investment'!$A$24:$G$33,4,FALSE)*'A4 Investment'!D$18/12,0))</f>
        <v>0</v>
      </c>
      <c r="F202" s="150">
        <f>IF(B202="NA","NA",IF(ISNUMBER(VLOOKUP($C202,'A4 Investment'!$A$24:$G$33,5,FALSE)),VLOOKUP($C202,'A4 Investment'!$A$24:$G$33,5,FALSE)*'A4 Investment'!E$18/12,0))</f>
        <v>0</v>
      </c>
      <c r="G202" s="150">
        <f>IF(B202="NA","NA",IF(ISNUMBER(VLOOKUP($C202,'A4 Investment'!$A$24:$G$33,6,FALSE)),VLOOKUP($C202,'A4 Investment'!$A$24:$G$33,6,FALSE)*'A4 Investment'!F$18/12,0))</f>
        <v>0</v>
      </c>
      <c r="H202" s="181">
        <f>IF(B202="NA","NA",IF(ISNUMBER(VLOOKUP($C202,'A4 Investment'!$A$24:$G$33,7,FALSE)),VLOOKUP($C202,'A4 Investment'!$A$24:$G$33,7,FALSE)*'A4 Investment'!G$18/12,0))</f>
        <v>0</v>
      </c>
      <c r="I202" s="160">
        <f t="shared" si="17"/>
        <v>8904.1666666666661</v>
      </c>
    </row>
    <row r="203" spans="1:9" x14ac:dyDescent="0.2">
      <c r="A203" s="86">
        <f t="shared" si="14"/>
        <v>5480</v>
      </c>
      <c r="B203" s="142">
        <f t="shared" si="15"/>
        <v>181</v>
      </c>
      <c r="C203" s="143">
        <f t="shared" si="16"/>
        <v>1</v>
      </c>
      <c r="D203" s="149">
        <f>IF(B203="NA","NA",IF(ISNUMBER(VLOOKUP($C203,'A4 Investment'!$A$24:$G$33,3,FALSE)),VLOOKUP($C203,'A4 Investment'!$A$24:$G$33,3,FALSE)*'A4 Investment'!C$18/12,0))</f>
        <v>8904.1666666666661</v>
      </c>
      <c r="E203" s="150">
        <f>IF(B203="NA","NA",IF(ISNUMBER(VLOOKUP($C203,'A4 Investment'!$A$24:$G$33,4,FALSE)),VLOOKUP($C203,'A4 Investment'!$A$24:$G$33,4,FALSE)*'A4 Investment'!D$18/12,0))</f>
        <v>0</v>
      </c>
      <c r="F203" s="150">
        <f>IF(B203="NA","NA",IF(ISNUMBER(VLOOKUP($C203,'A4 Investment'!$A$24:$G$33,5,FALSE)),VLOOKUP($C203,'A4 Investment'!$A$24:$G$33,5,FALSE)*'A4 Investment'!E$18/12,0))</f>
        <v>0</v>
      </c>
      <c r="G203" s="150">
        <f>IF(B203="NA","NA",IF(ISNUMBER(VLOOKUP($C203,'A4 Investment'!$A$24:$G$33,6,FALSE)),VLOOKUP($C203,'A4 Investment'!$A$24:$G$33,6,FALSE)*'A4 Investment'!F$18/12,0))</f>
        <v>0</v>
      </c>
      <c r="H203" s="181">
        <f>IF(B203="NA","NA",IF(ISNUMBER(VLOOKUP($C203,'A4 Investment'!$A$24:$G$33,7,FALSE)),VLOOKUP($C203,'A4 Investment'!$A$24:$G$33,7,FALSE)*'A4 Investment'!G$18/12,0))</f>
        <v>0</v>
      </c>
      <c r="I203" s="160">
        <f t="shared" si="17"/>
        <v>8904.1666666666661</v>
      </c>
    </row>
    <row r="204" spans="1:9" x14ac:dyDescent="0.2">
      <c r="A204" s="86">
        <f t="shared" si="14"/>
        <v>5511</v>
      </c>
      <c r="B204" s="142">
        <f t="shared" si="15"/>
        <v>182</v>
      </c>
      <c r="C204" s="143">
        <f t="shared" si="16"/>
        <v>1</v>
      </c>
      <c r="D204" s="149">
        <f>IF(B204="NA","NA",IF(ISNUMBER(VLOOKUP($C204,'A4 Investment'!$A$24:$G$33,3,FALSE)),VLOOKUP($C204,'A4 Investment'!$A$24:$G$33,3,FALSE)*'A4 Investment'!C$18/12,0))</f>
        <v>8904.1666666666661</v>
      </c>
      <c r="E204" s="150">
        <f>IF(B204="NA","NA",IF(ISNUMBER(VLOOKUP($C204,'A4 Investment'!$A$24:$G$33,4,FALSE)),VLOOKUP($C204,'A4 Investment'!$A$24:$G$33,4,FALSE)*'A4 Investment'!D$18/12,0))</f>
        <v>0</v>
      </c>
      <c r="F204" s="150">
        <f>IF(B204="NA","NA",IF(ISNUMBER(VLOOKUP($C204,'A4 Investment'!$A$24:$G$33,5,FALSE)),VLOOKUP($C204,'A4 Investment'!$A$24:$G$33,5,FALSE)*'A4 Investment'!E$18/12,0))</f>
        <v>0</v>
      </c>
      <c r="G204" s="150">
        <f>IF(B204="NA","NA",IF(ISNUMBER(VLOOKUP($C204,'A4 Investment'!$A$24:$G$33,6,FALSE)),VLOOKUP($C204,'A4 Investment'!$A$24:$G$33,6,FALSE)*'A4 Investment'!F$18/12,0))</f>
        <v>0</v>
      </c>
      <c r="H204" s="181">
        <f>IF(B204="NA","NA",IF(ISNUMBER(VLOOKUP($C204,'A4 Investment'!$A$24:$G$33,7,FALSE)),VLOOKUP($C204,'A4 Investment'!$A$24:$G$33,7,FALSE)*'A4 Investment'!G$18/12,0))</f>
        <v>0</v>
      </c>
      <c r="I204" s="160">
        <f t="shared" si="17"/>
        <v>8904.1666666666661</v>
      </c>
    </row>
    <row r="205" spans="1:9" x14ac:dyDescent="0.2">
      <c r="A205" s="86">
        <f t="shared" si="14"/>
        <v>5539</v>
      </c>
      <c r="B205" s="142">
        <f t="shared" si="15"/>
        <v>183</v>
      </c>
      <c r="C205" s="143">
        <f t="shared" si="16"/>
        <v>1</v>
      </c>
      <c r="D205" s="149">
        <f>IF(B205="NA","NA",IF(ISNUMBER(VLOOKUP($C205,'A4 Investment'!$A$24:$G$33,3,FALSE)),VLOOKUP($C205,'A4 Investment'!$A$24:$G$33,3,FALSE)*'A4 Investment'!C$18/12,0))</f>
        <v>8904.1666666666661</v>
      </c>
      <c r="E205" s="150">
        <f>IF(B205="NA","NA",IF(ISNUMBER(VLOOKUP($C205,'A4 Investment'!$A$24:$G$33,4,FALSE)),VLOOKUP($C205,'A4 Investment'!$A$24:$G$33,4,FALSE)*'A4 Investment'!D$18/12,0))</f>
        <v>0</v>
      </c>
      <c r="F205" s="150">
        <f>IF(B205="NA","NA",IF(ISNUMBER(VLOOKUP($C205,'A4 Investment'!$A$24:$G$33,5,FALSE)),VLOOKUP($C205,'A4 Investment'!$A$24:$G$33,5,FALSE)*'A4 Investment'!E$18/12,0))</f>
        <v>0</v>
      </c>
      <c r="G205" s="150">
        <f>IF(B205="NA","NA",IF(ISNUMBER(VLOOKUP($C205,'A4 Investment'!$A$24:$G$33,6,FALSE)),VLOOKUP($C205,'A4 Investment'!$A$24:$G$33,6,FALSE)*'A4 Investment'!F$18/12,0))</f>
        <v>0</v>
      </c>
      <c r="H205" s="181">
        <f>IF(B205="NA","NA",IF(ISNUMBER(VLOOKUP($C205,'A4 Investment'!$A$24:$G$33,7,FALSE)),VLOOKUP($C205,'A4 Investment'!$A$24:$G$33,7,FALSE)*'A4 Investment'!G$18/12,0))</f>
        <v>0</v>
      </c>
      <c r="I205" s="160">
        <f t="shared" si="17"/>
        <v>8904.1666666666661</v>
      </c>
    </row>
    <row r="206" spans="1:9" x14ac:dyDescent="0.2">
      <c r="A206" s="86">
        <f t="shared" si="14"/>
        <v>5570</v>
      </c>
      <c r="B206" s="142">
        <f t="shared" si="15"/>
        <v>184</v>
      </c>
      <c r="C206" s="143">
        <f t="shared" si="16"/>
        <v>1</v>
      </c>
      <c r="D206" s="149">
        <f>IF(B206="NA","NA",IF(ISNUMBER(VLOOKUP($C206,'A4 Investment'!$A$24:$G$33,3,FALSE)),VLOOKUP($C206,'A4 Investment'!$A$24:$G$33,3,FALSE)*'A4 Investment'!C$18/12,0))</f>
        <v>8904.1666666666661</v>
      </c>
      <c r="E206" s="150">
        <f>IF(B206="NA","NA",IF(ISNUMBER(VLOOKUP($C206,'A4 Investment'!$A$24:$G$33,4,FALSE)),VLOOKUP($C206,'A4 Investment'!$A$24:$G$33,4,FALSE)*'A4 Investment'!D$18/12,0))</f>
        <v>0</v>
      </c>
      <c r="F206" s="150">
        <f>IF(B206="NA","NA",IF(ISNUMBER(VLOOKUP($C206,'A4 Investment'!$A$24:$G$33,5,FALSE)),VLOOKUP($C206,'A4 Investment'!$A$24:$G$33,5,FALSE)*'A4 Investment'!E$18/12,0))</f>
        <v>0</v>
      </c>
      <c r="G206" s="150">
        <f>IF(B206="NA","NA",IF(ISNUMBER(VLOOKUP($C206,'A4 Investment'!$A$24:$G$33,6,FALSE)),VLOOKUP($C206,'A4 Investment'!$A$24:$G$33,6,FALSE)*'A4 Investment'!F$18/12,0))</f>
        <v>0</v>
      </c>
      <c r="H206" s="181">
        <f>IF(B206="NA","NA",IF(ISNUMBER(VLOOKUP($C206,'A4 Investment'!$A$24:$G$33,7,FALSE)),VLOOKUP($C206,'A4 Investment'!$A$24:$G$33,7,FALSE)*'A4 Investment'!G$18/12,0))</f>
        <v>0</v>
      </c>
      <c r="I206" s="160">
        <f t="shared" si="17"/>
        <v>8904.1666666666661</v>
      </c>
    </row>
    <row r="207" spans="1:9" x14ac:dyDescent="0.2">
      <c r="A207" s="86">
        <f t="shared" si="14"/>
        <v>5600</v>
      </c>
      <c r="B207" s="142">
        <f t="shared" si="15"/>
        <v>185</v>
      </c>
      <c r="C207" s="143">
        <f t="shared" si="16"/>
        <v>1</v>
      </c>
      <c r="D207" s="149">
        <f>IF(B207="NA","NA",IF(ISNUMBER(VLOOKUP($C207,'A4 Investment'!$A$24:$G$33,3,FALSE)),VLOOKUP($C207,'A4 Investment'!$A$24:$G$33,3,FALSE)*'A4 Investment'!C$18/12,0))</f>
        <v>8904.1666666666661</v>
      </c>
      <c r="E207" s="150">
        <f>IF(B207="NA","NA",IF(ISNUMBER(VLOOKUP($C207,'A4 Investment'!$A$24:$G$33,4,FALSE)),VLOOKUP($C207,'A4 Investment'!$A$24:$G$33,4,FALSE)*'A4 Investment'!D$18/12,0))</f>
        <v>0</v>
      </c>
      <c r="F207" s="150">
        <f>IF(B207="NA","NA",IF(ISNUMBER(VLOOKUP($C207,'A4 Investment'!$A$24:$G$33,5,FALSE)),VLOOKUP($C207,'A4 Investment'!$A$24:$G$33,5,FALSE)*'A4 Investment'!E$18/12,0))</f>
        <v>0</v>
      </c>
      <c r="G207" s="150">
        <f>IF(B207="NA","NA",IF(ISNUMBER(VLOOKUP($C207,'A4 Investment'!$A$24:$G$33,6,FALSE)),VLOOKUP($C207,'A4 Investment'!$A$24:$G$33,6,FALSE)*'A4 Investment'!F$18/12,0))</f>
        <v>0</v>
      </c>
      <c r="H207" s="181">
        <f>IF(B207="NA","NA",IF(ISNUMBER(VLOOKUP($C207,'A4 Investment'!$A$24:$G$33,7,FALSE)),VLOOKUP($C207,'A4 Investment'!$A$24:$G$33,7,FALSE)*'A4 Investment'!G$18/12,0))</f>
        <v>0</v>
      </c>
      <c r="I207" s="160">
        <f t="shared" si="17"/>
        <v>8904.1666666666661</v>
      </c>
    </row>
    <row r="208" spans="1:9" x14ac:dyDescent="0.2">
      <c r="A208" s="86">
        <f t="shared" si="14"/>
        <v>5631</v>
      </c>
      <c r="B208" s="142">
        <f t="shared" si="15"/>
        <v>186</v>
      </c>
      <c r="C208" s="143">
        <f t="shared" si="16"/>
        <v>1</v>
      </c>
      <c r="D208" s="149">
        <f>IF(B208="NA","NA",IF(ISNUMBER(VLOOKUP($C208,'A4 Investment'!$A$24:$G$33,3,FALSE)),VLOOKUP($C208,'A4 Investment'!$A$24:$G$33,3,FALSE)*'A4 Investment'!C$18/12,0))</f>
        <v>8904.1666666666661</v>
      </c>
      <c r="E208" s="150">
        <f>IF(B208="NA","NA",IF(ISNUMBER(VLOOKUP($C208,'A4 Investment'!$A$24:$G$33,4,FALSE)),VLOOKUP($C208,'A4 Investment'!$A$24:$G$33,4,FALSE)*'A4 Investment'!D$18/12,0))</f>
        <v>0</v>
      </c>
      <c r="F208" s="150">
        <f>IF(B208="NA","NA",IF(ISNUMBER(VLOOKUP($C208,'A4 Investment'!$A$24:$G$33,5,FALSE)),VLOOKUP($C208,'A4 Investment'!$A$24:$G$33,5,FALSE)*'A4 Investment'!E$18/12,0))</f>
        <v>0</v>
      </c>
      <c r="G208" s="150">
        <f>IF(B208="NA","NA",IF(ISNUMBER(VLOOKUP($C208,'A4 Investment'!$A$24:$G$33,6,FALSE)),VLOOKUP($C208,'A4 Investment'!$A$24:$G$33,6,FALSE)*'A4 Investment'!F$18/12,0))</f>
        <v>0</v>
      </c>
      <c r="H208" s="181">
        <f>IF(B208="NA","NA",IF(ISNUMBER(VLOOKUP($C208,'A4 Investment'!$A$24:$G$33,7,FALSE)),VLOOKUP($C208,'A4 Investment'!$A$24:$G$33,7,FALSE)*'A4 Investment'!G$18/12,0))</f>
        <v>0</v>
      </c>
      <c r="I208" s="160">
        <f t="shared" si="17"/>
        <v>8904.1666666666661</v>
      </c>
    </row>
    <row r="209" spans="1:9" x14ac:dyDescent="0.2">
      <c r="A209" s="86">
        <f t="shared" si="14"/>
        <v>5661</v>
      </c>
      <c r="B209" s="142">
        <f t="shared" si="15"/>
        <v>187</v>
      </c>
      <c r="C209" s="143">
        <f t="shared" si="16"/>
        <v>1</v>
      </c>
      <c r="D209" s="149">
        <f>IF(B209="NA","NA",IF(ISNUMBER(VLOOKUP($C209,'A4 Investment'!$A$24:$G$33,3,FALSE)),VLOOKUP($C209,'A4 Investment'!$A$24:$G$33,3,FALSE)*'A4 Investment'!C$18/12,0))</f>
        <v>8904.1666666666661</v>
      </c>
      <c r="E209" s="150">
        <f>IF(B209="NA","NA",IF(ISNUMBER(VLOOKUP($C209,'A4 Investment'!$A$24:$G$33,4,FALSE)),VLOOKUP($C209,'A4 Investment'!$A$24:$G$33,4,FALSE)*'A4 Investment'!D$18/12,0))</f>
        <v>0</v>
      </c>
      <c r="F209" s="150">
        <f>IF(B209="NA","NA",IF(ISNUMBER(VLOOKUP($C209,'A4 Investment'!$A$24:$G$33,5,FALSE)),VLOOKUP($C209,'A4 Investment'!$A$24:$G$33,5,FALSE)*'A4 Investment'!E$18/12,0))</f>
        <v>0</v>
      </c>
      <c r="G209" s="150">
        <f>IF(B209="NA","NA",IF(ISNUMBER(VLOOKUP($C209,'A4 Investment'!$A$24:$G$33,6,FALSE)),VLOOKUP($C209,'A4 Investment'!$A$24:$G$33,6,FALSE)*'A4 Investment'!F$18/12,0))</f>
        <v>0</v>
      </c>
      <c r="H209" s="181">
        <f>IF(B209="NA","NA",IF(ISNUMBER(VLOOKUP($C209,'A4 Investment'!$A$24:$G$33,7,FALSE)),VLOOKUP($C209,'A4 Investment'!$A$24:$G$33,7,FALSE)*'A4 Investment'!G$18/12,0))</f>
        <v>0</v>
      </c>
      <c r="I209" s="160">
        <f t="shared" si="17"/>
        <v>8904.1666666666661</v>
      </c>
    </row>
    <row r="210" spans="1:9" x14ac:dyDescent="0.2">
      <c r="A210" s="86">
        <f t="shared" si="14"/>
        <v>5692</v>
      </c>
      <c r="B210" s="142">
        <f t="shared" si="15"/>
        <v>188</v>
      </c>
      <c r="C210" s="143">
        <f t="shared" si="16"/>
        <v>1</v>
      </c>
      <c r="D210" s="149">
        <f>IF(B210="NA","NA",IF(ISNUMBER(VLOOKUP($C210,'A4 Investment'!$A$24:$G$33,3,FALSE)),VLOOKUP($C210,'A4 Investment'!$A$24:$G$33,3,FALSE)*'A4 Investment'!C$18/12,0))</f>
        <v>8904.1666666666661</v>
      </c>
      <c r="E210" s="150">
        <f>IF(B210="NA","NA",IF(ISNUMBER(VLOOKUP($C210,'A4 Investment'!$A$24:$G$33,4,FALSE)),VLOOKUP($C210,'A4 Investment'!$A$24:$G$33,4,FALSE)*'A4 Investment'!D$18/12,0))</f>
        <v>0</v>
      </c>
      <c r="F210" s="150">
        <f>IF(B210="NA","NA",IF(ISNUMBER(VLOOKUP($C210,'A4 Investment'!$A$24:$G$33,5,FALSE)),VLOOKUP($C210,'A4 Investment'!$A$24:$G$33,5,FALSE)*'A4 Investment'!E$18/12,0))</f>
        <v>0</v>
      </c>
      <c r="G210" s="150">
        <f>IF(B210="NA","NA",IF(ISNUMBER(VLOOKUP($C210,'A4 Investment'!$A$24:$G$33,6,FALSE)),VLOOKUP($C210,'A4 Investment'!$A$24:$G$33,6,FALSE)*'A4 Investment'!F$18/12,0))</f>
        <v>0</v>
      </c>
      <c r="H210" s="181">
        <f>IF(B210="NA","NA",IF(ISNUMBER(VLOOKUP($C210,'A4 Investment'!$A$24:$G$33,7,FALSE)),VLOOKUP($C210,'A4 Investment'!$A$24:$G$33,7,FALSE)*'A4 Investment'!G$18/12,0))</f>
        <v>0</v>
      </c>
      <c r="I210" s="160">
        <f t="shared" si="17"/>
        <v>8904.1666666666661</v>
      </c>
    </row>
    <row r="211" spans="1:9" x14ac:dyDescent="0.2">
      <c r="A211" s="86">
        <f t="shared" si="14"/>
        <v>5723</v>
      </c>
      <c r="B211" s="142">
        <f t="shared" si="15"/>
        <v>189</v>
      </c>
      <c r="C211" s="143">
        <f t="shared" si="16"/>
        <v>1</v>
      </c>
      <c r="D211" s="149">
        <f>IF(B211="NA","NA",IF(ISNUMBER(VLOOKUP($C211,'A4 Investment'!$A$24:$G$33,3,FALSE)),VLOOKUP($C211,'A4 Investment'!$A$24:$G$33,3,FALSE)*'A4 Investment'!C$18/12,0))</f>
        <v>8904.1666666666661</v>
      </c>
      <c r="E211" s="150">
        <f>IF(B211="NA","NA",IF(ISNUMBER(VLOOKUP($C211,'A4 Investment'!$A$24:$G$33,4,FALSE)),VLOOKUP($C211,'A4 Investment'!$A$24:$G$33,4,FALSE)*'A4 Investment'!D$18/12,0))</f>
        <v>0</v>
      </c>
      <c r="F211" s="150">
        <f>IF(B211="NA","NA",IF(ISNUMBER(VLOOKUP($C211,'A4 Investment'!$A$24:$G$33,5,FALSE)),VLOOKUP($C211,'A4 Investment'!$A$24:$G$33,5,FALSE)*'A4 Investment'!E$18/12,0))</f>
        <v>0</v>
      </c>
      <c r="G211" s="150">
        <f>IF(B211="NA","NA",IF(ISNUMBER(VLOOKUP($C211,'A4 Investment'!$A$24:$G$33,6,FALSE)),VLOOKUP($C211,'A4 Investment'!$A$24:$G$33,6,FALSE)*'A4 Investment'!F$18/12,0))</f>
        <v>0</v>
      </c>
      <c r="H211" s="181">
        <f>IF(B211="NA","NA",IF(ISNUMBER(VLOOKUP($C211,'A4 Investment'!$A$24:$G$33,7,FALSE)),VLOOKUP($C211,'A4 Investment'!$A$24:$G$33,7,FALSE)*'A4 Investment'!G$18/12,0))</f>
        <v>0</v>
      </c>
      <c r="I211" s="160">
        <f t="shared" ref="I211:I242" si="18">IF(B211="NA","NA",SUM(D211:H211))</f>
        <v>8904.1666666666661</v>
      </c>
    </row>
    <row r="212" spans="1:9" x14ac:dyDescent="0.2">
      <c r="A212" s="86">
        <f t="shared" ref="A212:A262" si="19">IF(B212="NA","NA",DATE(YEAR(A211),MONTH(A211)+1,1))</f>
        <v>5753</v>
      </c>
      <c r="B212" s="142">
        <f t="shared" ref="B212:B262" si="20">IF(B211="NA","NA",IF((B211+1)&gt;$B$9,"NA",B211+1))</f>
        <v>190</v>
      </c>
      <c r="C212" s="143">
        <f t="shared" ref="C212:C262" si="21">IF(B212="NA","NA",MATCH($B$9-B212+1,$B$9:$B$18,-1))</f>
        <v>1</v>
      </c>
      <c r="D212" s="149">
        <f>IF(B212="NA","NA",IF(ISNUMBER(VLOOKUP($C212,'A4 Investment'!$A$24:$G$33,3,FALSE)),VLOOKUP($C212,'A4 Investment'!$A$24:$G$33,3,FALSE)*'A4 Investment'!C$18/12,0))</f>
        <v>8904.1666666666661</v>
      </c>
      <c r="E212" s="150">
        <f>IF(B212="NA","NA",IF(ISNUMBER(VLOOKUP($C212,'A4 Investment'!$A$24:$G$33,4,FALSE)),VLOOKUP($C212,'A4 Investment'!$A$24:$G$33,4,FALSE)*'A4 Investment'!D$18/12,0))</f>
        <v>0</v>
      </c>
      <c r="F212" s="150">
        <f>IF(B212="NA","NA",IF(ISNUMBER(VLOOKUP($C212,'A4 Investment'!$A$24:$G$33,5,FALSE)),VLOOKUP($C212,'A4 Investment'!$A$24:$G$33,5,FALSE)*'A4 Investment'!E$18/12,0))</f>
        <v>0</v>
      </c>
      <c r="G212" s="150">
        <f>IF(B212="NA","NA",IF(ISNUMBER(VLOOKUP($C212,'A4 Investment'!$A$24:$G$33,6,FALSE)),VLOOKUP($C212,'A4 Investment'!$A$24:$G$33,6,FALSE)*'A4 Investment'!F$18/12,0))</f>
        <v>0</v>
      </c>
      <c r="H212" s="181">
        <f>IF(B212="NA","NA",IF(ISNUMBER(VLOOKUP($C212,'A4 Investment'!$A$24:$G$33,7,FALSE)),VLOOKUP($C212,'A4 Investment'!$A$24:$G$33,7,FALSE)*'A4 Investment'!G$18/12,0))</f>
        <v>0</v>
      </c>
      <c r="I212" s="160">
        <f t="shared" si="18"/>
        <v>8904.1666666666661</v>
      </c>
    </row>
    <row r="213" spans="1:9" x14ac:dyDescent="0.2">
      <c r="A213" s="86">
        <f t="shared" si="19"/>
        <v>5784</v>
      </c>
      <c r="B213" s="142">
        <f t="shared" si="20"/>
        <v>191</v>
      </c>
      <c r="C213" s="143">
        <f t="shared" si="21"/>
        <v>1</v>
      </c>
      <c r="D213" s="149">
        <f>IF(B213="NA","NA",IF(ISNUMBER(VLOOKUP($C213,'A4 Investment'!$A$24:$G$33,3,FALSE)),VLOOKUP($C213,'A4 Investment'!$A$24:$G$33,3,FALSE)*'A4 Investment'!C$18/12,0))</f>
        <v>8904.1666666666661</v>
      </c>
      <c r="E213" s="150">
        <f>IF(B213="NA","NA",IF(ISNUMBER(VLOOKUP($C213,'A4 Investment'!$A$24:$G$33,4,FALSE)),VLOOKUP($C213,'A4 Investment'!$A$24:$G$33,4,FALSE)*'A4 Investment'!D$18/12,0))</f>
        <v>0</v>
      </c>
      <c r="F213" s="150">
        <f>IF(B213="NA","NA",IF(ISNUMBER(VLOOKUP($C213,'A4 Investment'!$A$24:$G$33,5,FALSE)),VLOOKUP($C213,'A4 Investment'!$A$24:$G$33,5,FALSE)*'A4 Investment'!E$18/12,0))</f>
        <v>0</v>
      </c>
      <c r="G213" s="150">
        <f>IF(B213="NA","NA",IF(ISNUMBER(VLOOKUP($C213,'A4 Investment'!$A$24:$G$33,6,FALSE)),VLOOKUP($C213,'A4 Investment'!$A$24:$G$33,6,FALSE)*'A4 Investment'!F$18/12,0))</f>
        <v>0</v>
      </c>
      <c r="H213" s="181">
        <f>IF(B213="NA","NA",IF(ISNUMBER(VLOOKUP($C213,'A4 Investment'!$A$24:$G$33,7,FALSE)),VLOOKUP($C213,'A4 Investment'!$A$24:$G$33,7,FALSE)*'A4 Investment'!G$18/12,0))</f>
        <v>0</v>
      </c>
      <c r="I213" s="160">
        <f t="shared" si="18"/>
        <v>8904.1666666666661</v>
      </c>
    </row>
    <row r="214" spans="1:9" x14ac:dyDescent="0.2">
      <c r="A214" s="86">
        <f t="shared" si="19"/>
        <v>5814</v>
      </c>
      <c r="B214" s="142">
        <f t="shared" si="20"/>
        <v>192</v>
      </c>
      <c r="C214" s="143">
        <f t="shared" si="21"/>
        <v>1</v>
      </c>
      <c r="D214" s="149">
        <f>IF(B214="NA","NA",IF(ISNUMBER(VLOOKUP($C214,'A4 Investment'!$A$24:$G$33,3,FALSE)),VLOOKUP($C214,'A4 Investment'!$A$24:$G$33,3,FALSE)*'A4 Investment'!C$18/12,0))</f>
        <v>8904.1666666666661</v>
      </c>
      <c r="E214" s="150">
        <f>IF(B214="NA","NA",IF(ISNUMBER(VLOOKUP($C214,'A4 Investment'!$A$24:$G$33,4,FALSE)),VLOOKUP($C214,'A4 Investment'!$A$24:$G$33,4,FALSE)*'A4 Investment'!D$18/12,0))</f>
        <v>0</v>
      </c>
      <c r="F214" s="150">
        <f>IF(B214="NA","NA",IF(ISNUMBER(VLOOKUP($C214,'A4 Investment'!$A$24:$G$33,5,FALSE)),VLOOKUP($C214,'A4 Investment'!$A$24:$G$33,5,FALSE)*'A4 Investment'!E$18/12,0))</f>
        <v>0</v>
      </c>
      <c r="G214" s="150">
        <f>IF(B214="NA","NA",IF(ISNUMBER(VLOOKUP($C214,'A4 Investment'!$A$24:$G$33,6,FALSE)),VLOOKUP($C214,'A4 Investment'!$A$24:$G$33,6,FALSE)*'A4 Investment'!F$18/12,0))</f>
        <v>0</v>
      </c>
      <c r="H214" s="181">
        <f>IF(B214="NA","NA",IF(ISNUMBER(VLOOKUP($C214,'A4 Investment'!$A$24:$G$33,7,FALSE)),VLOOKUP($C214,'A4 Investment'!$A$24:$G$33,7,FALSE)*'A4 Investment'!G$18/12,0))</f>
        <v>0</v>
      </c>
      <c r="I214" s="160">
        <f t="shared" si="18"/>
        <v>8904.1666666666661</v>
      </c>
    </row>
    <row r="215" spans="1:9" x14ac:dyDescent="0.2">
      <c r="A215" s="86">
        <f t="shared" si="19"/>
        <v>5845</v>
      </c>
      <c r="B215" s="142">
        <f t="shared" si="20"/>
        <v>193</v>
      </c>
      <c r="C215" s="143">
        <f t="shared" si="21"/>
        <v>1</v>
      </c>
      <c r="D215" s="149">
        <f>IF(B215="NA","NA",IF(ISNUMBER(VLOOKUP($C215,'A4 Investment'!$A$24:$G$33,3,FALSE)),VLOOKUP($C215,'A4 Investment'!$A$24:$G$33,3,FALSE)*'A4 Investment'!C$18/12,0))</f>
        <v>8904.1666666666661</v>
      </c>
      <c r="E215" s="150">
        <f>IF(B215="NA","NA",IF(ISNUMBER(VLOOKUP($C215,'A4 Investment'!$A$24:$G$33,4,FALSE)),VLOOKUP($C215,'A4 Investment'!$A$24:$G$33,4,FALSE)*'A4 Investment'!D$18/12,0))</f>
        <v>0</v>
      </c>
      <c r="F215" s="150">
        <f>IF(B215="NA","NA",IF(ISNUMBER(VLOOKUP($C215,'A4 Investment'!$A$24:$G$33,5,FALSE)),VLOOKUP($C215,'A4 Investment'!$A$24:$G$33,5,FALSE)*'A4 Investment'!E$18/12,0))</f>
        <v>0</v>
      </c>
      <c r="G215" s="150">
        <f>IF(B215="NA","NA",IF(ISNUMBER(VLOOKUP($C215,'A4 Investment'!$A$24:$G$33,6,FALSE)),VLOOKUP($C215,'A4 Investment'!$A$24:$G$33,6,FALSE)*'A4 Investment'!F$18/12,0))</f>
        <v>0</v>
      </c>
      <c r="H215" s="181">
        <f>IF(B215="NA","NA",IF(ISNUMBER(VLOOKUP($C215,'A4 Investment'!$A$24:$G$33,7,FALSE)),VLOOKUP($C215,'A4 Investment'!$A$24:$G$33,7,FALSE)*'A4 Investment'!G$18/12,0))</f>
        <v>0</v>
      </c>
      <c r="I215" s="160">
        <f t="shared" si="18"/>
        <v>8904.1666666666661</v>
      </c>
    </row>
    <row r="216" spans="1:9" x14ac:dyDescent="0.2">
      <c r="A216" s="86">
        <f t="shared" si="19"/>
        <v>5876</v>
      </c>
      <c r="B216" s="142">
        <f t="shared" si="20"/>
        <v>194</v>
      </c>
      <c r="C216" s="143">
        <f t="shared" si="21"/>
        <v>1</v>
      </c>
      <c r="D216" s="149">
        <f>IF(B216="NA","NA",IF(ISNUMBER(VLOOKUP($C216,'A4 Investment'!$A$24:$G$33,3,FALSE)),VLOOKUP($C216,'A4 Investment'!$A$24:$G$33,3,FALSE)*'A4 Investment'!C$18/12,0))</f>
        <v>8904.1666666666661</v>
      </c>
      <c r="E216" s="150">
        <f>IF(B216="NA","NA",IF(ISNUMBER(VLOOKUP($C216,'A4 Investment'!$A$24:$G$33,4,FALSE)),VLOOKUP($C216,'A4 Investment'!$A$24:$G$33,4,FALSE)*'A4 Investment'!D$18/12,0))</f>
        <v>0</v>
      </c>
      <c r="F216" s="150">
        <f>IF(B216="NA","NA",IF(ISNUMBER(VLOOKUP($C216,'A4 Investment'!$A$24:$G$33,5,FALSE)),VLOOKUP($C216,'A4 Investment'!$A$24:$G$33,5,FALSE)*'A4 Investment'!E$18/12,0))</f>
        <v>0</v>
      </c>
      <c r="G216" s="150">
        <f>IF(B216="NA","NA",IF(ISNUMBER(VLOOKUP($C216,'A4 Investment'!$A$24:$G$33,6,FALSE)),VLOOKUP($C216,'A4 Investment'!$A$24:$G$33,6,FALSE)*'A4 Investment'!F$18/12,0))</f>
        <v>0</v>
      </c>
      <c r="H216" s="181">
        <f>IF(B216="NA","NA",IF(ISNUMBER(VLOOKUP($C216,'A4 Investment'!$A$24:$G$33,7,FALSE)),VLOOKUP($C216,'A4 Investment'!$A$24:$G$33,7,FALSE)*'A4 Investment'!G$18/12,0))</f>
        <v>0</v>
      </c>
      <c r="I216" s="160">
        <f t="shared" si="18"/>
        <v>8904.1666666666661</v>
      </c>
    </row>
    <row r="217" spans="1:9" x14ac:dyDescent="0.2">
      <c r="A217" s="86">
        <f t="shared" si="19"/>
        <v>5905</v>
      </c>
      <c r="B217" s="142">
        <f t="shared" si="20"/>
        <v>195</v>
      </c>
      <c r="C217" s="143">
        <f t="shared" si="21"/>
        <v>1</v>
      </c>
      <c r="D217" s="149">
        <f>IF(B217="NA","NA",IF(ISNUMBER(VLOOKUP($C217,'A4 Investment'!$A$24:$G$33,3,FALSE)),VLOOKUP($C217,'A4 Investment'!$A$24:$G$33,3,FALSE)*'A4 Investment'!C$18/12,0))</f>
        <v>8904.1666666666661</v>
      </c>
      <c r="E217" s="150">
        <f>IF(B217="NA","NA",IF(ISNUMBER(VLOOKUP($C217,'A4 Investment'!$A$24:$G$33,4,FALSE)),VLOOKUP($C217,'A4 Investment'!$A$24:$G$33,4,FALSE)*'A4 Investment'!D$18/12,0))</f>
        <v>0</v>
      </c>
      <c r="F217" s="150">
        <f>IF(B217="NA","NA",IF(ISNUMBER(VLOOKUP($C217,'A4 Investment'!$A$24:$G$33,5,FALSE)),VLOOKUP($C217,'A4 Investment'!$A$24:$G$33,5,FALSE)*'A4 Investment'!E$18/12,0))</f>
        <v>0</v>
      </c>
      <c r="G217" s="150">
        <f>IF(B217="NA","NA",IF(ISNUMBER(VLOOKUP($C217,'A4 Investment'!$A$24:$G$33,6,FALSE)),VLOOKUP($C217,'A4 Investment'!$A$24:$G$33,6,FALSE)*'A4 Investment'!F$18/12,0))</f>
        <v>0</v>
      </c>
      <c r="H217" s="181">
        <f>IF(B217="NA","NA",IF(ISNUMBER(VLOOKUP($C217,'A4 Investment'!$A$24:$G$33,7,FALSE)),VLOOKUP($C217,'A4 Investment'!$A$24:$G$33,7,FALSE)*'A4 Investment'!G$18/12,0))</f>
        <v>0</v>
      </c>
      <c r="I217" s="160">
        <f t="shared" si="18"/>
        <v>8904.1666666666661</v>
      </c>
    </row>
    <row r="218" spans="1:9" x14ac:dyDescent="0.2">
      <c r="A218" s="86">
        <f t="shared" si="19"/>
        <v>5936</v>
      </c>
      <c r="B218" s="142">
        <f t="shared" si="20"/>
        <v>196</v>
      </c>
      <c r="C218" s="143">
        <f t="shared" si="21"/>
        <v>1</v>
      </c>
      <c r="D218" s="149">
        <f>IF(B218="NA","NA",IF(ISNUMBER(VLOOKUP($C218,'A4 Investment'!$A$24:$G$33,3,FALSE)),VLOOKUP($C218,'A4 Investment'!$A$24:$G$33,3,FALSE)*'A4 Investment'!C$18/12,0))</f>
        <v>8904.1666666666661</v>
      </c>
      <c r="E218" s="150">
        <f>IF(B218="NA","NA",IF(ISNUMBER(VLOOKUP($C218,'A4 Investment'!$A$24:$G$33,4,FALSE)),VLOOKUP($C218,'A4 Investment'!$A$24:$G$33,4,FALSE)*'A4 Investment'!D$18/12,0))</f>
        <v>0</v>
      </c>
      <c r="F218" s="150">
        <f>IF(B218="NA","NA",IF(ISNUMBER(VLOOKUP($C218,'A4 Investment'!$A$24:$G$33,5,FALSE)),VLOOKUP($C218,'A4 Investment'!$A$24:$G$33,5,FALSE)*'A4 Investment'!E$18/12,0))</f>
        <v>0</v>
      </c>
      <c r="G218" s="150">
        <f>IF(B218="NA","NA",IF(ISNUMBER(VLOOKUP($C218,'A4 Investment'!$A$24:$G$33,6,FALSE)),VLOOKUP($C218,'A4 Investment'!$A$24:$G$33,6,FALSE)*'A4 Investment'!F$18/12,0))</f>
        <v>0</v>
      </c>
      <c r="H218" s="181">
        <f>IF(B218="NA","NA",IF(ISNUMBER(VLOOKUP($C218,'A4 Investment'!$A$24:$G$33,7,FALSE)),VLOOKUP($C218,'A4 Investment'!$A$24:$G$33,7,FALSE)*'A4 Investment'!G$18/12,0))</f>
        <v>0</v>
      </c>
      <c r="I218" s="160">
        <f t="shared" si="18"/>
        <v>8904.1666666666661</v>
      </c>
    </row>
    <row r="219" spans="1:9" x14ac:dyDescent="0.2">
      <c r="A219" s="86">
        <f t="shared" si="19"/>
        <v>5966</v>
      </c>
      <c r="B219" s="142">
        <f t="shared" si="20"/>
        <v>197</v>
      </c>
      <c r="C219" s="143">
        <f t="shared" si="21"/>
        <v>1</v>
      </c>
      <c r="D219" s="149">
        <f>IF(B219="NA","NA",IF(ISNUMBER(VLOOKUP($C219,'A4 Investment'!$A$24:$G$33,3,FALSE)),VLOOKUP($C219,'A4 Investment'!$A$24:$G$33,3,FALSE)*'A4 Investment'!C$18/12,0))</f>
        <v>8904.1666666666661</v>
      </c>
      <c r="E219" s="150">
        <f>IF(B219="NA","NA",IF(ISNUMBER(VLOOKUP($C219,'A4 Investment'!$A$24:$G$33,4,FALSE)),VLOOKUP($C219,'A4 Investment'!$A$24:$G$33,4,FALSE)*'A4 Investment'!D$18/12,0))</f>
        <v>0</v>
      </c>
      <c r="F219" s="150">
        <f>IF(B219="NA","NA",IF(ISNUMBER(VLOOKUP($C219,'A4 Investment'!$A$24:$G$33,5,FALSE)),VLOOKUP($C219,'A4 Investment'!$A$24:$G$33,5,FALSE)*'A4 Investment'!E$18/12,0))</f>
        <v>0</v>
      </c>
      <c r="G219" s="150">
        <f>IF(B219="NA","NA",IF(ISNUMBER(VLOOKUP($C219,'A4 Investment'!$A$24:$G$33,6,FALSE)),VLOOKUP($C219,'A4 Investment'!$A$24:$G$33,6,FALSE)*'A4 Investment'!F$18/12,0))</f>
        <v>0</v>
      </c>
      <c r="H219" s="181">
        <f>IF(B219="NA","NA",IF(ISNUMBER(VLOOKUP($C219,'A4 Investment'!$A$24:$G$33,7,FALSE)),VLOOKUP($C219,'A4 Investment'!$A$24:$G$33,7,FALSE)*'A4 Investment'!G$18/12,0))</f>
        <v>0</v>
      </c>
      <c r="I219" s="160">
        <f t="shared" si="18"/>
        <v>8904.1666666666661</v>
      </c>
    </row>
    <row r="220" spans="1:9" x14ac:dyDescent="0.2">
      <c r="A220" s="86">
        <f t="shared" si="19"/>
        <v>5997</v>
      </c>
      <c r="B220" s="142">
        <f t="shared" si="20"/>
        <v>198</v>
      </c>
      <c r="C220" s="143">
        <f t="shared" si="21"/>
        <v>1</v>
      </c>
      <c r="D220" s="149">
        <f>IF(B220="NA","NA",IF(ISNUMBER(VLOOKUP($C220,'A4 Investment'!$A$24:$G$33,3,FALSE)),VLOOKUP($C220,'A4 Investment'!$A$24:$G$33,3,FALSE)*'A4 Investment'!C$18/12,0))</f>
        <v>8904.1666666666661</v>
      </c>
      <c r="E220" s="150">
        <f>IF(B220="NA","NA",IF(ISNUMBER(VLOOKUP($C220,'A4 Investment'!$A$24:$G$33,4,FALSE)),VLOOKUP($C220,'A4 Investment'!$A$24:$G$33,4,FALSE)*'A4 Investment'!D$18/12,0))</f>
        <v>0</v>
      </c>
      <c r="F220" s="150">
        <f>IF(B220="NA","NA",IF(ISNUMBER(VLOOKUP($C220,'A4 Investment'!$A$24:$G$33,5,FALSE)),VLOOKUP($C220,'A4 Investment'!$A$24:$G$33,5,FALSE)*'A4 Investment'!E$18/12,0))</f>
        <v>0</v>
      </c>
      <c r="G220" s="150">
        <f>IF(B220="NA","NA",IF(ISNUMBER(VLOOKUP($C220,'A4 Investment'!$A$24:$G$33,6,FALSE)),VLOOKUP($C220,'A4 Investment'!$A$24:$G$33,6,FALSE)*'A4 Investment'!F$18/12,0))</f>
        <v>0</v>
      </c>
      <c r="H220" s="181">
        <f>IF(B220="NA","NA",IF(ISNUMBER(VLOOKUP($C220,'A4 Investment'!$A$24:$G$33,7,FALSE)),VLOOKUP($C220,'A4 Investment'!$A$24:$G$33,7,FALSE)*'A4 Investment'!G$18/12,0))</f>
        <v>0</v>
      </c>
      <c r="I220" s="160">
        <f t="shared" si="18"/>
        <v>8904.1666666666661</v>
      </c>
    </row>
    <row r="221" spans="1:9" x14ac:dyDescent="0.2">
      <c r="A221" s="86">
        <f t="shared" si="19"/>
        <v>6027</v>
      </c>
      <c r="B221" s="142">
        <f t="shared" si="20"/>
        <v>199</v>
      </c>
      <c r="C221" s="143">
        <f t="shared" si="21"/>
        <v>1</v>
      </c>
      <c r="D221" s="149">
        <f>IF(B221="NA","NA",IF(ISNUMBER(VLOOKUP($C221,'A4 Investment'!$A$24:$G$33,3,FALSE)),VLOOKUP($C221,'A4 Investment'!$A$24:$G$33,3,FALSE)*'A4 Investment'!C$18/12,0))</f>
        <v>8904.1666666666661</v>
      </c>
      <c r="E221" s="150">
        <f>IF(B221="NA","NA",IF(ISNUMBER(VLOOKUP($C221,'A4 Investment'!$A$24:$G$33,4,FALSE)),VLOOKUP($C221,'A4 Investment'!$A$24:$G$33,4,FALSE)*'A4 Investment'!D$18/12,0))</f>
        <v>0</v>
      </c>
      <c r="F221" s="150">
        <f>IF(B221="NA","NA",IF(ISNUMBER(VLOOKUP($C221,'A4 Investment'!$A$24:$G$33,5,FALSE)),VLOOKUP($C221,'A4 Investment'!$A$24:$G$33,5,FALSE)*'A4 Investment'!E$18/12,0))</f>
        <v>0</v>
      </c>
      <c r="G221" s="150">
        <f>IF(B221="NA","NA",IF(ISNUMBER(VLOOKUP($C221,'A4 Investment'!$A$24:$G$33,6,FALSE)),VLOOKUP($C221,'A4 Investment'!$A$24:$G$33,6,FALSE)*'A4 Investment'!F$18/12,0))</f>
        <v>0</v>
      </c>
      <c r="H221" s="181">
        <f>IF(B221="NA","NA",IF(ISNUMBER(VLOOKUP($C221,'A4 Investment'!$A$24:$G$33,7,FALSE)),VLOOKUP($C221,'A4 Investment'!$A$24:$G$33,7,FALSE)*'A4 Investment'!G$18/12,0))</f>
        <v>0</v>
      </c>
      <c r="I221" s="160">
        <f t="shared" si="18"/>
        <v>8904.1666666666661</v>
      </c>
    </row>
    <row r="222" spans="1:9" x14ac:dyDescent="0.2">
      <c r="A222" s="86">
        <f t="shared" si="19"/>
        <v>6058</v>
      </c>
      <c r="B222" s="142">
        <f t="shared" si="20"/>
        <v>200</v>
      </c>
      <c r="C222" s="143">
        <f t="shared" si="21"/>
        <v>1</v>
      </c>
      <c r="D222" s="149">
        <f>IF(B222="NA","NA",IF(ISNUMBER(VLOOKUP($C222,'A4 Investment'!$A$24:$G$33,3,FALSE)),VLOOKUP($C222,'A4 Investment'!$A$24:$G$33,3,FALSE)*'A4 Investment'!C$18/12,0))</f>
        <v>8904.1666666666661</v>
      </c>
      <c r="E222" s="150">
        <f>IF(B222="NA","NA",IF(ISNUMBER(VLOOKUP($C222,'A4 Investment'!$A$24:$G$33,4,FALSE)),VLOOKUP($C222,'A4 Investment'!$A$24:$G$33,4,FALSE)*'A4 Investment'!D$18/12,0))</f>
        <v>0</v>
      </c>
      <c r="F222" s="150">
        <f>IF(B222="NA","NA",IF(ISNUMBER(VLOOKUP($C222,'A4 Investment'!$A$24:$G$33,5,FALSE)),VLOOKUP($C222,'A4 Investment'!$A$24:$G$33,5,FALSE)*'A4 Investment'!E$18/12,0))</f>
        <v>0</v>
      </c>
      <c r="G222" s="150">
        <f>IF(B222="NA","NA",IF(ISNUMBER(VLOOKUP($C222,'A4 Investment'!$A$24:$G$33,6,FALSE)),VLOOKUP($C222,'A4 Investment'!$A$24:$G$33,6,FALSE)*'A4 Investment'!F$18/12,0))</f>
        <v>0</v>
      </c>
      <c r="H222" s="181">
        <f>IF(B222="NA","NA",IF(ISNUMBER(VLOOKUP($C222,'A4 Investment'!$A$24:$G$33,7,FALSE)),VLOOKUP($C222,'A4 Investment'!$A$24:$G$33,7,FALSE)*'A4 Investment'!G$18/12,0))</f>
        <v>0</v>
      </c>
      <c r="I222" s="160">
        <f t="shared" si="18"/>
        <v>8904.1666666666661</v>
      </c>
    </row>
    <row r="223" spans="1:9" x14ac:dyDescent="0.2">
      <c r="A223" s="86">
        <f t="shared" si="19"/>
        <v>6089</v>
      </c>
      <c r="B223" s="142">
        <f t="shared" si="20"/>
        <v>201</v>
      </c>
      <c r="C223" s="143">
        <f t="shared" si="21"/>
        <v>1</v>
      </c>
      <c r="D223" s="149">
        <f>IF(B223="NA","NA",IF(ISNUMBER(VLOOKUP($C223,'A4 Investment'!$A$24:$G$33,3,FALSE)),VLOOKUP($C223,'A4 Investment'!$A$24:$G$33,3,FALSE)*'A4 Investment'!C$18/12,0))</f>
        <v>8904.1666666666661</v>
      </c>
      <c r="E223" s="150">
        <f>IF(B223="NA","NA",IF(ISNUMBER(VLOOKUP($C223,'A4 Investment'!$A$24:$G$33,4,FALSE)),VLOOKUP($C223,'A4 Investment'!$A$24:$G$33,4,FALSE)*'A4 Investment'!D$18/12,0))</f>
        <v>0</v>
      </c>
      <c r="F223" s="150">
        <f>IF(B223="NA","NA",IF(ISNUMBER(VLOOKUP($C223,'A4 Investment'!$A$24:$G$33,5,FALSE)),VLOOKUP($C223,'A4 Investment'!$A$24:$G$33,5,FALSE)*'A4 Investment'!E$18/12,0))</f>
        <v>0</v>
      </c>
      <c r="G223" s="150">
        <f>IF(B223="NA","NA",IF(ISNUMBER(VLOOKUP($C223,'A4 Investment'!$A$24:$G$33,6,FALSE)),VLOOKUP($C223,'A4 Investment'!$A$24:$G$33,6,FALSE)*'A4 Investment'!F$18/12,0))</f>
        <v>0</v>
      </c>
      <c r="H223" s="181">
        <f>IF(B223="NA","NA",IF(ISNUMBER(VLOOKUP($C223,'A4 Investment'!$A$24:$G$33,7,FALSE)),VLOOKUP($C223,'A4 Investment'!$A$24:$G$33,7,FALSE)*'A4 Investment'!G$18/12,0))</f>
        <v>0</v>
      </c>
      <c r="I223" s="160">
        <f t="shared" si="18"/>
        <v>8904.1666666666661</v>
      </c>
    </row>
    <row r="224" spans="1:9" x14ac:dyDescent="0.2">
      <c r="A224" s="86">
        <f t="shared" si="19"/>
        <v>6119</v>
      </c>
      <c r="B224" s="142">
        <f t="shared" si="20"/>
        <v>202</v>
      </c>
      <c r="C224" s="143">
        <f t="shared" si="21"/>
        <v>1</v>
      </c>
      <c r="D224" s="149">
        <f>IF(B224="NA","NA",IF(ISNUMBER(VLOOKUP($C224,'A4 Investment'!$A$24:$G$33,3,FALSE)),VLOOKUP($C224,'A4 Investment'!$A$24:$G$33,3,FALSE)*'A4 Investment'!C$18/12,0))</f>
        <v>8904.1666666666661</v>
      </c>
      <c r="E224" s="150">
        <f>IF(B224="NA","NA",IF(ISNUMBER(VLOOKUP($C224,'A4 Investment'!$A$24:$G$33,4,FALSE)),VLOOKUP($C224,'A4 Investment'!$A$24:$G$33,4,FALSE)*'A4 Investment'!D$18/12,0))</f>
        <v>0</v>
      </c>
      <c r="F224" s="150">
        <f>IF(B224="NA","NA",IF(ISNUMBER(VLOOKUP($C224,'A4 Investment'!$A$24:$G$33,5,FALSE)),VLOOKUP($C224,'A4 Investment'!$A$24:$G$33,5,FALSE)*'A4 Investment'!E$18/12,0))</f>
        <v>0</v>
      </c>
      <c r="G224" s="150">
        <f>IF(B224="NA","NA",IF(ISNUMBER(VLOOKUP($C224,'A4 Investment'!$A$24:$G$33,6,FALSE)),VLOOKUP($C224,'A4 Investment'!$A$24:$G$33,6,FALSE)*'A4 Investment'!F$18/12,0))</f>
        <v>0</v>
      </c>
      <c r="H224" s="181">
        <f>IF(B224="NA","NA",IF(ISNUMBER(VLOOKUP($C224,'A4 Investment'!$A$24:$G$33,7,FALSE)),VLOOKUP($C224,'A4 Investment'!$A$24:$G$33,7,FALSE)*'A4 Investment'!G$18/12,0))</f>
        <v>0</v>
      </c>
      <c r="I224" s="160">
        <f t="shared" si="18"/>
        <v>8904.1666666666661</v>
      </c>
    </row>
    <row r="225" spans="1:9" x14ac:dyDescent="0.2">
      <c r="A225" s="86">
        <f t="shared" si="19"/>
        <v>6150</v>
      </c>
      <c r="B225" s="142">
        <f t="shared" si="20"/>
        <v>203</v>
      </c>
      <c r="C225" s="143">
        <f t="shared" si="21"/>
        <v>1</v>
      </c>
      <c r="D225" s="149">
        <f>IF(B225="NA","NA",IF(ISNUMBER(VLOOKUP($C225,'A4 Investment'!$A$24:$G$33,3,FALSE)),VLOOKUP($C225,'A4 Investment'!$A$24:$G$33,3,FALSE)*'A4 Investment'!C$18/12,0))</f>
        <v>8904.1666666666661</v>
      </c>
      <c r="E225" s="150">
        <f>IF(B225="NA","NA",IF(ISNUMBER(VLOOKUP($C225,'A4 Investment'!$A$24:$G$33,4,FALSE)),VLOOKUP($C225,'A4 Investment'!$A$24:$G$33,4,FALSE)*'A4 Investment'!D$18/12,0))</f>
        <v>0</v>
      </c>
      <c r="F225" s="150">
        <f>IF(B225="NA","NA",IF(ISNUMBER(VLOOKUP($C225,'A4 Investment'!$A$24:$G$33,5,FALSE)),VLOOKUP($C225,'A4 Investment'!$A$24:$G$33,5,FALSE)*'A4 Investment'!E$18/12,0))</f>
        <v>0</v>
      </c>
      <c r="G225" s="150">
        <f>IF(B225="NA","NA",IF(ISNUMBER(VLOOKUP($C225,'A4 Investment'!$A$24:$G$33,6,FALSE)),VLOOKUP($C225,'A4 Investment'!$A$24:$G$33,6,FALSE)*'A4 Investment'!F$18/12,0))</f>
        <v>0</v>
      </c>
      <c r="H225" s="181">
        <f>IF(B225="NA","NA",IF(ISNUMBER(VLOOKUP($C225,'A4 Investment'!$A$24:$G$33,7,FALSE)),VLOOKUP($C225,'A4 Investment'!$A$24:$G$33,7,FALSE)*'A4 Investment'!G$18/12,0))</f>
        <v>0</v>
      </c>
      <c r="I225" s="160">
        <f t="shared" si="18"/>
        <v>8904.1666666666661</v>
      </c>
    </row>
    <row r="226" spans="1:9" x14ac:dyDescent="0.2">
      <c r="A226" s="86">
        <f t="shared" si="19"/>
        <v>6180</v>
      </c>
      <c r="B226" s="142">
        <f t="shared" si="20"/>
        <v>204</v>
      </c>
      <c r="C226" s="143">
        <f t="shared" si="21"/>
        <v>1</v>
      </c>
      <c r="D226" s="149">
        <f>IF(B226="NA","NA",IF(ISNUMBER(VLOOKUP($C226,'A4 Investment'!$A$24:$G$33,3,FALSE)),VLOOKUP($C226,'A4 Investment'!$A$24:$G$33,3,FALSE)*'A4 Investment'!C$18/12,0))</f>
        <v>8904.1666666666661</v>
      </c>
      <c r="E226" s="150">
        <f>IF(B226="NA","NA",IF(ISNUMBER(VLOOKUP($C226,'A4 Investment'!$A$24:$G$33,4,FALSE)),VLOOKUP($C226,'A4 Investment'!$A$24:$G$33,4,FALSE)*'A4 Investment'!D$18/12,0))</f>
        <v>0</v>
      </c>
      <c r="F226" s="150">
        <f>IF(B226="NA","NA",IF(ISNUMBER(VLOOKUP($C226,'A4 Investment'!$A$24:$G$33,5,FALSE)),VLOOKUP($C226,'A4 Investment'!$A$24:$G$33,5,FALSE)*'A4 Investment'!E$18/12,0))</f>
        <v>0</v>
      </c>
      <c r="G226" s="150">
        <f>IF(B226="NA","NA",IF(ISNUMBER(VLOOKUP($C226,'A4 Investment'!$A$24:$G$33,6,FALSE)),VLOOKUP($C226,'A4 Investment'!$A$24:$G$33,6,FALSE)*'A4 Investment'!F$18/12,0))</f>
        <v>0</v>
      </c>
      <c r="H226" s="181">
        <f>IF(B226="NA","NA",IF(ISNUMBER(VLOOKUP($C226,'A4 Investment'!$A$24:$G$33,7,FALSE)),VLOOKUP($C226,'A4 Investment'!$A$24:$G$33,7,FALSE)*'A4 Investment'!G$18/12,0))</f>
        <v>0</v>
      </c>
      <c r="I226" s="160">
        <f t="shared" si="18"/>
        <v>8904.1666666666661</v>
      </c>
    </row>
    <row r="227" spans="1:9" x14ac:dyDescent="0.2">
      <c r="A227" s="86">
        <f t="shared" si="19"/>
        <v>6211</v>
      </c>
      <c r="B227" s="142">
        <f t="shared" si="20"/>
        <v>205</v>
      </c>
      <c r="C227" s="143">
        <f t="shared" si="21"/>
        <v>1</v>
      </c>
      <c r="D227" s="149">
        <f>IF(B227="NA","NA",IF(ISNUMBER(VLOOKUP($C227,'A4 Investment'!$A$24:$G$33,3,FALSE)),VLOOKUP($C227,'A4 Investment'!$A$24:$G$33,3,FALSE)*'A4 Investment'!C$18/12,0))</f>
        <v>8904.1666666666661</v>
      </c>
      <c r="E227" s="150">
        <f>IF(B227="NA","NA",IF(ISNUMBER(VLOOKUP($C227,'A4 Investment'!$A$24:$G$33,4,FALSE)),VLOOKUP($C227,'A4 Investment'!$A$24:$G$33,4,FALSE)*'A4 Investment'!D$18/12,0))</f>
        <v>0</v>
      </c>
      <c r="F227" s="150">
        <f>IF(B227="NA","NA",IF(ISNUMBER(VLOOKUP($C227,'A4 Investment'!$A$24:$G$33,5,FALSE)),VLOOKUP($C227,'A4 Investment'!$A$24:$G$33,5,FALSE)*'A4 Investment'!E$18/12,0))</f>
        <v>0</v>
      </c>
      <c r="G227" s="150">
        <f>IF(B227="NA","NA",IF(ISNUMBER(VLOOKUP($C227,'A4 Investment'!$A$24:$G$33,6,FALSE)),VLOOKUP($C227,'A4 Investment'!$A$24:$G$33,6,FALSE)*'A4 Investment'!F$18/12,0))</f>
        <v>0</v>
      </c>
      <c r="H227" s="181">
        <f>IF(B227="NA","NA",IF(ISNUMBER(VLOOKUP($C227,'A4 Investment'!$A$24:$G$33,7,FALSE)),VLOOKUP($C227,'A4 Investment'!$A$24:$G$33,7,FALSE)*'A4 Investment'!G$18/12,0))</f>
        <v>0</v>
      </c>
      <c r="I227" s="160">
        <f t="shared" si="18"/>
        <v>8904.1666666666661</v>
      </c>
    </row>
    <row r="228" spans="1:9" x14ac:dyDescent="0.2">
      <c r="A228" s="86">
        <f t="shared" si="19"/>
        <v>6242</v>
      </c>
      <c r="B228" s="142">
        <f t="shared" si="20"/>
        <v>206</v>
      </c>
      <c r="C228" s="143">
        <f t="shared" si="21"/>
        <v>1</v>
      </c>
      <c r="D228" s="149">
        <f>IF(B228="NA","NA",IF(ISNUMBER(VLOOKUP($C228,'A4 Investment'!$A$24:$G$33,3,FALSE)),VLOOKUP($C228,'A4 Investment'!$A$24:$G$33,3,FALSE)*'A4 Investment'!C$18/12,0))</f>
        <v>8904.1666666666661</v>
      </c>
      <c r="E228" s="150">
        <f>IF(B228="NA","NA",IF(ISNUMBER(VLOOKUP($C228,'A4 Investment'!$A$24:$G$33,4,FALSE)),VLOOKUP($C228,'A4 Investment'!$A$24:$G$33,4,FALSE)*'A4 Investment'!D$18/12,0))</f>
        <v>0</v>
      </c>
      <c r="F228" s="150">
        <f>IF(B228="NA","NA",IF(ISNUMBER(VLOOKUP($C228,'A4 Investment'!$A$24:$G$33,5,FALSE)),VLOOKUP($C228,'A4 Investment'!$A$24:$G$33,5,FALSE)*'A4 Investment'!E$18/12,0))</f>
        <v>0</v>
      </c>
      <c r="G228" s="150">
        <f>IF(B228="NA","NA",IF(ISNUMBER(VLOOKUP($C228,'A4 Investment'!$A$24:$G$33,6,FALSE)),VLOOKUP($C228,'A4 Investment'!$A$24:$G$33,6,FALSE)*'A4 Investment'!F$18/12,0))</f>
        <v>0</v>
      </c>
      <c r="H228" s="181">
        <f>IF(B228="NA","NA",IF(ISNUMBER(VLOOKUP($C228,'A4 Investment'!$A$24:$G$33,7,FALSE)),VLOOKUP($C228,'A4 Investment'!$A$24:$G$33,7,FALSE)*'A4 Investment'!G$18/12,0))</f>
        <v>0</v>
      </c>
      <c r="I228" s="160">
        <f t="shared" si="18"/>
        <v>8904.1666666666661</v>
      </c>
    </row>
    <row r="229" spans="1:9" x14ac:dyDescent="0.2">
      <c r="A229" s="86">
        <f t="shared" si="19"/>
        <v>6270</v>
      </c>
      <c r="B229" s="142">
        <f t="shared" si="20"/>
        <v>207</v>
      </c>
      <c r="C229" s="143">
        <f t="shared" si="21"/>
        <v>1</v>
      </c>
      <c r="D229" s="149">
        <f>IF(B229="NA","NA",IF(ISNUMBER(VLOOKUP($C229,'A4 Investment'!$A$24:$G$33,3,FALSE)),VLOOKUP($C229,'A4 Investment'!$A$24:$G$33,3,FALSE)*'A4 Investment'!C$18/12,0))</f>
        <v>8904.1666666666661</v>
      </c>
      <c r="E229" s="150">
        <f>IF(B229="NA","NA",IF(ISNUMBER(VLOOKUP($C229,'A4 Investment'!$A$24:$G$33,4,FALSE)),VLOOKUP($C229,'A4 Investment'!$A$24:$G$33,4,FALSE)*'A4 Investment'!D$18/12,0))</f>
        <v>0</v>
      </c>
      <c r="F229" s="150">
        <f>IF(B229="NA","NA",IF(ISNUMBER(VLOOKUP($C229,'A4 Investment'!$A$24:$G$33,5,FALSE)),VLOOKUP($C229,'A4 Investment'!$A$24:$G$33,5,FALSE)*'A4 Investment'!E$18/12,0))</f>
        <v>0</v>
      </c>
      <c r="G229" s="150">
        <f>IF(B229="NA","NA",IF(ISNUMBER(VLOOKUP($C229,'A4 Investment'!$A$24:$G$33,6,FALSE)),VLOOKUP($C229,'A4 Investment'!$A$24:$G$33,6,FALSE)*'A4 Investment'!F$18/12,0))</f>
        <v>0</v>
      </c>
      <c r="H229" s="181">
        <f>IF(B229="NA","NA",IF(ISNUMBER(VLOOKUP($C229,'A4 Investment'!$A$24:$G$33,7,FALSE)),VLOOKUP($C229,'A4 Investment'!$A$24:$G$33,7,FALSE)*'A4 Investment'!G$18/12,0))</f>
        <v>0</v>
      </c>
      <c r="I229" s="160">
        <f t="shared" si="18"/>
        <v>8904.1666666666661</v>
      </c>
    </row>
    <row r="230" spans="1:9" x14ac:dyDescent="0.2">
      <c r="A230" s="86">
        <f t="shared" si="19"/>
        <v>6301</v>
      </c>
      <c r="B230" s="142">
        <f t="shared" si="20"/>
        <v>208</v>
      </c>
      <c r="C230" s="143">
        <f t="shared" si="21"/>
        <v>1</v>
      </c>
      <c r="D230" s="149">
        <f>IF(B230="NA","NA",IF(ISNUMBER(VLOOKUP($C230,'A4 Investment'!$A$24:$G$33,3,FALSE)),VLOOKUP($C230,'A4 Investment'!$A$24:$G$33,3,FALSE)*'A4 Investment'!C$18/12,0))</f>
        <v>8904.1666666666661</v>
      </c>
      <c r="E230" s="150">
        <f>IF(B230="NA","NA",IF(ISNUMBER(VLOOKUP($C230,'A4 Investment'!$A$24:$G$33,4,FALSE)),VLOOKUP($C230,'A4 Investment'!$A$24:$G$33,4,FALSE)*'A4 Investment'!D$18/12,0))</f>
        <v>0</v>
      </c>
      <c r="F230" s="150">
        <f>IF(B230="NA","NA",IF(ISNUMBER(VLOOKUP($C230,'A4 Investment'!$A$24:$G$33,5,FALSE)),VLOOKUP($C230,'A4 Investment'!$A$24:$G$33,5,FALSE)*'A4 Investment'!E$18/12,0))</f>
        <v>0</v>
      </c>
      <c r="G230" s="150">
        <f>IF(B230="NA","NA",IF(ISNUMBER(VLOOKUP($C230,'A4 Investment'!$A$24:$G$33,6,FALSE)),VLOOKUP($C230,'A4 Investment'!$A$24:$G$33,6,FALSE)*'A4 Investment'!F$18/12,0))</f>
        <v>0</v>
      </c>
      <c r="H230" s="181">
        <f>IF(B230="NA","NA",IF(ISNUMBER(VLOOKUP($C230,'A4 Investment'!$A$24:$G$33,7,FALSE)),VLOOKUP($C230,'A4 Investment'!$A$24:$G$33,7,FALSE)*'A4 Investment'!G$18/12,0))</f>
        <v>0</v>
      </c>
      <c r="I230" s="160">
        <f t="shared" si="18"/>
        <v>8904.1666666666661</v>
      </c>
    </row>
    <row r="231" spans="1:9" x14ac:dyDescent="0.2">
      <c r="A231" s="86">
        <f t="shared" si="19"/>
        <v>6331</v>
      </c>
      <c r="B231" s="142">
        <f t="shared" si="20"/>
        <v>209</v>
      </c>
      <c r="C231" s="143">
        <f t="shared" si="21"/>
        <v>1</v>
      </c>
      <c r="D231" s="149">
        <f>IF(B231="NA","NA",IF(ISNUMBER(VLOOKUP($C231,'A4 Investment'!$A$24:$G$33,3,FALSE)),VLOOKUP($C231,'A4 Investment'!$A$24:$G$33,3,FALSE)*'A4 Investment'!C$18/12,0))</f>
        <v>8904.1666666666661</v>
      </c>
      <c r="E231" s="150">
        <f>IF(B231="NA","NA",IF(ISNUMBER(VLOOKUP($C231,'A4 Investment'!$A$24:$G$33,4,FALSE)),VLOOKUP($C231,'A4 Investment'!$A$24:$G$33,4,FALSE)*'A4 Investment'!D$18/12,0))</f>
        <v>0</v>
      </c>
      <c r="F231" s="150">
        <f>IF(B231="NA","NA",IF(ISNUMBER(VLOOKUP($C231,'A4 Investment'!$A$24:$G$33,5,FALSE)),VLOOKUP($C231,'A4 Investment'!$A$24:$G$33,5,FALSE)*'A4 Investment'!E$18/12,0))</f>
        <v>0</v>
      </c>
      <c r="G231" s="150">
        <f>IF(B231="NA","NA",IF(ISNUMBER(VLOOKUP($C231,'A4 Investment'!$A$24:$G$33,6,FALSE)),VLOOKUP($C231,'A4 Investment'!$A$24:$G$33,6,FALSE)*'A4 Investment'!F$18/12,0))</f>
        <v>0</v>
      </c>
      <c r="H231" s="181">
        <f>IF(B231="NA","NA",IF(ISNUMBER(VLOOKUP($C231,'A4 Investment'!$A$24:$G$33,7,FALSE)),VLOOKUP($C231,'A4 Investment'!$A$24:$G$33,7,FALSE)*'A4 Investment'!G$18/12,0))</f>
        <v>0</v>
      </c>
      <c r="I231" s="160">
        <f t="shared" si="18"/>
        <v>8904.1666666666661</v>
      </c>
    </row>
    <row r="232" spans="1:9" x14ac:dyDescent="0.2">
      <c r="A232" s="86">
        <f t="shared" si="19"/>
        <v>6362</v>
      </c>
      <c r="B232" s="142">
        <f t="shared" si="20"/>
        <v>210</v>
      </c>
      <c r="C232" s="143">
        <f t="shared" si="21"/>
        <v>1</v>
      </c>
      <c r="D232" s="149">
        <f>IF(B232="NA","NA",IF(ISNUMBER(VLOOKUP($C232,'A4 Investment'!$A$24:$G$33,3,FALSE)),VLOOKUP($C232,'A4 Investment'!$A$24:$G$33,3,FALSE)*'A4 Investment'!C$18/12,0))</f>
        <v>8904.1666666666661</v>
      </c>
      <c r="E232" s="150">
        <f>IF(B232="NA","NA",IF(ISNUMBER(VLOOKUP($C232,'A4 Investment'!$A$24:$G$33,4,FALSE)),VLOOKUP($C232,'A4 Investment'!$A$24:$G$33,4,FALSE)*'A4 Investment'!D$18/12,0))</f>
        <v>0</v>
      </c>
      <c r="F232" s="150">
        <f>IF(B232="NA","NA",IF(ISNUMBER(VLOOKUP($C232,'A4 Investment'!$A$24:$G$33,5,FALSE)),VLOOKUP($C232,'A4 Investment'!$A$24:$G$33,5,FALSE)*'A4 Investment'!E$18/12,0))</f>
        <v>0</v>
      </c>
      <c r="G232" s="150">
        <f>IF(B232="NA","NA",IF(ISNUMBER(VLOOKUP($C232,'A4 Investment'!$A$24:$G$33,6,FALSE)),VLOOKUP($C232,'A4 Investment'!$A$24:$G$33,6,FALSE)*'A4 Investment'!F$18/12,0))</f>
        <v>0</v>
      </c>
      <c r="H232" s="181">
        <f>IF(B232="NA","NA",IF(ISNUMBER(VLOOKUP($C232,'A4 Investment'!$A$24:$G$33,7,FALSE)),VLOOKUP($C232,'A4 Investment'!$A$24:$G$33,7,FALSE)*'A4 Investment'!G$18/12,0))</f>
        <v>0</v>
      </c>
      <c r="I232" s="160">
        <f t="shared" si="18"/>
        <v>8904.1666666666661</v>
      </c>
    </row>
    <row r="233" spans="1:9" x14ac:dyDescent="0.2">
      <c r="A233" s="86">
        <f t="shared" si="19"/>
        <v>6392</v>
      </c>
      <c r="B233" s="142">
        <f t="shared" si="20"/>
        <v>211</v>
      </c>
      <c r="C233" s="143">
        <f t="shared" si="21"/>
        <v>1</v>
      </c>
      <c r="D233" s="149">
        <f>IF(B233="NA","NA",IF(ISNUMBER(VLOOKUP($C233,'A4 Investment'!$A$24:$G$33,3,FALSE)),VLOOKUP($C233,'A4 Investment'!$A$24:$G$33,3,FALSE)*'A4 Investment'!C$18/12,0))</f>
        <v>8904.1666666666661</v>
      </c>
      <c r="E233" s="150">
        <f>IF(B233="NA","NA",IF(ISNUMBER(VLOOKUP($C233,'A4 Investment'!$A$24:$G$33,4,FALSE)),VLOOKUP($C233,'A4 Investment'!$A$24:$G$33,4,FALSE)*'A4 Investment'!D$18/12,0))</f>
        <v>0</v>
      </c>
      <c r="F233" s="150">
        <f>IF(B233="NA","NA",IF(ISNUMBER(VLOOKUP($C233,'A4 Investment'!$A$24:$G$33,5,FALSE)),VLOOKUP($C233,'A4 Investment'!$A$24:$G$33,5,FALSE)*'A4 Investment'!E$18/12,0))</f>
        <v>0</v>
      </c>
      <c r="G233" s="150">
        <f>IF(B233="NA","NA",IF(ISNUMBER(VLOOKUP($C233,'A4 Investment'!$A$24:$G$33,6,FALSE)),VLOOKUP($C233,'A4 Investment'!$A$24:$G$33,6,FALSE)*'A4 Investment'!F$18/12,0))</f>
        <v>0</v>
      </c>
      <c r="H233" s="181">
        <f>IF(B233="NA","NA",IF(ISNUMBER(VLOOKUP($C233,'A4 Investment'!$A$24:$G$33,7,FALSE)),VLOOKUP($C233,'A4 Investment'!$A$24:$G$33,7,FALSE)*'A4 Investment'!G$18/12,0))</f>
        <v>0</v>
      </c>
      <c r="I233" s="160">
        <f t="shared" si="18"/>
        <v>8904.1666666666661</v>
      </c>
    </row>
    <row r="234" spans="1:9" x14ac:dyDescent="0.2">
      <c r="A234" s="86">
        <f t="shared" si="19"/>
        <v>6423</v>
      </c>
      <c r="B234" s="142">
        <f t="shared" si="20"/>
        <v>212</v>
      </c>
      <c r="C234" s="143">
        <f t="shared" si="21"/>
        <v>1</v>
      </c>
      <c r="D234" s="149">
        <f>IF(B234="NA","NA",IF(ISNUMBER(VLOOKUP($C234,'A4 Investment'!$A$24:$G$33,3,FALSE)),VLOOKUP($C234,'A4 Investment'!$A$24:$G$33,3,FALSE)*'A4 Investment'!C$18/12,0))</f>
        <v>8904.1666666666661</v>
      </c>
      <c r="E234" s="150">
        <f>IF(B234="NA","NA",IF(ISNUMBER(VLOOKUP($C234,'A4 Investment'!$A$24:$G$33,4,FALSE)),VLOOKUP($C234,'A4 Investment'!$A$24:$G$33,4,FALSE)*'A4 Investment'!D$18/12,0))</f>
        <v>0</v>
      </c>
      <c r="F234" s="150">
        <f>IF(B234="NA","NA",IF(ISNUMBER(VLOOKUP($C234,'A4 Investment'!$A$24:$G$33,5,FALSE)),VLOOKUP($C234,'A4 Investment'!$A$24:$G$33,5,FALSE)*'A4 Investment'!E$18/12,0))</f>
        <v>0</v>
      </c>
      <c r="G234" s="150">
        <f>IF(B234="NA","NA",IF(ISNUMBER(VLOOKUP($C234,'A4 Investment'!$A$24:$G$33,6,FALSE)),VLOOKUP($C234,'A4 Investment'!$A$24:$G$33,6,FALSE)*'A4 Investment'!F$18/12,0))</f>
        <v>0</v>
      </c>
      <c r="H234" s="181">
        <f>IF(B234="NA","NA",IF(ISNUMBER(VLOOKUP($C234,'A4 Investment'!$A$24:$G$33,7,FALSE)),VLOOKUP($C234,'A4 Investment'!$A$24:$G$33,7,FALSE)*'A4 Investment'!G$18/12,0))</f>
        <v>0</v>
      </c>
      <c r="I234" s="160">
        <f t="shared" si="18"/>
        <v>8904.1666666666661</v>
      </c>
    </row>
    <row r="235" spans="1:9" x14ac:dyDescent="0.2">
      <c r="A235" s="86">
        <f t="shared" si="19"/>
        <v>6454</v>
      </c>
      <c r="B235" s="142">
        <f t="shared" si="20"/>
        <v>213</v>
      </c>
      <c r="C235" s="143">
        <f t="shared" si="21"/>
        <v>1</v>
      </c>
      <c r="D235" s="149">
        <f>IF(B235="NA","NA",IF(ISNUMBER(VLOOKUP($C235,'A4 Investment'!$A$24:$G$33,3,FALSE)),VLOOKUP($C235,'A4 Investment'!$A$24:$G$33,3,FALSE)*'A4 Investment'!C$18/12,0))</f>
        <v>8904.1666666666661</v>
      </c>
      <c r="E235" s="150">
        <f>IF(B235="NA","NA",IF(ISNUMBER(VLOOKUP($C235,'A4 Investment'!$A$24:$G$33,4,FALSE)),VLOOKUP($C235,'A4 Investment'!$A$24:$G$33,4,FALSE)*'A4 Investment'!D$18/12,0))</f>
        <v>0</v>
      </c>
      <c r="F235" s="150">
        <f>IF(B235="NA","NA",IF(ISNUMBER(VLOOKUP($C235,'A4 Investment'!$A$24:$G$33,5,FALSE)),VLOOKUP($C235,'A4 Investment'!$A$24:$G$33,5,FALSE)*'A4 Investment'!E$18/12,0))</f>
        <v>0</v>
      </c>
      <c r="G235" s="150">
        <f>IF(B235="NA","NA",IF(ISNUMBER(VLOOKUP($C235,'A4 Investment'!$A$24:$G$33,6,FALSE)),VLOOKUP($C235,'A4 Investment'!$A$24:$G$33,6,FALSE)*'A4 Investment'!F$18/12,0))</f>
        <v>0</v>
      </c>
      <c r="H235" s="181">
        <f>IF(B235="NA","NA",IF(ISNUMBER(VLOOKUP($C235,'A4 Investment'!$A$24:$G$33,7,FALSE)),VLOOKUP($C235,'A4 Investment'!$A$24:$G$33,7,FALSE)*'A4 Investment'!G$18/12,0))</f>
        <v>0</v>
      </c>
      <c r="I235" s="160">
        <f t="shared" si="18"/>
        <v>8904.1666666666661</v>
      </c>
    </row>
    <row r="236" spans="1:9" x14ac:dyDescent="0.2">
      <c r="A236" s="86">
        <f t="shared" si="19"/>
        <v>6484</v>
      </c>
      <c r="B236" s="142">
        <f t="shared" si="20"/>
        <v>214</v>
      </c>
      <c r="C236" s="143">
        <f t="shared" si="21"/>
        <v>1</v>
      </c>
      <c r="D236" s="149">
        <f>IF(B236="NA","NA",IF(ISNUMBER(VLOOKUP($C236,'A4 Investment'!$A$24:$G$33,3,FALSE)),VLOOKUP($C236,'A4 Investment'!$A$24:$G$33,3,FALSE)*'A4 Investment'!C$18/12,0))</f>
        <v>8904.1666666666661</v>
      </c>
      <c r="E236" s="150">
        <f>IF(B236="NA","NA",IF(ISNUMBER(VLOOKUP($C236,'A4 Investment'!$A$24:$G$33,4,FALSE)),VLOOKUP($C236,'A4 Investment'!$A$24:$G$33,4,FALSE)*'A4 Investment'!D$18/12,0))</f>
        <v>0</v>
      </c>
      <c r="F236" s="150">
        <f>IF(B236="NA","NA",IF(ISNUMBER(VLOOKUP($C236,'A4 Investment'!$A$24:$G$33,5,FALSE)),VLOOKUP($C236,'A4 Investment'!$A$24:$G$33,5,FALSE)*'A4 Investment'!E$18/12,0))</f>
        <v>0</v>
      </c>
      <c r="G236" s="150">
        <f>IF(B236="NA","NA",IF(ISNUMBER(VLOOKUP($C236,'A4 Investment'!$A$24:$G$33,6,FALSE)),VLOOKUP($C236,'A4 Investment'!$A$24:$G$33,6,FALSE)*'A4 Investment'!F$18/12,0))</f>
        <v>0</v>
      </c>
      <c r="H236" s="181">
        <f>IF(B236="NA","NA",IF(ISNUMBER(VLOOKUP($C236,'A4 Investment'!$A$24:$G$33,7,FALSE)),VLOOKUP($C236,'A4 Investment'!$A$24:$G$33,7,FALSE)*'A4 Investment'!G$18/12,0))</f>
        <v>0</v>
      </c>
      <c r="I236" s="160">
        <f t="shared" si="18"/>
        <v>8904.1666666666661</v>
      </c>
    </row>
    <row r="237" spans="1:9" x14ac:dyDescent="0.2">
      <c r="A237" s="86">
        <f t="shared" si="19"/>
        <v>6515</v>
      </c>
      <c r="B237" s="142">
        <f t="shared" si="20"/>
        <v>215</v>
      </c>
      <c r="C237" s="143">
        <f t="shared" si="21"/>
        <v>1</v>
      </c>
      <c r="D237" s="149">
        <f>IF(B237="NA","NA",IF(ISNUMBER(VLOOKUP($C237,'A4 Investment'!$A$24:$G$33,3,FALSE)),VLOOKUP($C237,'A4 Investment'!$A$24:$G$33,3,FALSE)*'A4 Investment'!C$18/12,0))</f>
        <v>8904.1666666666661</v>
      </c>
      <c r="E237" s="150">
        <f>IF(B237="NA","NA",IF(ISNUMBER(VLOOKUP($C237,'A4 Investment'!$A$24:$G$33,4,FALSE)),VLOOKUP($C237,'A4 Investment'!$A$24:$G$33,4,FALSE)*'A4 Investment'!D$18/12,0))</f>
        <v>0</v>
      </c>
      <c r="F237" s="150">
        <f>IF(B237="NA","NA",IF(ISNUMBER(VLOOKUP($C237,'A4 Investment'!$A$24:$G$33,5,FALSE)),VLOOKUP($C237,'A4 Investment'!$A$24:$G$33,5,FALSE)*'A4 Investment'!E$18/12,0))</f>
        <v>0</v>
      </c>
      <c r="G237" s="150">
        <f>IF(B237="NA","NA",IF(ISNUMBER(VLOOKUP($C237,'A4 Investment'!$A$24:$G$33,6,FALSE)),VLOOKUP($C237,'A4 Investment'!$A$24:$G$33,6,FALSE)*'A4 Investment'!F$18/12,0))</f>
        <v>0</v>
      </c>
      <c r="H237" s="181">
        <f>IF(B237="NA","NA",IF(ISNUMBER(VLOOKUP($C237,'A4 Investment'!$A$24:$G$33,7,FALSE)),VLOOKUP($C237,'A4 Investment'!$A$24:$G$33,7,FALSE)*'A4 Investment'!G$18/12,0))</f>
        <v>0</v>
      </c>
      <c r="I237" s="160">
        <f t="shared" si="18"/>
        <v>8904.1666666666661</v>
      </c>
    </row>
    <row r="238" spans="1:9" x14ac:dyDescent="0.2">
      <c r="A238" s="86">
        <f t="shared" si="19"/>
        <v>6545</v>
      </c>
      <c r="B238" s="142">
        <f t="shared" si="20"/>
        <v>216</v>
      </c>
      <c r="C238" s="143">
        <f t="shared" si="21"/>
        <v>1</v>
      </c>
      <c r="D238" s="149">
        <f>IF(B238="NA","NA",IF(ISNUMBER(VLOOKUP($C238,'A4 Investment'!$A$24:$G$33,3,FALSE)),VLOOKUP($C238,'A4 Investment'!$A$24:$G$33,3,FALSE)*'A4 Investment'!C$18/12,0))</f>
        <v>8904.1666666666661</v>
      </c>
      <c r="E238" s="150">
        <f>IF(B238="NA","NA",IF(ISNUMBER(VLOOKUP($C238,'A4 Investment'!$A$24:$G$33,4,FALSE)),VLOOKUP($C238,'A4 Investment'!$A$24:$G$33,4,FALSE)*'A4 Investment'!D$18/12,0))</f>
        <v>0</v>
      </c>
      <c r="F238" s="150">
        <f>IF(B238="NA","NA",IF(ISNUMBER(VLOOKUP($C238,'A4 Investment'!$A$24:$G$33,5,FALSE)),VLOOKUP($C238,'A4 Investment'!$A$24:$G$33,5,FALSE)*'A4 Investment'!E$18/12,0))</f>
        <v>0</v>
      </c>
      <c r="G238" s="150">
        <f>IF(B238="NA","NA",IF(ISNUMBER(VLOOKUP($C238,'A4 Investment'!$A$24:$G$33,6,FALSE)),VLOOKUP($C238,'A4 Investment'!$A$24:$G$33,6,FALSE)*'A4 Investment'!F$18/12,0))</f>
        <v>0</v>
      </c>
      <c r="H238" s="181">
        <f>IF(B238="NA","NA",IF(ISNUMBER(VLOOKUP($C238,'A4 Investment'!$A$24:$G$33,7,FALSE)),VLOOKUP($C238,'A4 Investment'!$A$24:$G$33,7,FALSE)*'A4 Investment'!G$18/12,0))</f>
        <v>0</v>
      </c>
      <c r="I238" s="160">
        <f t="shared" si="18"/>
        <v>8904.1666666666661</v>
      </c>
    </row>
    <row r="239" spans="1:9" x14ac:dyDescent="0.2">
      <c r="A239" s="86">
        <f t="shared" si="19"/>
        <v>6576</v>
      </c>
      <c r="B239" s="142">
        <f t="shared" si="20"/>
        <v>217</v>
      </c>
      <c r="C239" s="143">
        <f t="shared" si="21"/>
        <v>1</v>
      </c>
      <c r="D239" s="149">
        <f>IF(B239="NA","NA",IF(ISNUMBER(VLOOKUP($C239,'A4 Investment'!$A$24:$G$33,3,FALSE)),VLOOKUP($C239,'A4 Investment'!$A$24:$G$33,3,FALSE)*'A4 Investment'!C$18/12,0))</f>
        <v>8904.1666666666661</v>
      </c>
      <c r="E239" s="150">
        <f>IF(B239="NA","NA",IF(ISNUMBER(VLOOKUP($C239,'A4 Investment'!$A$24:$G$33,4,FALSE)),VLOOKUP($C239,'A4 Investment'!$A$24:$G$33,4,FALSE)*'A4 Investment'!D$18/12,0))</f>
        <v>0</v>
      </c>
      <c r="F239" s="150">
        <f>IF(B239="NA","NA",IF(ISNUMBER(VLOOKUP($C239,'A4 Investment'!$A$24:$G$33,5,FALSE)),VLOOKUP($C239,'A4 Investment'!$A$24:$G$33,5,FALSE)*'A4 Investment'!E$18/12,0))</f>
        <v>0</v>
      </c>
      <c r="G239" s="150">
        <f>IF(B239="NA","NA",IF(ISNUMBER(VLOOKUP($C239,'A4 Investment'!$A$24:$G$33,6,FALSE)),VLOOKUP($C239,'A4 Investment'!$A$24:$G$33,6,FALSE)*'A4 Investment'!F$18/12,0))</f>
        <v>0</v>
      </c>
      <c r="H239" s="181">
        <f>IF(B239="NA","NA",IF(ISNUMBER(VLOOKUP($C239,'A4 Investment'!$A$24:$G$33,7,FALSE)),VLOOKUP($C239,'A4 Investment'!$A$24:$G$33,7,FALSE)*'A4 Investment'!G$18/12,0))</f>
        <v>0</v>
      </c>
      <c r="I239" s="160">
        <f t="shared" si="18"/>
        <v>8904.1666666666661</v>
      </c>
    </row>
    <row r="240" spans="1:9" x14ac:dyDescent="0.2">
      <c r="A240" s="86">
        <f t="shared" si="19"/>
        <v>6607</v>
      </c>
      <c r="B240" s="142">
        <f t="shared" si="20"/>
        <v>218</v>
      </c>
      <c r="C240" s="143">
        <f t="shared" si="21"/>
        <v>1</v>
      </c>
      <c r="D240" s="149">
        <f>IF(B240="NA","NA",IF(ISNUMBER(VLOOKUP($C240,'A4 Investment'!$A$24:$G$33,3,FALSE)),VLOOKUP($C240,'A4 Investment'!$A$24:$G$33,3,FALSE)*'A4 Investment'!C$18/12,0))</f>
        <v>8904.1666666666661</v>
      </c>
      <c r="E240" s="150">
        <f>IF(B240="NA","NA",IF(ISNUMBER(VLOOKUP($C240,'A4 Investment'!$A$24:$G$33,4,FALSE)),VLOOKUP($C240,'A4 Investment'!$A$24:$G$33,4,FALSE)*'A4 Investment'!D$18/12,0))</f>
        <v>0</v>
      </c>
      <c r="F240" s="150">
        <f>IF(B240="NA","NA",IF(ISNUMBER(VLOOKUP($C240,'A4 Investment'!$A$24:$G$33,5,FALSE)),VLOOKUP($C240,'A4 Investment'!$A$24:$G$33,5,FALSE)*'A4 Investment'!E$18/12,0))</f>
        <v>0</v>
      </c>
      <c r="G240" s="150">
        <f>IF(B240="NA","NA",IF(ISNUMBER(VLOOKUP($C240,'A4 Investment'!$A$24:$G$33,6,FALSE)),VLOOKUP($C240,'A4 Investment'!$A$24:$G$33,6,FALSE)*'A4 Investment'!F$18/12,0))</f>
        <v>0</v>
      </c>
      <c r="H240" s="181">
        <f>IF(B240="NA","NA",IF(ISNUMBER(VLOOKUP($C240,'A4 Investment'!$A$24:$G$33,7,FALSE)),VLOOKUP($C240,'A4 Investment'!$A$24:$G$33,7,FALSE)*'A4 Investment'!G$18/12,0))</f>
        <v>0</v>
      </c>
      <c r="I240" s="160">
        <f t="shared" si="18"/>
        <v>8904.1666666666661</v>
      </c>
    </row>
    <row r="241" spans="1:9" x14ac:dyDescent="0.2">
      <c r="A241" s="86">
        <f t="shared" si="19"/>
        <v>6635</v>
      </c>
      <c r="B241" s="142">
        <f t="shared" si="20"/>
        <v>219</v>
      </c>
      <c r="C241" s="143">
        <f t="shared" si="21"/>
        <v>1</v>
      </c>
      <c r="D241" s="149">
        <f>IF(B241="NA","NA",IF(ISNUMBER(VLOOKUP($C241,'A4 Investment'!$A$24:$G$33,3,FALSE)),VLOOKUP($C241,'A4 Investment'!$A$24:$G$33,3,FALSE)*'A4 Investment'!C$18/12,0))</f>
        <v>8904.1666666666661</v>
      </c>
      <c r="E241" s="150">
        <f>IF(B241="NA","NA",IF(ISNUMBER(VLOOKUP($C241,'A4 Investment'!$A$24:$G$33,4,FALSE)),VLOOKUP($C241,'A4 Investment'!$A$24:$G$33,4,FALSE)*'A4 Investment'!D$18/12,0))</f>
        <v>0</v>
      </c>
      <c r="F241" s="150">
        <f>IF(B241="NA","NA",IF(ISNUMBER(VLOOKUP($C241,'A4 Investment'!$A$24:$G$33,5,FALSE)),VLOOKUP($C241,'A4 Investment'!$A$24:$G$33,5,FALSE)*'A4 Investment'!E$18/12,0))</f>
        <v>0</v>
      </c>
      <c r="G241" s="150">
        <f>IF(B241="NA","NA",IF(ISNUMBER(VLOOKUP($C241,'A4 Investment'!$A$24:$G$33,6,FALSE)),VLOOKUP($C241,'A4 Investment'!$A$24:$G$33,6,FALSE)*'A4 Investment'!F$18/12,0))</f>
        <v>0</v>
      </c>
      <c r="H241" s="181">
        <f>IF(B241="NA","NA",IF(ISNUMBER(VLOOKUP($C241,'A4 Investment'!$A$24:$G$33,7,FALSE)),VLOOKUP($C241,'A4 Investment'!$A$24:$G$33,7,FALSE)*'A4 Investment'!G$18/12,0))</f>
        <v>0</v>
      </c>
      <c r="I241" s="160">
        <f t="shared" si="18"/>
        <v>8904.1666666666661</v>
      </c>
    </row>
    <row r="242" spans="1:9" x14ac:dyDescent="0.2">
      <c r="A242" s="86">
        <f t="shared" si="19"/>
        <v>6666</v>
      </c>
      <c r="B242" s="142">
        <f t="shared" si="20"/>
        <v>220</v>
      </c>
      <c r="C242" s="143">
        <f t="shared" si="21"/>
        <v>1</v>
      </c>
      <c r="D242" s="149">
        <f>IF(B242="NA","NA",IF(ISNUMBER(VLOOKUP($C242,'A4 Investment'!$A$24:$G$33,3,FALSE)),VLOOKUP($C242,'A4 Investment'!$A$24:$G$33,3,FALSE)*'A4 Investment'!C$18/12,0))</f>
        <v>8904.1666666666661</v>
      </c>
      <c r="E242" s="150">
        <f>IF(B242="NA","NA",IF(ISNUMBER(VLOOKUP($C242,'A4 Investment'!$A$24:$G$33,4,FALSE)),VLOOKUP($C242,'A4 Investment'!$A$24:$G$33,4,FALSE)*'A4 Investment'!D$18/12,0))</f>
        <v>0</v>
      </c>
      <c r="F242" s="150">
        <f>IF(B242="NA","NA",IF(ISNUMBER(VLOOKUP($C242,'A4 Investment'!$A$24:$G$33,5,FALSE)),VLOOKUP($C242,'A4 Investment'!$A$24:$G$33,5,FALSE)*'A4 Investment'!E$18/12,0))</f>
        <v>0</v>
      </c>
      <c r="G242" s="150">
        <f>IF(B242="NA","NA",IF(ISNUMBER(VLOOKUP($C242,'A4 Investment'!$A$24:$G$33,6,FALSE)),VLOOKUP($C242,'A4 Investment'!$A$24:$G$33,6,FALSE)*'A4 Investment'!F$18/12,0))</f>
        <v>0</v>
      </c>
      <c r="H242" s="181">
        <f>IF(B242="NA","NA",IF(ISNUMBER(VLOOKUP($C242,'A4 Investment'!$A$24:$G$33,7,FALSE)),VLOOKUP($C242,'A4 Investment'!$A$24:$G$33,7,FALSE)*'A4 Investment'!G$18/12,0))</f>
        <v>0</v>
      </c>
      <c r="I242" s="160">
        <f t="shared" si="18"/>
        <v>8904.1666666666661</v>
      </c>
    </row>
    <row r="243" spans="1:9" x14ac:dyDescent="0.2">
      <c r="A243" s="86">
        <f t="shared" si="19"/>
        <v>6696</v>
      </c>
      <c r="B243" s="142">
        <f t="shared" si="20"/>
        <v>221</v>
      </c>
      <c r="C243" s="143">
        <f t="shared" si="21"/>
        <v>1</v>
      </c>
      <c r="D243" s="149">
        <f>IF(B243="NA","NA",IF(ISNUMBER(VLOOKUP($C243,'A4 Investment'!$A$24:$G$33,3,FALSE)),VLOOKUP($C243,'A4 Investment'!$A$24:$G$33,3,FALSE)*'A4 Investment'!C$18/12,0))</f>
        <v>8904.1666666666661</v>
      </c>
      <c r="E243" s="150">
        <f>IF(B243="NA","NA",IF(ISNUMBER(VLOOKUP($C243,'A4 Investment'!$A$24:$G$33,4,FALSE)),VLOOKUP($C243,'A4 Investment'!$A$24:$G$33,4,FALSE)*'A4 Investment'!D$18/12,0))</f>
        <v>0</v>
      </c>
      <c r="F243" s="150">
        <f>IF(B243="NA","NA",IF(ISNUMBER(VLOOKUP($C243,'A4 Investment'!$A$24:$G$33,5,FALSE)),VLOOKUP($C243,'A4 Investment'!$A$24:$G$33,5,FALSE)*'A4 Investment'!E$18/12,0))</f>
        <v>0</v>
      </c>
      <c r="G243" s="150">
        <f>IF(B243="NA","NA",IF(ISNUMBER(VLOOKUP($C243,'A4 Investment'!$A$24:$G$33,6,FALSE)),VLOOKUP($C243,'A4 Investment'!$A$24:$G$33,6,FALSE)*'A4 Investment'!F$18/12,0))</f>
        <v>0</v>
      </c>
      <c r="H243" s="181">
        <f>IF(B243="NA","NA",IF(ISNUMBER(VLOOKUP($C243,'A4 Investment'!$A$24:$G$33,7,FALSE)),VLOOKUP($C243,'A4 Investment'!$A$24:$G$33,7,FALSE)*'A4 Investment'!G$18/12,0))</f>
        <v>0</v>
      </c>
      <c r="I243" s="160">
        <f t="shared" ref="I243:I262" si="22">IF(B243="NA","NA",SUM(D243:H243))</f>
        <v>8904.1666666666661</v>
      </c>
    </row>
    <row r="244" spans="1:9" x14ac:dyDescent="0.2">
      <c r="A244" s="86">
        <f t="shared" si="19"/>
        <v>6727</v>
      </c>
      <c r="B244" s="142">
        <f t="shared" si="20"/>
        <v>222</v>
      </c>
      <c r="C244" s="143">
        <f t="shared" si="21"/>
        <v>1</v>
      </c>
      <c r="D244" s="149">
        <f>IF(B244="NA","NA",IF(ISNUMBER(VLOOKUP($C244,'A4 Investment'!$A$24:$G$33,3,FALSE)),VLOOKUP($C244,'A4 Investment'!$A$24:$G$33,3,FALSE)*'A4 Investment'!C$18/12,0))</f>
        <v>8904.1666666666661</v>
      </c>
      <c r="E244" s="150">
        <f>IF(B244="NA","NA",IF(ISNUMBER(VLOOKUP($C244,'A4 Investment'!$A$24:$G$33,4,FALSE)),VLOOKUP($C244,'A4 Investment'!$A$24:$G$33,4,FALSE)*'A4 Investment'!D$18/12,0))</f>
        <v>0</v>
      </c>
      <c r="F244" s="150">
        <f>IF(B244="NA","NA",IF(ISNUMBER(VLOOKUP($C244,'A4 Investment'!$A$24:$G$33,5,FALSE)),VLOOKUP($C244,'A4 Investment'!$A$24:$G$33,5,FALSE)*'A4 Investment'!E$18/12,0))</f>
        <v>0</v>
      </c>
      <c r="G244" s="150">
        <f>IF(B244="NA","NA",IF(ISNUMBER(VLOOKUP($C244,'A4 Investment'!$A$24:$G$33,6,FALSE)),VLOOKUP($C244,'A4 Investment'!$A$24:$G$33,6,FALSE)*'A4 Investment'!F$18/12,0))</f>
        <v>0</v>
      </c>
      <c r="H244" s="181">
        <f>IF(B244="NA","NA",IF(ISNUMBER(VLOOKUP($C244,'A4 Investment'!$A$24:$G$33,7,FALSE)),VLOOKUP($C244,'A4 Investment'!$A$24:$G$33,7,FALSE)*'A4 Investment'!G$18/12,0))</f>
        <v>0</v>
      </c>
      <c r="I244" s="160">
        <f t="shared" si="22"/>
        <v>8904.1666666666661</v>
      </c>
    </row>
    <row r="245" spans="1:9" x14ac:dyDescent="0.2">
      <c r="A245" s="86">
        <f t="shared" si="19"/>
        <v>6757</v>
      </c>
      <c r="B245" s="142">
        <f t="shared" si="20"/>
        <v>223</v>
      </c>
      <c r="C245" s="143">
        <f t="shared" si="21"/>
        <v>1</v>
      </c>
      <c r="D245" s="149">
        <f>IF(B245="NA","NA",IF(ISNUMBER(VLOOKUP($C245,'A4 Investment'!$A$24:$G$33,3,FALSE)),VLOOKUP($C245,'A4 Investment'!$A$24:$G$33,3,FALSE)*'A4 Investment'!C$18/12,0))</f>
        <v>8904.1666666666661</v>
      </c>
      <c r="E245" s="150">
        <f>IF(B245="NA","NA",IF(ISNUMBER(VLOOKUP($C245,'A4 Investment'!$A$24:$G$33,4,FALSE)),VLOOKUP($C245,'A4 Investment'!$A$24:$G$33,4,FALSE)*'A4 Investment'!D$18/12,0))</f>
        <v>0</v>
      </c>
      <c r="F245" s="150">
        <f>IF(B245="NA","NA",IF(ISNUMBER(VLOOKUP($C245,'A4 Investment'!$A$24:$G$33,5,FALSE)),VLOOKUP($C245,'A4 Investment'!$A$24:$G$33,5,FALSE)*'A4 Investment'!E$18/12,0))</f>
        <v>0</v>
      </c>
      <c r="G245" s="150">
        <f>IF(B245="NA","NA",IF(ISNUMBER(VLOOKUP($C245,'A4 Investment'!$A$24:$G$33,6,FALSE)),VLOOKUP($C245,'A4 Investment'!$A$24:$G$33,6,FALSE)*'A4 Investment'!F$18/12,0))</f>
        <v>0</v>
      </c>
      <c r="H245" s="181">
        <f>IF(B245="NA","NA",IF(ISNUMBER(VLOOKUP($C245,'A4 Investment'!$A$24:$G$33,7,FALSE)),VLOOKUP($C245,'A4 Investment'!$A$24:$G$33,7,FALSE)*'A4 Investment'!G$18/12,0))</f>
        <v>0</v>
      </c>
      <c r="I245" s="160">
        <f t="shared" si="22"/>
        <v>8904.1666666666661</v>
      </c>
    </row>
    <row r="246" spans="1:9" x14ac:dyDescent="0.2">
      <c r="A246" s="86">
        <f t="shared" si="19"/>
        <v>6788</v>
      </c>
      <c r="B246" s="142">
        <f t="shared" si="20"/>
        <v>224</v>
      </c>
      <c r="C246" s="143">
        <f t="shared" si="21"/>
        <v>1</v>
      </c>
      <c r="D246" s="149">
        <f>IF(B246="NA","NA",IF(ISNUMBER(VLOOKUP($C246,'A4 Investment'!$A$24:$G$33,3,FALSE)),VLOOKUP($C246,'A4 Investment'!$A$24:$G$33,3,FALSE)*'A4 Investment'!C$18/12,0))</f>
        <v>8904.1666666666661</v>
      </c>
      <c r="E246" s="150">
        <f>IF(B246="NA","NA",IF(ISNUMBER(VLOOKUP($C246,'A4 Investment'!$A$24:$G$33,4,FALSE)),VLOOKUP($C246,'A4 Investment'!$A$24:$G$33,4,FALSE)*'A4 Investment'!D$18/12,0))</f>
        <v>0</v>
      </c>
      <c r="F246" s="150">
        <f>IF(B246="NA","NA",IF(ISNUMBER(VLOOKUP($C246,'A4 Investment'!$A$24:$G$33,5,FALSE)),VLOOKUP($C246,'A4 Investment'!$A$24:$G$33,5,FALSE)*'A4 Investment'!E$18/12,0))</f>
        <v>0</v>
      </c>
      <c r="G246" s="150">
        <f>IF(B246="NA","NA",IF(ISNUMBER(VLOOKUP($C246,'A4 Investment'!$A$24:$G$33,6,FALSE)),VLOOKUP($C246,'A4 Investment'!$A$24:$G$33,6,FALSE)*'A4 Investment'!F$18/12,0))</f>
        <v>0</v>
      </c>
      <c r="H246" s="181">
        <f>IF(B246="NA","NA",IF(ISNUMBER(VLOOKUP($C246,'A4 Investment'!$A$24:$G$33,7,FALSE)),VLOOKUP($C246,'A4 Investment'!$A$24:$G$33,7,FALSE)*'A4 Investment'!G$18/12,0))</f>
        <v>0</v>
      </c>
      <c r="I246" s="160">
        <f t="shared" si="22"/>
        <v>8904.1666666666661</v>
      </c>
    </row>
    <row r="247" spans="1:9" x14ac:dyDescent="0.2">
      <c r="A247" s="86">
        <f t="shared" si="19"/>
        <v>6819</v>
      </c>
      <c r="B247" s="142">
        <f t="shared" si="20"/>
        <v>225</v>
      </c>
      <c r="C247" s="143">
        <f t="shared" si="21"/>
        <v>1</v>
      </c>
      <c r="D247" s="149">
        <f>IF(B247="NA","NA",IF(ISNUMBER(VLOOKUP($C247,'A4 Investment'!$A$24:$G$33,3,FALSE)),VLOOKUP($C247,'A4 Investment'!$A$24:$G$33,3,FALSE)*'A4 Investment'!C$18/12,0))</f>
        <v>8904.1666666666661</v>
      </c>
      <c r="E247" s="150">
        <f>IF(B247="NA","NA",IF(ISNUMBER(VLOOKUP($C247,'A4 Investment'!$A$24:$G$33,4,FALSE)),VLOOKUP($C247,'A4 Investment'!$A$24:$G$33,4,FALSE)*'A4 Investment'!D$18/12,0))</f>
        <v>0</v>
      </c>
      <c r="F247" s="150">
        <f>IF(B247="NA","NA",IF(ISNUMBER(VLOOKUP($C247,'A4 Investment'!$A$24:$G$33,5,FALSE)),VLOOKUP($C247,'A4 Investment'!$A$24:$G$33,5,FALSE)*'A4 Investment'!E$18/12,0))</f>
        <v>0</v>
      </c>
      <c r="G247" s="150">
        <f>IF(B247="NA","NA",IF(ISNUMBER(VLOOKUP($C247,'A4 Investment'!$A$24:$G$33,6,FALSE)),VLOOKUP($C247,'A4 Investment'!$A$24:$G$33,6,FALSE)*'A4 Investment'!F$18/12,0))</f>
        <v>0</v>
      </c>
      <c r="H247" s="181">
        <f>IF(B247="NA","NA",IF(ISNUMBER(VLOOKUP($C247,'A4 Investment'!$A$24:$G$33,7,FALSE)),VLOOKUP($C247,'A4 Investment'!$A$24:$G$33,7,FALSE)*'A4 Investment'!G$18/12,0))</f>
        <v>0</v>
      </c>
      <c r="I247" s="160">
        <f t="shared" si="22"/>
        <v>8904.1666666666661</v>
      </c>
    </row>
    <row r="248" spans="1:9" x14ac:dyDescent="0.2">
      <c r="A248" s="86">
        <f t="shared" si="19"/>
        <v>6849</v>
      </c>
      <c r="B248" s="142">
        <f t="shared" si="20"/>
        <v>226</v>
      </c>
      <c r="C248" s="143">
        <f t="shared" si="21"/>
        <v>1</v>
      </c>
      <c r="D248" s="149">
        <f>IF(B248="NA","NA",IF(ISNUMBER(VLOOKUP($C248,'A4 Investment'!$A$24:$G$33,3,FALSE)),VLOOKUP($C248,'A4 Investment'!$A$24:$G$33,3,FALSE)*'A4 Investment'!C$18/12,0))</f>
        <v>8904.1666666666661</v>
      </c>
      <c r="E248" s="150">
        <f>IF(B248="NA","NA",IF(ISNUMBER(VLOOKUP($C248,'A4 Investment'!$A$24:$G$33,4,FALSE)),VLOOKUP($C248,'A4 Investment'!$A$24:$G$33,4,FALSE)*'A4 Investment'!D$18/12,0))</f>
        <v>0</v>
      </c>
      <c r="F248" s="150">
        <f>IF(B248="NA","NA",IF(ISNUMBER(VLOOKUP($C248,'A4 Investment'!$A$24:$G$33,5,FALSE)),VLOOKUP($C248,'A4 Investment'!$A$24:$G$33,5,FALSE)*'A4 Investment'!E$18/12,0))</f>
        <v>0</v>
      </c>
      <c r="G248" s="150">
        <f>IF(B248="NA","NA",IF(ISNUMBER(VLOOKUP($C248,'A4 Investment'!$A$24:$G$33,6,FALSE)),VLOOKUP($C248,'A4 Investment'!$A$24:$G$33,6,FALSE)*'A4 Investment'!F$18/12,0))</f>
        <v>0</v>
      </c>
      <c r="H248" s="181">
        <f>IF(B248="NA","NA",IF(ISNUMBER(VLOOKUP($C248,'A4 Investment'!$A$24:$G$33,7,FALSE)),VLOOKUP($C248,'A4 Investment'!$A$24:$G$33,7,FALSE)*'A4 Investment'!G$18/12,0))</f>
        <v>0</v>
      </c>
      <c r="I248" s="160">
        <f t="shared" si="22"/>
        <v>8904.1666666666661</v>
      </c>
    </row>
    <row r="249" spans="1:9" x14ac:dyDescent="0.2">
      <c r="A249" s="86">
        <f t="shared" si="19"/>
        <v>6880</v>
      </c>
      <c r="B249" s="142">
        <f t="shared" si="20"/>
        <v>227</v>
      </c>
      <c r="C249" s="143">
        <f t="shared" si="21"/>
        <v>1</v>
      </c>
      <c r="D249" s="149">
        <f>IF(B249="NA","NA",IF(ISNUMBER(VLOOKUP($C249,'A4 Investment'!$A$24:$G$33,3,FALSE)),VLOOKUP($C249,'A4 Investment'!$A$24:$G$33,3,FALSE)*'A4 Investment'!C$18/12,0))</f>
        <v>8904.1666666666661</v>
      </c>
      <c r="E249" s="150">
        <f>IF(B249="NA","NA",IF(ISNUMBER(VLOOKUP($C249,'A4 Investment'!$A$24:$G$33,4,FALSE)),VLOOKUP($C249,'A4 Investment'!$A$24:$G$33,4,FALSE)*'A4 Investment'!D$18/12,0))</f>
        <v>0</v>
      </c>
      <c r="F249" s="150">
        <f>IF(B249="NA","NA",IF(ISNUMBER(VLOOKUP($C249,'A4 Investment'!$A$24:$G$33,5,FALSE)),VLOOKUP($C249,'A4 Investment'!$A$24:$G$33,5,FALSE)*'A4 Investment'!E$18/12,0))</f>
        <v>0</v>
      </c>
      <c r="G249" s="150">
        <f>IF(B249="NA","NA",IF(ISNUMBER(VLOOKUP($C249,'A4 Investment'!$A$24:$G$33,6,FALSE)),VLOOKUP($C249,'A4 Investment'!$A$24:$G$33,6,FALSE)*'A4 Investment'!F$18/12,0))</f>
        <v>0</v>
      </c>
      <c r="H249" s="181">
        <f>IF(B249="NA","NA",IF(ISNUMBER(VLOOKUP($C249,'A4 Investment'!$A$24:$G$33,7,FALSE)),VLOOKUP($C249,'A4 Investment'!$A$24:$G$33,7,FALSE)*'A4 Investment'!G$18/12,0))</f>
        <v>0</v>
      </c>
      <c r="I249" s="160">
        <f t="shared" si="22"/>
        <v>8904.1666666666661</v>
      </c>
    </row>
    <row r="250" spans="1:9" x14ac:dyDescent="0.2">
      <c r="A250" s="86">
        <f t="shared" si="19"/>
        <v>6910</v>
      </c>
      <c r="B250" s="142">
        <f t="shared" si="20"/>
        <v>228</v>
      </c>
      <c r="C250" s="143">
        <f t="shared" si="21"/>
        <v>1</v>
      </c>
      <c r="D250" s="149">
        <f>IF(B250="NA","NA",IF(ISNUMBER(VLOOKUP($C250,'A4 Investment'!$A$24:$G$33,3,FALSE)),VLOOKUP($C250,'A4 Investment'!$A$24:$G$33,3,FALSE)*'A4 Investment'!C$18/12,0))</f>
        <v>8904.1666666666661</v>
      </c>
      <c r="E250" s="150">
        <f>IF(B250="NA","NA",IF(ISNUMBER(VLOOKUP($C250,'A4 Investment'!$A$24:$G$33,4,FALSE)),VLOOKUP($C250,'A4 Investment'!$A$24:$G$33,4,FALSE)*'A4 Investment'!D$18/12,0))</f>
        <v>0</v>
      </c>
      <c r="F250" s="150">
        <f>IF(B250="NA","NA",IF(ISNUMBER(VLOOKUP($C250,'A4 Investment'!$A$24:$G$33,5,FALSE)),VLOOKUP($C250,'A4 Investment'!$A$24:$G$33,5,FALSE)*'A4 Investment'!E$18/12,0))</f>
        <v>0</v>
      </c>
      <c r="G250" s="150">
        <f>IF(B250="NA","NA",IF(ISNUMBER(VLOOKUP($C250,'A4 Investment'!$A$24:$G$33,6,FALSE)),VLOOKUP($C250,'A4 Investment'!$A$24:$G$33,6,FALSE)*'A4 Investment'!F$18/12,0))</f>
        <v>0</v>
      </c>
      <c r="H250" s="181">
        <f>IF(B250="NA","NA",IF(ISNUMBER(VLOOKUP($C250,'A4 Investment'!$A$24:$G$33,7,FALSE)),VLOOKUP($C250,'A4 Investment'!$A$24:$G$33,7,FALSE)*'A4 Investment'!G$18/12,0))</f>
        <v>0</v>
      </c>
      <c r="I250" s="160">
        <f t="shared" si="22"/>
        <v>8904.1666666666661</v>
      </c>
    </row>
    <row r="251" spans="1:9" x14ac:dyDescent="0.2">
      <c r="A251" s="86">
        <f t="shared" si="19"/>
        <v>6941</v>
      </c>
      <c r="B251" s="142">
        <f t="shared" si="20"/>
        <v>229</v>
      </c>
      <c r="C251" s="143">
        <f t="shared" si="21"/>
        <v>1</v>
      </c>
      <c r="D251" s="149">
        <f>IF(B251="NA","NA",IF(ISNUMBER(VLOOKUP($C251,'A4 Investment'!$A$24:$G$33,3,FALSE)),VLOOKUP($C251,'A4 Investment'!$A$24:$G$33,3,FALSE)*'A4 Investment'!C$18/12,0))</f>
        <v>8904.1666666666661</v>
      </c>
      <c r="E251" s="150">
        <f>IF(B251="NA","NA",IF(ISNUMBER(VLOOKUP($C251,'A4 Investment'!$A$24:$G$33,4,FALSE)),VLOOKUP($C251,'A4 Investment'!$A$24:$G$33,4,FALSE)*'A4 Investment'!D$18/12,0))</f>
        <v>0</v>
      </c>
      <c r="F251" s="150">
        <f>IF(B251="NA","NA",IF(ISNUMBER(VLOOKUP($C251,'A4 Investment'!$A$24:$G$33,5,FALSE)),VLOOKUP($C251,'A4 Investment'!$A$24:$G$33,5,FALSE)*'A4 Investment'!E$18/12,0))</f>
        <v>0</v>
      </c>
      <c r="G251" s="150">
        <f>IF(B251="NA","NA",IF(ISNUMBER(VLOOKUP($C251,'A4 Investment'!$A$24:$G$33,6,FALSE)),VLOOKUP($C251,'A4 Investment'!$A$24:$G$33,6,FALSE)*'A4 Investment'!F$18/12,0))</f>
        <v>0</v>
      </c>
      <c r="H251" s="181">
        <f>IF(B251="NA","NA",IF(ISNUMBER(VLOOKUP($C251,'A4 Investment'!$A$24:$G$33,7,FALSE)),VLOOKUP($C251,'A4 Investment'!$A$24:$G$33,7,FALSE)*'A4 Investment'!G$18/12,0))</f>
        <v>0</v>
      </c>
      <c r="I251" s="160">
        <f t="shared" si="22"/>
        <v>8904.1666666666661</v>
      </c>
    </row>
    <row r="252" spans="1:9" x14ac:dyDescent="0.2">
      <c r="A252" s="86">
        <f t="shared" si="19"/>
        <v>6972</v>
      </c>
      <c r="B252" s="142">
        <f t="shared" si="20"/>
        <v>230</v>
      </c>
      <c r="C252" s="143">
        <f t="shared" si="21"/>
        <v>1</v>
      </c>
      <c r="D252" s="149">
        <f>IF(B252="NA","NA",IF(ISNUMBER(VLOOKUP($C252,'A4 Investment'!$A$24:$G$33,3,FALSE)),VLOOKUP($C252,'A4 Investment'!$A$24:$G$33,3,FALSE)*'A4 Investment'!C$18/12,0))</f>
        <v>8904.1666666666661</v>
      </c>
      <c r="E252" s="150">
        <f>IF(B252="NA","NA",IF(ISNUMBER(VLOOKUP($C252,'A4 Investment'!$A$24:$G$33,4,FALSE)),VLOOKUP($C252,'A4 Investment'!$A$24:$G$33,4,FALSE)*'A4 Investment'!D$18/12,0))</f>
        <v>0</v>
      </c>
      <c r="F252" s="150">
        <f>IF(B252="NA","NA",IF(ISNUMBER(VLOOKUP($C252,'A4 Investment'!$A$24:$G$33,5,FALSE)),VLOOKUP($C252,'A4 Investment'!$A$24:$G$33,5,FALSE)*'A4 Investment'!E$18/12,0))</f>
        <v>0</v>
      </c>
      <c r="G252" s="150">
        <f>IF(B252="NA","NA",IF(ISNUMBER(VLOOKUP($C252,'A4 Investment'!$A$24:$G$33,6,FALSE)),VLOOKUP($C252,'A4 Investment'!$A$24:$G$33,6,FALSE)*'A4 Investment'!F$18/12,0))</f>
        <v>0</v>
      </c>
      <c r="H252" s="181">
        <f>IF(B252="NA","NA",IF(ISNUMBER(VLOOKUP($C252,'A4 Investment'!$A$24:$G$33,7,FALSE)),VLOOKUP($C252,'A4 Investment'!$A$24:$G$33,7,FALSE)*'A4 Investment'!G$18/12,0))</f>
        <v>0</v>
      </c>
      <c r="I252" s="160">
        <f t="shared" si="22"/>
        <v>8904.1666666666661</v>
      </c>
    </row>
    <row r="253" spans="1:9" x14ac:dyDescent="0.2">
      <c r="A253" s="86">
        <f t="shared" si="19"/>
        <v>7000</v>
      </c>
      <c r="B253" s="142">
        <f t="shared" si="20"/>
        <v>231</v>
      </c>
      <c r="C253" s="143">
        <f t="shared" si="21"/>
        <v>1</v>
      </c>
      <c r="D253" s="149">
        <f>IF(B253="NA","NA",IF(ISNUMBER(VLOOKUP($C253,'A4 Investment'!$A$24:$G$33,3,FALSE)),VLOOKUP($C253,'A4 Investment'!$A$24:$G$33,3,FALSE)*'A4 Investment'!C$18/12,0))</f>
        <v>8904.1666666666661</v>
      </c>
      <c r="E253" s="150">
        <f>IF(B253="NA","NA",IF(ISNUMBER(VLOOKUP($C253,'A4 Investment'!$A$24:$G$33,4,FALSE)),VLOOKUP($C253,'A4 Investment'!$A$24:$G$33,4,FALSE)*'A4 Investment'!D$18/12,0))</f>
        <v>0</v>
      </c>
      <c r="F253" s="150">
        <f>IF(B253="NA","NA",IF(ISNUMBER(VLOOKUP($C253,'A4 Investment'!$A$24:$G$33,5,FALSE)),VLOOKUP($C253,'A4 Investment'!$A$24:$G$33,5,FALSE)*'A4 Investment'!E$18/12,0))</f>
        <v>0</v>
      </c>
      <c r="G253" s="150">
        <f>IF(B253="NA","NA",IF(ISNUMBER(VLOOKUP($C253,'A4 Investment'!$A$24:$G$33,6,FALSE)),VLOOKUP($C253,'A4 Investment'!$A$24:$G$33,6,FALSE)*'A4 Investment'!F$18/12,0))</f>
        <v>0</v>
      </c>
      <c r="H253" s="181">
        <f>IF(B253="NA","NA",IF(ISNUMBER(VLOOKUP($C253,'A4 Investment'!$A$24:$G$33,7,FALSE)),VLOOKUP($C253,'A4 Investment'!$A$24:$G$33,7,FALSE)*'A4 Investment'!G$18/12,0))</f>
        <v>0</v>
      </c>
      <c r="I253" s="160">
        <f t="shared" si="22"/>
        <v>8904.1666666666661</v>
      </c>
    </row>
    <row r="254" spans="1:9" x14ac:dyDescent="0.2">
      <c r="A254" s="86">
        <f t="shared" si="19"/>
        <v>7031</v>
      </c>
      <c r="B254" s="142">
        <f t="shared" si="20"/>
        <v>232</v>
      </c>
      <c r="C254" s="143">
        <f t="shared" si="21"/>
        <v>1</v>
      </c>
      <c r="D254" s="149">
        <f>IF(B254="NA","NA",IF(ISNUMBER(VLOOKUP($C254,'A4 Investment'!$A$24:$G$33,3,FALSE)),VLOOKUP($C254,'A4 Investment'!$A$24:$G$33,3,FALSE)*'A4 Investment'!C$18/12,0))</f>
        <v>8904.1666666666661</v>
      </c>
      <c r="E254" s="150">
        <f>IF(B254="NA","NA",IF(ISNUMBER(VLOOKUP($C254,'A4 Investment'!$A$24:$G$33,4,FALSE)),VLOOKUP($C254,'A4 Investment'!$A$24:$G$33,4,FALSE)*'A4 Investment'!D$18/12,0))</f>
        <v>0</v>
      </c>
      <c r="F254" s="150">
        <f>IF(B254="NA","NA",IF(ISNUMBER(VLOOKUP($C254,'A4 Investment'!$A$24:$G$33,5,FALSE)),VLOOKUP($C254,'A4 Investment'!$A$24:$G$33,5,FALSE)*'A4 Investment'!E$18/12,0))</f>
        <v>0</v>
      </c>
      <c r="G254" s="150">
        <f>IF(B254="NA","NA",IF(ISNUMBER(VLOOKUP($C254,'A4 Investment'!$A$24:$G$33,6,FALSE)),VLOOKUP($C254,'A4 Investment'!$A$24:$G$33,6,FALSE)*'A4 Investment'!F$18/12,0))</f>
        <v>0</v>
      </c>
      <c r="H254" s="181">
        <f>IF(B254="NA","NA",IF(ISNUMBER(VLOOKUP($C254,'A4 Investment'!$A$24:$G$33,7,FALSE)),VLOOKUP($C254,'A4 Investment'!$A$24:$G$33,7,FALSE)*'A4 Investment'!G$18/12,0))</f>
        <v>0</v>
      </c>
      <c r="I254" s="160">
        <f t="shared" si="22"/>
        <v>8904.1666666666661</v>
      </c>
    </row>
    <row r="255" spans="1:9" x14ac:dyDescent="0.2">
      <c r="A255" s="86">
        <f t="shared" si="19"/>
        <v>7061</v>
      </c>
      <c r="B255" s="142">
        <f t="shared" si="20"/>
        <v>233</v>
      </c>
      <c r="C255" s="143">
        <f t="shared" si="21"/>
        <v>1</v>
      </c>
      <c r="D255" s="149">
        <f>IF(B255="NA","NA",IF(ISNUMBER(VLOOKUP($C255,'A4 Investment'!$A$24:$G$33,3,FALSE)),VLOOKUP($C255,'A4 Investment'!$A$24:$G$33,3,FALSE)*'A4 Investment'!C$18/12,0))</f>
        <v>8904.1666666666661</v>
      </c>
      <c r="E255" s="150">
        <f>IF(B255="NA","NA",IF(ISNUMBER(VLOOKUP($C255,'A4 Investment'!$A$24:$G$33,4,FALSE)),VLOOKUP($C255,'A4 Investment'!$A$24:$G$33,4,FALSE)*'A4 Investment'!D$18/12,0))</f>
        <v>0</v>
      </c>
      <c r="F255" s="150">
        <f>IF(B255="NA","NA",IF(ISNUMBER(VLOOKUP($C255,'A4 Investment'!$A$24:$G$33,5,FALSE)),VLOOKUP($C255,'A4 Investment'!$A$24:$G$33,5,FALSE)*'A4 Investment'!E$18/12,0))</f>
        <v>0</v>
      </c>
      <c r="G255" s="150">
        <f>IF(B255="NA","NA",IF(ISNUMBER(VLOOKUP($C255,'A4 Investment'!$A$24:$G$33,6,FALSE)),VLOOKUP($C255,'A4 Investment'!$A$24:$G$33,6,FALSE)*'A4 Investment'!F$18/12,0))</f>
        <v>0</v>
      </c>
      <c r="H255" s="181">
        <f>IF(B255="NA","NA",IF(ISNUMBER(VLOOKUP($C255,'A4 Investment'!$A$24:$G$33,7,FALSE)),VLOOKUP($C255,'A4 Investment'!$A$24:$G$33,7,FALSE)*'A4 Investment'!G$18/12,0))</f>
        <v>0</v>
      </c>
      <c r="I255" s="160">
        <f t="shared" si="22"/>
        <v>8904.1666666666661</v>
      </c>
    </row>
    <row r="256" spans="1:9" x14ac:dyDescent="0.2">
      <c r="A256" s="86">
        <f t="shared" si="19"/>
        <v>7092</v>
      </c>
      <c r="B256" s="142">
        <f t="shared" si="20"/>
        <v>234</v>
      </c>
      <c r="C256" s="143">
        <f t="shared" si="21"/>
        <v>1</v>
      </c>
      <c r="D256" s="149">
        <f>IF(B256="NA","NA",IF(ISNUMBER(VLOOKUP($C256,'A4 Investment'!$A$24:$G$33,3,FALSE)),VLOOKUP($C256,'A4 Investment'!$A$24:$G$33,3,FALSE)*'A4 Investment'!C$18/12,0))</f>
        <v>8904.1666666666661</v>
      </c>
      <c r="E256" s="150">
        <f>IF(B256="NA","NA",IF(ISNUMBER(VLOOKUP($C256,'A4 Investment'!$A$24:$G$33,4,FALSE)),VLOOKUP($C256,'A4 Investment'!$A$24:$G$33,4,FALSE)*'A4 Investment'!D$18/12,0))</f>
        <v>0</v>
      </c>
      <c r="F256" s="150">
        <f>IF(B256="NA","NA",IF(ISNUMBER(VLOOKUP($C256,'A4 Investment'!$A$24:$G$33,5,FALSE)),VLOOKUP($C256,'A4 Investment'!$A$24:$G$33,5,FALSE)*'A4 Investment'!E$18/12,0))</f>
        <v>0</v>
      </c>
      <c r="G256" s="150">
        <f>IF(B256="NA","NA",IF(ISNUMBER(VLOOKUP($C256,'A4 Investment'!$A$24:$G$33,6,FALSE)),VLOOKUP($C256,'A4 Investment'!$A$24:$G$33,6,FALSE)*'A4 Investment'!F$18/12,0))</f>
        <v>0</v>
      </c>
      <c r="H256" s="181">
        <f>IF(B256="NA","NA",IF(ISNUMBER(VLOOKUP($C256,'A4 Investment'!$A$24:$G$33,7,FALSE)),VLOOKUP($C256,'A4 Investment'!$A$24:$G$33,7,FALSE)*'A4 Investment'!G$18/12,0))</f>
        <v>0</v>
      </c>
      <c r="I256" s="160">
        <f t="shared" si="22"/>
        <v>8904.1666666666661</v>
      </c>
    </row>
    <row r="257" spans="1:9" x14ac:dyDescent="0.2">
      <c r="A257" s="86">
        <f t="shared" si="19"/>
        <v>7122</v>
      </c>
      <c r="B257" s="142">
        <f t="shared" si="20"/>
        <v>235</v>
      </c>
      <c r="C257" s="143">
        <f t="shared" si="21"/>
        <v>1</v>
      </c>
      <c r="D257" s="149">
        <f>IF(B257="NA","NA",IF(ISNUMBER(VLOOKUP($C257,'A4 Investment'!$A$24:$G$33,3,FALSE)),VLOOKUP($C257,'A4 Investment'!$A$24:$G$33,3,FALSE)*'A4 Investment'!C$18/12,0))</f>
        <v>8904.1666666666661</v>
      </c>
      <c r="E257" s="150">
        <f>IF(B257="NA","NA",IF(ISNUMBER(VLOOKUP($C257,'A4 Investment'!$A$24:$G$33,4,FALSE)),VLOOKUP($C257,'A4 Investment'!$A$24:$G$33,4,FALSE)*'A4 Investment'!D$18/12,0))</f>
        <v>0</v>
      </c>
      <c r="F257" s="150">
        <f>IF(B257="NA","NA",IF(ISNUMBER(VLOOKUP($C257,'A4 Investment'!$A$24:$G$33,5,FALSE)),VLOOKUP($C257,'A4 Investment'!$A$24:$G$33,5,FALSE)*'A4 Investment'!E$18/12,0))</f>
        <v>0</v>
      </c>
      <c r="G257" s="150">
        <f>IF(B257="NA","NA",IF(ISNUMBER(VLOOKUP($C257,'A4 Investment'!$A$24:$G$33,6,FALSE)),VLOOKUP($C257,'A4 Investment'!$A$24:$G$33,6,FALSE)*'A4 Investment'!F$18/12,0))</f>
        <v>0</v>
      </c>
      <c r="H257" s="181">
        <f>IF(B257="NA","NA",IF(ISNUMBER(VLOOKUP($C257,'A4 Investment'!$A$24:$G$33,7,FALSE)),VLOOKUP($C257,'A4 Investment'!$A$24:$G$33,7,FALSE)*'A4 Investment'!G$18/12,0))</f>
        <v>0</v>
      </c>
      <c r="I257" s="160">
        <f t="shared" si="22"/>
        <v>8904.1666666666661</v>
      </c>
    </row>
    <row r="258" spans="1:9" x14ac:dyDescent="0.2">
      <c r="A258" s="86">
        <f t="shared" si="19"/>
        <v>7153</v>
      </c>
      <c r="B258" s="142">
        <f t="shared" si="20"/>
        <v>236</v>
      </c>
      <c r="C258" s="143">
        <f t="shared" si="21"/>
        <v>1</v>
      </c>
      <c r="D258" s="149">
        <f>IF(B258="NA","NA",IF(ISNUMBER(VLOOKUP($C258,'A4 Investment'!$A$24:$G$33,3,FALSE)),VLOOKUP($C258,'A4 Investment'!$A$24:$G$33,3,FALSE)*'A4 Investment'!C$18/12,0))</f>
        <v>8904.1666666666661</v>
      </c>
      <c r="E258" s="150">
        <f>IF(B258="NA","NA",IF(ISNUMBER(VLOOKUP($C258,'A4 Investment'!$A$24:$G$33,4,FALSE)),VLOOKUP($C258,'A4 Investment'!$A$24:$G$33,4,FALSE)*'A4 Investment'!D$18/12,0))</f>
        <v>0</v>
      </c>
      <c r="F258" s="150">
        <f>IF(B258="NA","NA",IF(ISNUMBER(VLOOKUP($C258,'A4 Investment'!$A$24:$G$33,5,FALSE)),VLOOKUP($C258,'A4 Investment'!$A$24:$G$33,5,FALSE)*'A4 Investment'!E$18/12,0))</f>
        <v>0</v>
      </c>
      <c r="G258" s="150">
        <f>IF(B258="NA","NA",IF(ISNUMBER(VLOOKUP($C258,'A4 Investment'!$A$24:$G$33,6,FALSE)),VLOOKUP($C258,'A4 Investment'!$A$24:$G$33,6,FALSE)*'A4 Investment'!F$18/12,0))</f>
        <v>0</v>
      </c>
      <c r="H258" s="181">
        <f>IF(B258="NA","NA",IF(ISNUMBER(VLOOKUP($C258,'A4 Investment'!$A$24:$G$33,7,FALSE)),VLOOKUP($C258,'A4 Investment'!$A$24:$G$33,7,FALSE)*'A4 Investment'!G$18/12,0))</f>
        <v>0</v>
      </c>
      <c r="I258" s="160">
        <f t="shared" si="22"/>
        <v>8904.1666666666661</v>
      </c>
    </row>
    <row r="259" spans="1:9" x14ac:dyDescent="0.2">
      <c r="A259" s="86">
        <f t="shared" si="19"/>
        <v>7184</v>
      </c>
      <c r="B259" s="142">
        <f t="shared" si="20"/>
        <v>237</v>
      </c>
      <c r="C259" s="143">
        <f t="shared" si="21"/>
        <v>1</v>
      </c>
      <c r="D259" s="149">
        <f>IF(B259="NA","NA",IF(ISNUMBER(VLOOKUP($C259,'A4 Investment'!$A$24:$G$33,3,FALSE)),VLOOKUP($C259,'A4 Investment'!$A$24:$G$33,3,FALSE)*'A4 Investment'!C$18/12,0))</f>
        <v>8904.1666666666661</v>
      </c>
      <c r="E259" s="150">
        <f>IF(B259="NA","NA",IF(ISNUMBER(VLOOKUP($C259,'A4 Investment'!$A$24:$G$33,4,FALSE)),VLOOKUP($C259,'A4 Investment'!$A$24:$G$33,4,FALSE)*'A4 Investment'!D$18/12,0))</f>
        <v>0</v>
      </c>
      <c r="F259" s="150">
        <f>IF(B259="NA","NA",IF(ISNUMBER(VLOOKUP($C259,'A4 Investment'!$A$24:$G$33,5,FALSE)),VLOOKUP($C259,'A4 Investment'!$A$24:$G$33,5,FALSE)*'A4 Investment'!E$18/12,0))</f>
        <v>0</v>
      </c>
      <c r="G259" s="150">
        <f>IF(B259="NA","NA",IF(ISNUMBER(VLOOKUP($C259,'A4 Investment'!$A$24:$G$33,6,FALSE)),VLOOKUP($C259,'A4 Investment'!$A$24:$G$33,6,FALSE)*'A4 Investment'!F$18/12,0))</f>
        <v>0</v>
      </c>
      <c r="H259" s="181">
        <f>IF(B259="NA","NA",IF(ISNUMBER(VLOOKUP($C259,'A4 Investment'!$A$24:$G$33,7,FALSE)),VLOOKUP($C259,'A4 Investment'!$A$24:$G$33,7,FALSE)*'A4 Investment'!G$18/12,0))</f>
        <v>0</v>
      </c>
      <c r="I259" s="160">
        <f t="shared" si="22"/>
        <v>8904.1666666666661</v>
      </c>
    </row>
    <row r="260" spans="1:9" x14ac:dyDescent="0.2">
      <c r="A260" s="86">
        <f t="shared" si="19"/>
        <v>7214</v>
      </c>
      <c r="B260" s="142">
        <f t="shared" si="20"/>
        <v>238</v>
      </c>
      <c r="C260" s="143">
        <f t="shared" si="21"/>
        <v>1</v>
      </c>
      <c r="D260" s="149">
        <f>IF(B260="NA","NA",IF(ISNUMBER(VLOOKUP($C260,'A4 Investment'!$A$24:$G$33,3,FALSE)),VLOOKUP($C260,'A4 Investment'!$A$24:$G$33,3,FALSE)*'A4 Investment'!C$18/12,0))</f>
        <v>8904.1666666666661</v>
      </c>
      <c r="E260" s="150">
        <f>IF(B260="NA","NA",IF(ISNUMBER(VLOOKUP($C260,'A4 Investment'!$A$24:$G$33,4,FALSE)),VLOOKUP($C260,'A4 Investment'!$A$24:$G$33,4,FALSE)*'A4 Investment'!D$18/12,0))</f>
        <v>0</v>
      </c>
      <c r="F260" s="150">
        <f>IF(B260="NA","NA",IF(ISNUMBER(VLOOKUP($C260,'A4 Investment'!$A$24:$G$33,5,FALSE)),VLOOKUP($C260,'A4 Investment'!$A$24:$G$33,5,FALSE)*'A4 Investment'!E$18/12,0))</f>
        <v>0</v>
      </c>
      <c r="G260" s="150">
        <f>IF(B260="NA","NA",IF(ISNUMBER(VLOOKUP($C260,'A4 Investment'!$A$24:$G$33,6,FALSE)),VLOOKUP($C260,'A4 Investment'!$A$24:$G$33,6,FALSE)*'A4 Investment'!F$18/12,0))</f>
        <v>0</v>
      </c>
      <c r="H260" s="181">
        <f>IF(B260="NA","NA",IF(ISNUMBER(VLOOKUP($C260,'A4 Investment'!$A$24:$G$33,7,FALSE)),VLOOKUP($C260,'A4 Investment'!$A$24:$G$33,7,FALSE)*'A4 Investment'!G$18/12,0))</f>
        <v>0</v>
      </c>
      <c r="I260" s="160">
        <f t="shared" si="22"/>
        <v>8904.1666666666661</v>
      </c>
    </row>
    <row r="261" spans="1:9" x14ac:dyDescent="0.2">
      <c r="A261" s="86">
        <f t="shared" si="19"/>
        <v>7245</v>
      </c>
      <c r="B261" s="142">
        <f t="shared" si="20"/>
        <v>239</v>
      </c>
      <c r="C261" s="143">
        <f t="shared" si="21"/>
        <v>1</v>
      </c>
      <c r="D261" s="149">
        <f>IF(B261="NA","NA",IF(ISNUMBER(VLOOKUP($C261,'A4 Investment'!$A$24:$G$33,3,FALSE)),VLOOKUP($C261,'A4 Investment'!$A$24:$G$33,3,FALSE)*'A4 Investment'!C$18/12,0))</f>
        <v>8904.1666666666661</v>
      </c>
      <c r="E261" s="150">
        <f>IF(B261="NA","NA",IF(ISNUMBER(VLOOKUP($C261,'A4 Investment'!$A$24:$G$33,4,FALSE)),VLOOKUP($C261,'A4 Investment'!$A$24:$G$33,4,FALSE)*'A4 Investment'!D$18/12,0))</f>
        <v>0</v>
      </c>
      <c r="F261" s="150">
        <f>IF(B261="NA","NA",IF(ISNUMBER(VLOOKUP($C261,'A4 Investment'!$A$24:$G$33,5,FALSE)),VLOOKUP($C261,'A4 Investment'!$A$24:$G$33,5,FALSE)*'A4 Investment'!E$18/12,0))</f>
        <v>0</v>
      </c>
      <c r="G261" s="150">
        <f>IF(B261="NA","NA",IF(ISNUMBER(VLOOKUP($C261,'A4 Investment'!$A$24:$G$33,6,FALSE)),VLOOKUP($C261,'A4 Investment'!$A$24:$G$33,6,FALSE)*'A4 Investment'!F$18/12,0))</f>
        <v>0</v>
      </c>
      <c r="H261" s="181">
        <f>IF(B261="NA","NA",IF(ISNUMBER(VLOOKUP($C261,'A4 Investment'!$A$24:$G$33,7,FALSE)),VLOOKUP($C261,'A4 Investment'!$A$24:$G$33,7,FALSE)*'A4 Investment'!G$18/12,0))</f>
        <v>0</v>
      </c>
      <c r="I261" s="160">
        <f t="shared" si="22"/>
        <v>8904.1666666666661</v>
      </c>
    </row>
    <row r="262" spans="1:9" x14ac:dyDescent="0.2">
      <c r="A262" s="87">
        <f t="shared" si="19"/>
        <v>7275</v>
      </c>
      <c r="B262" s="144">
        <f t="shared" si="20"/>
        <v>240</v>
      </c>
      <c r="C262" s="145">
        <f t="shared" si="21"/>
        <v>1</v>
      </c>
      <c r="D262" s="152">
        <f>IF(B262="NA","NA",IF(ISNUMBER(VLOOKUP($C262,'A4 Investment'!$A$24:$G$33,3,FALSE)),VLOOKUP($C262,'A4 Investment'!$A$24:$G$33,3,FALSE)*'A4 Investment'!C$18/12,0))</f>
        <v>8904.1666666666661</v>
      </c>
      <c r="E262" s="153">
        <f>IF(B262="NA","NA",IF(ISNUMBER(VLOOKUP($C262,'A4 Investment'!$A$24:$G$33,4,FALSE)),VLOOKUP($C262,'A4 Investment'!$A$24:$G$33,4,FALSE)*'A4 Investment'!D$18/12,0))</f>
        <v>0</v>
      </c>
      <c r="F262" s="153">
        <f>IF(B262="NA","NA",IF(ISNUMBER(VLOOKUP($C262,'A4 Investment'!$A$24:$G$33,5,FALSE)),VLOOKUP($C262,'A4 Investment'!$A$24:$G$33,5,FALSE)*'A4 Investment'!E$18/12,0))</f>
        <v>0</v>
      </c>
      <c r="G262" s="153">
        <f>IF(B262="NA","NA",IF(ISNUMBER(VLOOKUP($C262,'A4 Investment'!$A$24:$G$33,6,FALSE)),VLOOKUP($C262,'A4 Investment'!$A$24:$G$33,6,FALSE)*'A4 Investment'!F$18/12,0))</f>
        <v>0</v>
      </c>
      <c r="H262" s="182">
        <f>IF(B262="NA","NA",IF(ISNUMBER(VLOOKUP($C262,'A4 Investment'!$A$24:$G$33,7,FALSE)),VLOOKUP($C262,'A4 Investment'!$A$24:$G$33,7,FALSE)*'A4 Investment'!G$18/12,0))</f>
        <v>0</v>
      </c>
      <c r="I262" s="162">
        <f t="shared" si="22"/>
        <v>8904.1666666666661</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5" type="noConversion"/>
  <conditionalFormatting sqref="A83:I262">
    <cfRule type="cellIs" dxfId="0"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2019 Tariff (AESO ID No. 2019-016T)
Filename: &amp;F — Page &amp;P of &amp;N&amp;R&amp;8Confidentiality: Proprietary When Competed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F58"/>
  <sheetViews>
    <sheetView showGridLines="0" zoomScaleNormal="100" workbookViewId="0">
      <selection activeCell="C49" sqref="C49"/>
    </sheetView>
  </sheetViews>
  <sheetFormatPr defaultRowHeight="12.75" x14ac:dyDescent="0.2"/>
  <cols>
    <col min="1" max="1" width="3.7109375" customWidth="1"/>
    <col min="2" max="2" width="12.7109375" customWidth="1"/>
    <col min="3" max="3" width="19.28515625" customWidth="1"/>
    <col min="4" max="4" width="21.28515625" customWidth="1"/>
    <col min="5" max="5" width="19.28515625" customWidth="1"/>
    <col min="6" max="6" width="12.7109375" customWidth="1"/>
    <col min="7" max="7" width="7.7109375" customWidth="1"/>
  </cols>
  <sheetData>
    <row r="6" spans="1:2" s="306" customFormat="1" x14ac:dyDescent="0.2"/>
    <row r="7" spans="1:2" s="262" customFormat="1" ht="16.5" x14ac:dyDescent="0.2">
      <c r="A7" s="263"/>
      <c r="B7" s="262" t="s">
        <v>6</v>
      </c>
    </row>
    <row r="8" spans="1:2" s="177" customFormat="1" x14ac:dyDescent="0.2">
      <c r="B8" s="315" t="s">
        <v>302</v>
      </c>
    </row>
    <row r="9" spans="1:2" s="177" customFormat="1" x14ac:dyDescent="0.2">
      <c r="B9" s="315" t="s">
        <v>303</v>
      </c>
    </row>
    <row r="10" spans="1:2" s="177" customFormat="1" x14ac:dyDescent="0.2">
      <c r="B10" s="315" t="s">
        <v>304</v>
      </c>
    </row>
    <row r="11" spans="1:2" s="177" customFormat="1" x14ac:dyDescent="0.2">
      <c r="B11" s="315" t="s">
        <v>305</v>
      </c>
    </row>
    <row r="12" spans="1:2" s="175" customFormat="1" ht="12" x14ac:dyDescent="0.2"/>
    <row r="13" spans="1:2" s="177" customFormat="1" x14ac:dyDescent="0.2">
      <c r="B13" s="251" t="s">
        <v>189</v>
      </c>
    </row>
    <row r="14" spans="1:2" s="177" customFormat="1" x14ac:dyDescent="0.2">
      <c r="B14" s="251" t="s">
        <v>161</v>
      </c>
    </row>
    <row r="15" spans="1:2" s="177" customFormat="1" x14ac:dyDescent="0.2">
      <c r="B15" s="251" t="s">
        <v>162</v>
      </c>
    </row>
    <row r="16" spans="1:2" s="177" customFormat="1" x14ac:dyDescent="0.2">
      <c r="B16" s="315" t="s">
        <v>306</v>
      </c>
    </row>
    <row r="17" spans="2:3" s="177" customFormat="1" x14ac:dyDescent="0.2">
      <c r="B17" s="315" t="s">
        <v>307</v>
      </c>
    </row>
    <row r="18" spans="2:3" s="260" customFormat="1" ht="9" x14ac:dyDescent="0.15"/>
    <row r="19" spans="2:3" s="174" customFormat="1" ht="15.75" x14ac:dyDescent="0.25">
      <c r="B19" s="341" t="s">
        <v>190</v>
      </c>
      <c r="C19" s="341"/>
    </row>
    <row r="20" spans="2:3" s="259" customFormat="1" ht="6.75" x14ac:dyDescent="0.15"/>
    <row r="21" spans="2:3" s="177" customFormat="1" x14ac:dyDescent="0.2">
      <c r="B21" s="315" t="s">
        <v>308</v>
      </c>
    </row>
    <row r="22" spans="2:3" s="177" customFormat="1" x14ac:dyDescent="0.2">
      <c r="B22" s="315" t="s">
        <v>309</v>
      </c>
    </row>
    <row r="23" spans="2:3" s="175" customFormat="1" ht="12" x14ac:dyDescent="0.2"/>
    <row r="24" spans="2:3" s="177" customFormat="1" x14ac:dyDescent="0.2">
      <c r="B24" s="251" t="s">
        <v>163</v>
      </c>
    </row>
    <row r="25" spans="2:3" s="177" customFormat="1" x14ac:dyDescent="0.2">
      <c r="B25" s="315" t="s">
        <v>310</v>
      </c>
    </row>
    <row r="26" spans="2:3" s="177" customFormat="1" x14ac:dyDescent="0.2">
      <c r="B26" s="315" t="s">
        <v>311</v>
      </c>
    </row>
    <row r="27" spans="2:3" s="177" customFormat="1" x14ac:dyDescent="0.2">
      <c r="B27" s="315" t="s">
        <v>312</v>
      </c>
    </row>
    <row r="28" spans="2:3" s="177" customFormat="1" x14ac:dyDescent="0.2">
      <c r="B28" s="315" t="s">
        <v>313</v>
      </c>
    </row>
    <row r="29" spans="2:3" s="175" customFormat="1" ht="12" x14ac:dyDescent="0.2"/>
    <row r="30" spans="2:3" s="177" customFormat="1" x14ac:dyDescent="0.2">
      <c r="B30" s="315" t="s">
        <v>314</v>
      </c>
    </row>
    <row r="31" spans="2:3" s="177" customFormat="1" x14ac:dyDescent="0.2">
      <c r="B31" s="315" t="s">
        <v>315</v>
      </c>
    </row>
    <row r="32" spans="2:3" s="175" customFormat="1" ht="12" x14ac:dyDescent="0.2"/>
    <row r="33" spans="2:2" s="174" customFormat="1" ht="15.75" x14ac:dyDescent="0.25">
      <c r="B33" s="341" t="s">
        <v>191</v>
      </c>
    </row>
    <row r="34" spans="2:2" s="259" customFormat="1" ht="6.75" x14ac:dyDescent="0.15"/>
    <row r="35" spans="2:2" s="177" customFormat="1" x14ac:dyDescent="0.2">
      <c r="B35" s="251" t="s">
        <v>192</v>
      </c>
    </row>
    <row r="36" spans="2:2" s="177" customFormat="1" x14ac:dyDescent="0.2">
      <c r="B36" s="315" t="s">
        <v>316</v>
      </c>
    </row>
    <row r="37" spans="2:2" s="177" customFormat="1" x14ac:dyDescent="0.2">
      <c r="B37" s="315" t="s">
        <v>317</v>
      </c>
    </row>
    <row r="38" spans="2:2" s="177" customFormat="1" x14ac:dyDescent="0.2">
      <c r="B38" s="315" t="s">
        <v>318</v>
      </c>
    </row>
    <row r="39" spans="2:2" s="177" customFormat="1" x14ac:dyDescent="0.2">
      <c r="B39" s="315" t="s">
        <v>319</v>
      </c>
    </row>
    <row r="40" spans="2:2" s="177" customFormat="1" x14ac:dyDescent="0.2">
      <c r="B40" s="176" t="s">
        <v>320</v>
      </c>
    </row>
    <row r="41" spans="2:2" s="175" customFormat="1" ht="12" x14ac:dyDescent="0.2"/>
    <row r="42" spans="2:2" s="175" customFormat="1" ht="12" x14ac:dyDescent="0.2"/>
    <row r="43" spans="2:2" s="175" customFormat="1" x14ac:dyDescent="0.2">
      <c r="B43" s="341" t="s">
        <v>330</v>
      </c>
    </row>
    <row r="44" spans="2:2" s="175" customFormat="1" ht="17.45" customHeight="1" x14ac:dyDescent="0.2">
      <c r="B44" s="346" t="s">
        <v>326</v>
      </c>
    </row>
    <row r="45" spans="2:2" s="175" customFormat="1" x14ac:dyDescent="0.2">
      <c r="B45" s="346" t="s">
        <v>327</v>
      </c>
    </row>
    <row r="46" spans="2:2" s="175" customFormat="1" x14ac:dyDescent="0.2">
      <c r="B46" s="346" t="s">
        <v>328</v>
      </c>
    </row>
    <row r="47" spans="2:2" s="175" customFormat="1" x14ac:dyDescent="0.2">
      <c r="B47" s="346" t="s">
        <v>329</v>
      </c>
    </row>
    <row r="48" spans="2:2" s="175" customFormat="1" x14ac:dyDescent="0.2">
      <c r="B48" s="346"/>
    </row>
    <row r="49" spans="2:6" s="177" customFormat="1" x14ac:dyDescent="0.2">
      <c r="B49" s="345"/>
    </row>
    <row r="50" spans="2:6" s="177" customFormat="1" x14ac:dyDescent="0.2">
      <c r="B50" s="251"/>
    </row>
    <row r="51" spans="2:6" s="175" customFormat="1" ht="12" x14ac:dyDescent="0.2"/>
    <row r="52" spans="2:6" s="177" customFormat="1" x14ac:dyDescent="0.2"/>
    <row r="53" spans="2:6" s="177" customFormat="1" x14ac:dyDescent="0.2"/>
    <row r="54" spans="2:6" s="177" customFormat="1" x14ac:dyDescent="0.2"/>
    <row r="55" spans="2:6" s="177" customFormat="1" x14ac:dyDescent="0.2"/>
    <row r="56" spans="2:6" s="250" customFormat="1" ht="10.9" customHeight="1" x14ac:dyDescent="0.2">
      <c r="B56" s="280"/>
      <c r="D56" s="252"/>
      <c r="F56" s="281"/>
    </row>
    <row r="57" spans="2:6" s="177" customFormat="1" ht="10.15" customHeight="1" x14ac:dyDescent="0.2"/>
    <row r="58" spans="2:6" s="177" customFormat="1" x14ac:dyDescent="0.2"/>
  </sheetData>
  <pageMargins left="0.75" right="0.75" top="0.5" bottom="0.85" header="0.5" footer="0.5"/>
  <pageSetup scale="94" orientation="portrait" r:id="rId1"/>
  <headerFooter alignWithMargins="0">
    <oddFooter>&amp;L&amp;8Posted: 2021-01-08&amp;C&amp;8Page 3&amp;R&amp;8Public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62"/>
  <sheetViews>
    <sheetView showGridLines="0" zoomScaleNormal="100" workbookViewId="0">
      <selection activeCell="E26" sqref="E26"/>
    </sheetView>
  </sheetViews>
  <sheetFormatPr defaultRowHeight="12.75" x14ac:dyDescent="0.2"/>
  <cols>
    <col min="1" max="1" width="4" customWidth="1"/>
    <col min="2" max="2" width="12.7109375" customWidth="1"/>
    <col min="3" max="3" width="19.28515625" customWidth="1"/>
    <col min="4" max="4" width="21.28515625" customWidth="1"/>
    <col min="5" max="5" width="19.28515625" customWidth="1"/>
    <col min="6" max="6" width="12.7109375" customWidth="1"/>
    <col min="7" max="7" width="7.7109375" customWidth="1"/>
  </cols>
  <sheetData>
    <row r="2" spans="2:6" s="306" customFormat="1" x14ac:dyDescent="0.2"/>
    <row r="3" spans="2:6" s="306" customFormat="1" x14ac:dyDescent="0.2"/>
    <row r="4" spans="2:6" s="306" customFormat="1" x14ac:dyDescent="0.2"/>
    <row r="5" spans="2:6" s="306" customFormat="1" x14ac:dyDescent="0.2"/>
    <row r="6" spans="2:6" s="306" customFormat="1" x14ac:dyDescent="0.2"/>
    <row r="7" spans="2:6" s="306" customFormat="1" x14ac:dyDescent="0.2"/>
    <row r="10" spans="2:6" ht="15.75" x14ac:dyDescent="0.25">
      <c r="B10" s="341" t="s">
        <v>130</v>
      </c>
      <c r="C10" s="178"/>
      <c r="D10" s="174"/>
      <c r="E10" s="174"/>
      <c r="F10" s="174"/>
    </row>
    <row r="11" spans="2:6" s="259" customFormat="1" ht="6.75" x14ac:dyDescent="0.15"/>
    <row r="12" spans="2:6" s="256" customFormat="1" ht="22.15" customHeight="1" x14ac:dyDescent="0.2">
      <c r="B12" s="344" t="s">
        <v>10</v>
      </c>
      <c r="C12" s="405" t="s">
        <v>63</v>
      </c>
      <c r="D12" s="406"/>
      <c r="E12" s="407"/>
      <c r="F12" s="344" t="s">
        <v>205</v>
      </c>
    </row>
    <row r="13" spans="2:6" s="256" customFormat="1" ht="25.5" customHeight="1" x14ac:dyDescent="0.2">
      <c r="B13" s="338" t="s">
        <v>255</v>
      </c>
      <c r="C13" s="274" t="s">
        <v>203</v>
      </c>
      <c r="D13" s="275"/>
      <c r="E13" s="276"/>
      <c r="F13" s="339" t="s">
        <v>256</v>
      </c>
    </row>
    <row r="14" spans="2:6" s="177" customFormat="1" x14ac:dyDescent="0.2"/>
    <row r="15" spans="2:6" s="177" customFormat="1" x14ac:dyDescent="0.2"/>
    <row r="16" spans="2:6" s="177" customFormat="1" x14ac:dyDescent="0.2"/>
    <row r="17" s="177" customFormat="1" x14ac:dyDescent="0.2"/>
    <row r="18" s="177" customFormat="1" x14ac:dyDescent="0.2"/>
    <row r="19" s="177" customFormat="1" x14ac:dyDescent="0.2"/>
    <row r="20" s="177" customFormat="1" x14ac:dyDescent="0.2"/>
    <row r="21" s="177" customFormat="1" x14ac:dyDescent="0.2"/>
    <row r="22" s="177" customFormat="1" x14ac:dyDescent="0.2"/>
    <row r="23" s="177" customFormat="1" x14ac:dyDescent="0.2"/>
    <row r="24" s="177" customFormat="1" x14ac:dyDescent="0.2"/>
    <row r="25" s="177" customFormat="1" x14ac:dyDescent="0.2"/>
    <row r="26" s="177" customFormat="1" x14ac:dyDescent="0.2"/>
    <row r="27" s="177" customFormat="1" x14ac:dyDescent="0.2"/>
    <row r="28" s="177" customFormat="1" x14ac:dyDescent="0.2"/>
    <row r="29" s="177" customFormat="1" x14ac:dyDescent="0.2"/>
    <row r="30" s="177" customFormat="1" x14ac:dyDescent="0.2"/>
    <row r="31" s="177" customFormat="1" x14ac:dyDescent="0.2"/>
    <row r="32" s="177" customFormat="1" x14ac:dyDescent="0.2"/>
    <row r="33" s="177" customFormat="1" x14ac:dyDescent="0.2"/>
    <row r="34" s="177" customFormat="1" x14ac:dyDescent="0.2"/>
    <row r="35" s="177" customFormat="1" x14ac:dyDescent="0.2"/>
    <row r="36" s="177" customFormat="1" x14ac:dyDescent="0.2"/>
    <row r="37" s="177" customFormat="1" x14ac:dyDescent="0.2"/>
    <row r="38" s="177" customFormat="1" x14ac:dyDescent="0.2"/>
    <row r="39" s="177" customFormat="1" x14ac:dyDescent="0.2"/>
    <row r="40" s="177" customFormat="1" x14ac:dyDescent="0.2"/>
    <row r="41" s="177" customFormat="1" x14ac:dyDescent="0.2"/>
    <row r="42" s="177" customFormat="1" x14ac:dyDescent="0.2"/>
    <row r="43" s="177" customFormat="1" x14ac:dyDescent="0.2"/>
    <row r="44" s="177" customFormat="1" x14ac:dyDescent="0.2"/>
    <row r="45" s="177" customFormat="1" x14ac:dyDescent="0.2"/>
    <row r="46" s="177" customFormat="1" x14ac:dyDescent="0.2"/>
    <row r="47" s="177" customFormat="1" x14ac:dyDescent="0.2"/>
    <row r="48" s="177" customFormat="1" x14ac:dyDescent="0.2"/>
    <row r="49" spans="2:6" s="177" customFormat="1" x14ac:dyDescent="0.2"/>
    <row r="50" spans="2:6" s="177" customFormat="1" x14ac:dyDescent="0.2"/>
    <row r="51" spans="2:6" s="177" customFormat="1" x14ac:dyDescent="0.2"/>
    <row r="52" spans="2:6" s="177" customFormat="1" x14ac:dyDescent="0.2"/>
    <row r="53" spans="2:6" s="177" customFormat="1" x14ac:dyDescent="0.2"/>
    <row r="54" spans="2:6" s="177" customFormat="1" x14ac:dyDescent="0.2"/>
    <row r="55" spans="2:6" s="177" customFormat="1" x14ac:dyDescent="0.2"/>
    <row r="56" spans="2:6" s="177" customFormat="1" x14ac:dyDescent="0.2"/>
    <row r="57" spans="2:6" s="177" customFormat="1" x14ac:dyDescent="0.2"/>
    <row r="58" spans="2:6" s="250" customFormat="1" ht="18" customHeight="1" x14ac:dyDescent="0.2">
      <c r="B58" s="280"/>
      <c r="D58" s="327"/>
      <c r="F58" s="281"/>
    </row>
    <row r="59" spans="2:6" s="177" customFormat="1" x14ac:dyDescent="0.2"/>
    <row r="60" spans="2:6" s="177" customFormat="1" x14ac:dyDescent="0.2">
      <c r="F60"/>
    </row>
    <row r="61" spans="2:6" s="177" customFormat="1" x14ac:dyDescent="0.2">
      <c r="F61"/>
    </row>
    <row r="62" spans="2:6" s="177" customFormat="1" x14ac:dyDescent="0.2">
      <c r="F62"/>
    </row>
  </sheetData>
  <mergeCells count="1">
    <mergeCell ref="C12:E12"/>
  </mergeCells>
  <pageMargins left="0.75" right="0.75" top="0.5" bottom="0.85" header="0.5" footer="0.5"/>
  <pageSetup scale="93" orientation="portrait" r:id="rId1"/>
  <headerFooter alignWithMargins="0">
    <oddFooter>&amp;L&amp;8Posted: 2021-01-08&amp;C&amp;8Page 4&amp;R&amp;8Public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7:R57"/>
  <sheetViews>
    <sheetView showGridLines="0" zoomScaleNormal="100" zoomScaleSheetLayoutView="100" workbookViewId="0">
      <selection activeCell="I10" sqref="I10"/>
    </sheetView>
  </sheetViews>
  <sheetFormatPr defaultColWidth="11.7109375" defaultRowHeight="12.75" x14ac:dyDescent="0.2"/>
  <cols>
    <col min="1" max="1" width="4.28515625" style="216" customWidth="1"/>
    <col min="2" max="2" width="12.5703125" style="216" customWidth="1"/>
    <col min="3" max="3" width="9.28515625" style="216" customWidth="1"/>
    <col min="4" max="4" width="11.28515625" style="216" customWidth="1"/>
    <col min="5" max="5" width="13" style="216" customWidth="1"/>
    <col min="6" max="8" width="11.28515625" style="216" customWidth="1"/>
    <col min="9" max="9" width="12" style="216" bestFit="1" customWidth="1"/>
    <col min="10" max="10" width="7.28515625" style="216" customWidth="1"/>
    <col min="11" max="16384" width="11.7109375" style="216"/>
  </cols>
  <sheetData>
    <row r="7" spans="1:10" ht="6" customHeight="1" x14ac:dyDescent="0.2"/>
    <row r="8" spans="1:10" s="214" customFormat="1" ht="18.75" x14ac:dyDescent="0.4">
      <c r="A8" s="423" t="s">
        <v>324</v>
      </c>
      <c r="B8" s="423"/>
      <c r="C8" s="423"/>
      <c r="D8" s="423"/>
      <c r="E8" s="423"/>
      <c r="F8" s="423"/>
      <c r="G8" s="423"/>
      <c r="H8" s="423"/>
      <c r="I8" s="423"/>
    </row>
    <row r="9" spans="1:10" s="215" customFormat="1" ht="8.4499999999999993" customHeight="1" x14ac:dyDescent="0.15"/>
    <row r="10" spans="1:10" x14ac:dyDescent="0.2">
      <c r="A10" s="216" t="s">
        <v>341</v>
      </c>
      <c r="C10" s="424" t="s">
        <v>340</v>
      </c>
      <c r="D10" s="424"/>
      <c r="E10" s="424"/>
      <c r="F10" s="424"/>
      <c r="G10" s="424"/>
      <c r="H10" s="217" t="s">
        <v>0</v>
      </c>
      <c r="I10" s="284" t="s">
        <v>253</v>
      </c>
    </row>
    <row r="11" spans="1:10" x14ac:dyDescent="0.2">
      <c r="A11" s="316" t="s">
        <v>321</v>
      </c>
      <c r="C11" s="424" t="s">
        <v>100</v>
      </c>
      <c r="D11" s="424"/>
      <c r="E11" s="424"/>
      <c r="F11" s="424"/>
      <c r="G11" s="424"/>
      <c r="H11" s="217" t="s">
        <v>1</v>
      </c>
      <c r="I11" s="399">
        <f>VLOOKUP($I$10,'Investment Lookup'!$A$3:$B$30,2,0)</f>
        <v>44197</v>
      </c>
      <c r="J11" s="299" t="str">
        <f ca="1">IF(ISNA(I11),"Error: Select the appropriate ISO tariff from cell 'I3'",IF($F$36="","",IF(AND($F$36&gt;=I11,$F$36&lt;=IF(I12="Current",TODAY(),I12)),"","The date of the permit and liscence is not within the selected ISO tariff effective dates!")))</f>
        <v/>
      </c>
    </row>
    <row r="12" spans="1:10" x14ac:dyDescent="0.2">
      <c r="A12" s="316" t="s">
        <v>322</v>
      </c>
      <c r="C12" s="416" t="s">
        <v>101</v>
      </c>
      <c r="D12" s="416"/>
      <c r="E12" s="218" t="s">
        <v>2</v>
      </c>
      <c r="F12" s="416" t="s">
        <v>266</v>
      </c>
      <c r="G12" s="416"/>
      <c r="H12" s="217" t="s">
        <v>13</v>
      </c>
      <c r="I12" s="399" t="str">
        <f>VLOOKUP($I$10,'Investment Lookup'!$A$3:$C$30,3,0)</f>
        <v>Current</v>
      </c>
      <c r="J12" s="299" t="str">
        <f ca="1">IF(ISNA(I12),"Error: Select the appropriate ISO tariff from cell 'I3'",IF($F$36="","",IF(AND($F$36&gt;=I11,$F$36&lt;=IF(I12="Current",TODAY(),I12)),"","The date of the permit and liscence is not within the selected ISO tariff effective dates!")))</f>
        <v/>
      </c>
    </row>
    <row r="13" spans="1:10" x14ac:dyDescent="0.2">
      <c r="A13" s="216" t="s">
        <v>61</v>
      </c>
      <c r="C13" s="416" t="s">
        <v>102</v>
      </c>
      <c r="D13" s="416"/>
      <c r="E13" s="218" t="s">
        <v>62</v>
      </c>
      <c r="F13" s="426" t="s">
        <v>103</v>
      </c>
      <c r="G13" s="426"/>
      <c r="H13" s="219" t="s">
        <v>204</v>
      </c>
      <c r="I13" s="277" t="s">
        <v>256</v>
      </c>
    </row>
    <row r="15" spans="1:10" x14ac:dyDescent="0.2">
      <c r="A15" s="220" t="s">
        <v>58</v>
      </c>
      <c r="B15" s="220"/>
      <c r="C15" s="220"/>
      <c r="D15" s="220"/>
      <c r="E15" s="220"/>
      <c r="F15" s="220"/>
      <c r="G15" s="220"/>
    </row>
    <row r="16" spans="1:10" x14ac:dyDescent="0.2">
      <c r="A16" s="216" t="s">
        <v>79</v>
      </c>
      <c r="B16" s="216" t="s">
        <v>14</v>
      </c>
      <c r="F16" s="425" t="s">
        <v>267</v>
      </c>
      <c r="G16" s="425"/>
    </row>
    <row r="17" spans="1:12" x14ac:dyDescent="0.2">
      <c r="A17" s="216" t="s">
        <v>80</v>
      </c>
      <c r="B17" s="216" t="s">
        <v>99</v>
      </c>
      <c r="F17" s="425" t="s">
        <v>268</v>
      </c>
      <c r="G17" s="425"/>
      <c r="J17" s="221" t="str">
        <f>IF(AND(NewOrExpansion="Expansion",NewOrExistingSub="New Substation"),"Error: Expansion of Existing Service cannot occur at a New Substation!","")</f>
        <v/>
      </c>
    </row>
    <row r="18" spans="1:12" x14ac:dyDescent="0.2">
      <c r="A18" s="216" t="s">
        <v>81</v>
      </c>
      <c r="B18" s="216" t="s">
        <v>105</v>
      </c>
      <c r="F18" s="425" t="s">
        <v>12</v>
      </c>
      <c r="G18" s="425"/>
      <c r="J18" s="221" t="str">
        <f>IF(AND(ProjectType="STS (Generator)",ReceivePSC="Yes"),"Error: Primary Service Credit is not applicable to an STS (Generator) Project Type!","")</f>
        <v/>
      </c>
    </row>
    <row r="19" spans="1:12" x14ac:dyDescent="0.2">
      <c r="A19" s="216" t="s">
        <v>82</v>
      </c>
      <c r="B19" s="316" t="s">
        <v>323</v>
      </c>
      <c r="F19" s="425" t="s">
        <v>12</v>
      </c>
      <c r="G19" s="425"/>
      <c r="J19" s="221" t="str">
        <f>IF(AND(NewOrExpansion="New Service",NewOrExistingSub="Existing Substation",OtherParticipant="No"),"Error: If a New Service is being added to an Existing Substation, there must be a prior Other Market Participant at the substation!","")</f>
        <v/>
      </c>
    </row>
    <row r="21" spans="1:12" s="220" customFormat="1" x14ac:dyDescent="0.2">
      <c r="A21" s="220" t="s">
        <v>59</v>
      </c>
      <c r="H21" s="417" t="s">
        <v>64</v>
      </c>
      <c r="I21" s="417"/>
    </row>
    <row r="22" spans="1:12" x14ac:dyDescent="0.2">
      <c r="A22" s="216" t="s">
        <v>83</v>
      </c>
      <c r="B22" s="216" t="s">
        <v>94</v>
      </c>
      <c r="F22" s="418"/>
      <c r="G22" s="418"/>
      <c r="H22" s="421"/>
      <c r="I22" s="421"/>
    </row>
    <row r="23" spans="1:12" x14ac:dyDescent="0.2">
      <c r="A23" s="283" t="s">
        <v>84</v>
      </c>
      <c r="B23" s="349" t="s">
        <v>233</v>
      </c>
      <c r="C23" s="349"/>
      <c r="D23" s="349"/>
      <c r="F23" s="422"/>
      <c r="G23" s="422"/>
      <c r="H23" s="303"/>
      <c r="I23" s="303"/>
      <c r="K23" s="349"/>
      <c r="L23" s="349"/>
    </row>
    <row r="24" spans="1:12" x14ac:dyDescent="0.2">
      <c r="A24" s="283" t="s">
        <v>85</v>
      </c>
      <c r="B24" s="350" t="s">
        <v>234</v>
      </c>
      <c r="C24" s="349"/>
      <c r="D24" s="349"/>
      <c r="F24" s="422"/>
      <c r="G24" s="422"/>
      <c r="H24" s="303"/>
      <c r="I24" s="303"/>
      <c r="K24" s="349"/>
      <c r="L24" s="349"/>
    </row>
    <row r="25" spans="1:12" x14ac:dyDescent="0.2">
      <c r="A25" s="283" t="s">
        <v>86</v>
      </c>
      <c r="B25" s="351" t="s">
        <v>235</v>
      </c>
      <c r="C25" s="349"/>
      <c r="D25" s="349"/>
      <c r="F25" s="422"/>
      <c r="G25" s="422"/>
      <c r="H25" s="303"/>
      <c r="I25" s="303"/>
      <c r="K25" s="349"/>
      <c r="L25" s="349"/>
    </row>
    <row r="26" spans="1:12" x14ac:dyDescent="0.2">
      <c r="A26" s="283" t="s">
        <v>87</v>
      </c>
      <c r="B26" s="216" t="s">
        <v>175</v>
      </c>
      <c r="F26" s="418"/>
      <c r="G26" s="418"/>
      <c r="H26" s="421"/>
      <c r="I26" s="421"/>
    </row>
    <row r="27" spans="1:12" x14ac:dyDescent="0.2">
      <c r="A27" s="283" t="s">
        <v>88</v>
      </c>
      <c r="B27" s="217" t="s">
        <v>95</v>
      </c>
      <c r="F27" s="418"/>
      <c r="G27" s="418"/>
      <c r="H27" s="421"/>
      <c r="I27" s="421"/>
      <c r="L27" s="283"/>
    </row>
    <row r="28" spans="1:12" x14ac:dyDescent="0.2">
      <c r="A28" s="283" t="s">
        <v>89</v>
      </c>
      <c r="B28" s="216" t="s">
        <v>96</v>
      </c>
      <c r="F28" s="414">
        <f>F22+F23+F24+F25++F26-F27</f>
        <v>0</v>
      </c>
      <c r="G28" s="414"/>
      <c r="K28" s="326"/>
    </row>
    <row r="29" spans="1:12" x14ac:dyDescent="0.2">
      <c r="A29" s="283" t="s">
        <v>90</v>
      </c>
      <c r="B29" s="217" t="s">
        <v>106</v>
      </c>
      <c r="F29" s="413"/>
      <c r="G29" s="413"/>
      <c r="H29" s="420"/>
      <c r="I29" s="420"/>
      <c r="J29" s="222"/>
      <c r="K29" s="326"/>
    </row>
    <row r="30" spans="1:12" x14ac:dyDescent="0.2">
      <c r="A30" s="223" t="s">
        <v>91</v>
      </c>
      <c r="B30" s="217" t="s">
        <v>97</v>
      </c>
      <c r="F30" s="413"/>
      <c r="G30" s="413"/>
      <c r="H30" s="420"/>
      <c r="I30" s="420"/>
      <c r="K30" s="326"/>
    </row>
    <row r="31" spans="1:12" x14ac:dyDescent="0.2">
      <c r="A31" s="223" t="s">
        <v>92</v>
      </c>
      <c r="B31" s="216" t="s">
        <v>107</v>
      </c>
      <c r="F31" s="414">
        <f>F28-F29-F30</f>
        <v>0</v>
      </c>
      <c r="G31" s="414"/>
    </row>
    <row r="32" spans="1:12" x14ac:dyDescent="0.2">
      <c r="A32" s="223" t="s">
        <v>93</v>
      </c>
      <c r="B32" s="216" t="s">
        <v>128</v>
      </c>
      <c r="F32" s="418"/>
      <c r="G32" s="418"/>
      <c r="H32" s="420"/>
      <c r="I32" s="420"/>
      <c r="J32" s="221" t="str">
        <f>IF(AND(F29&gt;0,OR(ISBLANK(F32),F32=0)),"Error: If Facilities in Excess of Good Electric Industry Practice exist, there must be an amount entered for Estimated Operations and Maintenance!","")</f>
        <v/>
      </c>
    </row>
    <row r="33" spans="1:18" s="223" customFormat="1" x14ac:dyDescent="0.2"/>
    <row r="34" spans="1:18" s="223" customFormat="1" x14ac:dyDescent="0.2">
      <c r="A34" s="224" t="s">
        <v>60</v>
      </c>
      <c r="B34" s="224"/>
      <c r="C34" s="224"/>
      <c r="D34" s="224"/>
      <c r="E34" s="224"/>
      <c r="F34" s="225"/>
      <c r="G34" s="224"/>
      <c r="H34" s="417" t="s">
        <v>64</v>
      </c>
      <c r="I34" s="417"/>
    </row>
    <row r="35" spans="1:18" s="304" customFormat="1" x14ac:dyDescent="0.2">
      <c r="A35" s="350" t="s">
        <v>126</v>
      </c>
      <c r="B35" s="350" t="s">
        <v>260</v>
      </c>
      <c r="C35" s="352"/>
      <c r="D35" s="352"/>
      <c r="E35" s="352"/>
      <c r="F35" s="415"/>
      <c r="G35" s="415"/>
      <c r="H35" s="416"/>
      <c r="I35" s="416"/>
      <c r="K35" s="350"/>
      <c r="L35" s="350"/>
    </row>
    <row r="36" spans="1:18" x14ac:dyDescent="0.2">
      <c r="A36" s="304" t="s">
        <v>194</v>
      </c>
      <c r="B36" s="266" t="s">
        <v>196</v>
      </c>
      <c r="F36" s="415"/>
      <c r="G36" s="415"/>
      <c r="H36" s="416"/>
      <c r="I36" s="416"/>
      <c r="K36" s="304"/>
      <c r="L36" s="340"/>
      <c r="M36" s="340"/>
      <c r="N36" s="340"/>
      <c r="R36" s="316"/>
    </row>
    <row r="37" spans="1:18" x14ac:dyDescent="0.2">
      <c r="A37" s="304" t="s">
        <v>195</v>
      </c>
      <c r="B37" s="266" t="s">
        <v>198</v>
      </c>
      <c r="F37" s="415"/>
      <c r="G37" s="415"/>
      <c r="K37" s="316"/>
    </row>
    <row r="38" spans="1:18" x14ac:dyDescent="0.2">
      <c r="A38" s="304" t="s">
        <v>230</v>
      </c>
      <c r="B38" s="267" t="s">
        <v>197</v>
      </c>
      <c r="F38" s="415"/>
      <c r="G38" s="415"/>
      <c r="K38" s="316"/>
    </row>
    <row r="39" spans="1:18" x14ac:dyDescent="0.2">
      <c r="A39" s="305" t="s">
        <v>231</v>
      </c>
      <c r="B39" s="216" t="s">
        <v>7</v>
      </c>
      <c r="F39" s="419">
        <v>20</v>
      </c>
      <c r="G39" s="419"/>
    </row>
    <row r="40" spans="1:18" x14ac:dyDescent="0.2">
      <c r="A40" s="304" t="s">
        <v>232</v>
      </c>
      <c r="B40" s="216" t="s">
        <v>108</v>
      </c>
      <c r="F40" s="411"/>
      <c r="G40" s="411"/>
      <c r="H40" s="416"/>
      <c r="I40" s="416"/>
      <c r="J40" s="221" t="str">
        <f>IF(AND(ISNUMBER(B48),ISBLANK(DiscountRate)),"Error: Discount rate is required if more than one contract stage exists for project!","")</f>
        <v/>
      </c>
      <c r="K40" s="340"/>
    </row>
    <row r="41" spans="1:18" x14ac:dyDescent="0.2">
      <c r="A41" s="304" t="s">
        <v>259</v>
      </c>
      <c r="B41" s="216" t="s">
        <v>152</v>
      </c>
      <c r="F41" s="412"/>
      <c r="G41" s="412"/>
      <c r="H41" s="416"/>
      <c r="I41" s="416"/>
    </row>
    <row r="42" spans="1:18" s="223" customFormat="1" x14ac:dyDescent="0.2"/>
    <row r="43" spans="1:18" x14ac:dyDescent="0.2">
      <c r="A43" s="408" t="s">
        <v>6</v>
      </c>
      <c r="B43" s="409"/>
      <c r="C43" s="410"/>
      <c r="D43" s="408" t="s">
        <v>5</v>
      </c>
      <c r="E43" s="409"/>
      <c r="F43" s="409"/>
      <c r="G43" s="409"/>
      <c r="H43" s="409"/>
      <c r="I43" s="410"/>
    </row>
    <row r="44" spans="1:18" x14ac:dyDescent="0.2">
      <c r="A44" s="226"/>
      <c r="B44" s="227"/>
      <c r="C44" s="228"/>
      <c r="D44" s="427" t="s">
        <v>25</v>
      </c>
      <c r="E44" s="428"/>
      <c r="F44" s="429"/>
      <c r="G44" s="427" t="s">
        <v>24</v>
      </c>
      <c r="H44" s="428"/>
      <c r="I44" s="429"/>
    </row>
    <row r="45" spans="1:18" x14ac:dyDescent="0.2">
      <c r="A45" s="229"/>
      <c r="B45" s="230" t="s">
        <v>4</v>
      </c>
      <c r="C45" s="231" t="s">
        <v>11</v>
      </c>
      <c r="D45" s="430" t="s">
        <v>23</v>
      </c>
      <c r="E45" s="431"/>
      <c r="F45" s="232" t="s">
        <v>21</v>
      </c>
      <c r="G45" s="430" t="s">
        <v>23</v>
      </c>
      <c r="H45" s="432"/>
      <c r="I45" s="232" t="s">
        <v>21</v>
      </c>
    </row>
    <row r="46" spans="1:18" x14ac:dyDescent="0.2">
      <c r="A46" s="233" t="s">
        <v>12</v>
      </c>
      <c r="B46" s="234" t="s">
        <v>10</v>
      </c>
      <c r="C46" s="235" t="s">
        <v>20</v>
      </c>
      <c r="D46" s="236" t="str">
        <f>IF(OR(ProjectType="DTS Only",ProjectType="DTS and STS - (DFO)",ProjectType="DTS and STS (Dual-Use)"),"DTS","NA")</f>
        <v>DTS</v>
      </c>
      <c r="E46" s="237" t="str">
        <f>IF(OR(ProjectType="STS (Generator)",ProjectType="DTS and STS - (DFO)",ProjectType="DTS and STS (Dual-Use)"),"STS","NA")</f>
        <v>NA</v>
      </c>
      <c r="F46" s="238" t="s">
        <v>22</v>
      </c>
      <c r="G46" s="236" t="str">
        <f>IF(AND(OR(ProjectType="DTS Only",ProjectType="DTS and STS - (DFO)",ProjectType="DTS and STS (Dual-Use)"),NewOrExpansion="Expansion"),"DTS","NA")</f>
        <v>NA</v>
      </c>
      <c r="H46" s="237" t="str">
        <f>IF(AND(OR(ProjectType="STS (Generator)",ProjectType="DTS and STS - (DFO)",ProjectType="DTS and STS (Dual-Use)"),NewOrExpansion="Expansion"),"STS","NA")</f>
        <v>NA</v>
      </c>
      <c r="I46" s="238" t="s">
        <v>22</v>
      </c>
    </row>
    <row r="47" spans="1:18" x14ac:dyDescent="0.2">
      <c r="A47" s="239">
        <v>1</v>
      </c>
      <c r="B47" s="240">
        <f>DATE(YEAR(CommOperDate),MONTH(CommOperDate),1)</f>
        <v>1</v>
      </c>
      <c r="C47" s="241">
        <f>IF(ISNUMBER(B48),DAYS360(DATE(YEAR(B47),MONTH(B47),1),DATE(YEAR(B48),MONTH(B48),1))/30,MaxInvestTerm*12)</f>
        <v>240</v>
      </c>
      <c r="D47" s="188"/>
      <c r="E47" s="191"/>
      <c r="F47" s="192"/>
      <c r="G47" s="188"/>
      <c r="H47" s="191"/>
      <c r="I47" s="192"/>
      <c r="J47" s="221" t="str">
        <f>IF(AND(ProjectType="DTS Only",SUM(E47:E56,H47:H56)&gt;0),"Error: Project Type is DTS Only but STS Capacity exists in input table!","")</f>
        <v/>
      </c>
      <c r="K47" s="350"/>
      <c r="L47" s="349"/>
      <c r="M47" s="349"/>
    </row>
    <row r="48" spans="1:18" x14ac:dyDescent="0.2">
      <c r="A48" s="242">
        <f t="shared" ref="A48:A56" si="0">IF(ISNUMBER(B48),A47+1,0)</f>
        <v>0</v>
      </c>
      <c r="B48" s="187"/>
      <c r="C48" s="243">
        <f>IF(ISNUMBER(B49),DAYS360(DATE(YEAR(B48),MONTH(B48),1),DATE(YEAR(B49),MONTH(B49),1))/30,(MaxInvestTerm*12)-SUM(C$47:C47))</f>
        <v>0</v>
      </c>
      <c r="D48" s="189"/>
      <c r="E48" s="193"/>
      <c r="F48" s="194"/>
      <c r="G48" s="189"/>
      <c r="H48" s="193"/>
      <c r="I48" s="194"/>
      <c r="J48" s="221" t="str">
        <f>IF(AND(ProjectType="STS (Generator)",SUM(D47:D56,G47:G56)&gt;0),"Error: Project Type is STS (Generator) but DTS Capacity exists in input table!","")</f>
        <v/>
      </c>
    </row>
    <row r="49" spans="1:10" x14ac:dyDescent="0.2">
      <c r="A49" s="242">
        <f t="shared" si="0"/>
        <v>0</v>
      </c>
      <c r="B49" s="187"/>
      <c r="C49" s="243">
        <f>IF(ISNUMBER(B50),DAYS360(DATE(YEAR(B49),MONTH(B49),1),DATE(YEAR(B50),MONTH(B50),1))/30,(MaxInvestTerm*12)-SUM(C$47:C48))</f>
        <v>0</v>
      </c>
      <c r="D49" s="189"/>
      <c r="E49" s="193"/>
      <c r="F49" s="194"/>
      <c r="G49" s="189"/>
      <c r="H49" s="193"/>
      <c r="I49" s="194"/>
      <c r="J49" s="221" t="str">
        <f>IF(AND(NewOrExpansion="New Service",SUM(G47:H56)&gt;0),"Error: Service is New but Capacity exists prior to project!","")</f>
        <v/>
      </c>
    </row>
    <row r="50" spans="1:10" x14ac:dyDescent="0.2">
      <c r="A50" s="242">
        <f t="shared" si="0"/>
        <v>0</v>
      </c>
      <c r="B50" s="187"/>
      <c r="C50" s="243">
        <f>IF(ISNUMBER(B51),DAYS360(DATE(YEAR(B50),MONTH(B50),1),DATE(YEAR(B51),MONTH(B51),1))/30,(MaxInvestTerm*12)-SUM(C$47:C49))</f>
        <v>0</v>
      </c>
      <c r="D50" s="189"/>
      <c r="E50" s="193"/>
      <c r="F50" s="194"/>
      <c r="G50" s="189"/>
      <c r="H50" s="193"/>
      <c r="I50" s="194"/>
      <c r="J50" s="221" t="str">
        <f>IF(AND(NewOrExpansion="Expansion",SUM(G47:H56)&lt;=0),"Error: Service is Expansion but no Capacity exists prior to project!","")</f>
        <v/>
      </c>
    </row>
    <row r="51" spans="1:10" x14ac:dyDescent="0.2">
      <c r="A51" s="242">
        <f t="shared" si="0"/>
        <v>0</v>
      </c>
      <c r="B51" s="187"/>
      <c r="C51" s="243">
        <f>IF(ISNUMBER(B52),DAYS360(DATE(YEAR(B51),MONTH(B51),1),DATE(YEAR(B52),MONTH(B52),1))/30,(MaxInvestTerm*12)-SUM(C$47:C50))</f>
        <v>0</v>
      </c>
      <c r="D51" s="189"/>
      <c r="E51" s="193"/>
      <c r="F51" s="194"/>
      <c r="G51" s="189"/>
      <c r="H51" s="193"/>
      <c r="I51" s="194"/>
      <c r="J51" s="221" t="str">
        <f>IF(AND(OtherParticipant="No",SUM(F47:F56,I47:I56)&gt;0),"Error: No other participant at substation but Capacity exists for Other Participant!","")</f>
        <v/>
      </c>
    </row>
    <row r="52" spans="1:10" x14ac:dyDescent="0.2">
      <c r="A52" s="242">
        <f t="shared" si="0"/>
        <v>0</v>
      </c>
      <c r="B52" s="187"/>
      <c r="C52" s="243">
        <f>IF(ISNUMBER(B53),DAYS360(DATE(YEAR(B52),MONTH(B52),1),DATE(YEAR(B53),MONTH(B53),1))/30,(MaxInvestTerm*12)-SUM(C$47:C51))</f>
        <v>0</v>
      </c>
      <c r="D52" s="189"/>
      <c r="E52" s="193"/>
      <c r="F52" s="194"/>
      <c r="G52" s="189"/>
      <c r="H52" s="193"/>
      <c r="I52" s="194"/>
    </row>
    <row r="53" spans="1:10" x14ac:dyDescent="0.2">
      <c r="A53" s="242">
        <f t="shared" si="0"/>
        <v>0</v>
      </c>
      <c r="B53" s="187"/>
      <c r="C53" s="243">
        <f>IF(ISNUMBER(B54),DAYS360(DATE(YEAR(B53),MONTH(B53),1),DATE(YEAR(B54),MONTH(B54),1))/30,(MaxInvestTerm*12)-SUM(C$47:C52))</f>
        <v>0</v>
      </c>
      <c r="D53" s="189"/>
      <c r="E53" s="193"/>
      <c r="F53" s="194"/>
      <c r="G53" s="189"/>
      <c r="H53" s="193"/>
      <c r="I53" s="194"/>
    </row>
    <row r="54" spans="1:10" x14ac:dyDescent="0.2">
      <c r="A54" s="242">
        <f t="shared" si="0"/>
        <v>0</v>
      </c>
      <c r="B54" s="187"/>
      <c r="C54" s="243">
        <f>IF(ISNUMBER(B55),DAYS360(DATE(YEAR(B54),MONTH(B54),1),DATE(YEAR(B55),MONTH(B55),1))/30,(MaxInvestTerm*12)-SUM(C$47:C53))</f>
        <v>0</v>
      </c>
      <c r="D54" s="189"/>
      <c r="E54" s="193"/>
      <c r="F54" s="194"/>
      <c r="G54" s="189"/>
      <c r="H54" s="193"/>
      <c r="I54" s="194"/>
    </row>
    <row r="55" spans="1:10" x14ac:dyDescent="0.2">
      <c r="A55" s="242">
        <f t="shared" si="0"/>
        <v>0</v>
      </c>
      <c r="B55" s="187"/>
      <c r="C55" s="243">
        <f>IF(ISNUMBER(B56),DAYS360(DATE(YEAR(B55),MONTH(B55),1),DATE(YEAR(B56),MONTH(B56),1))/30,(MaxInvestTerm*12)-SUM(C$47:C54))</f>
        <v>0</v>
      </c>
      <c r="D55" s="189"/>
      <c r="E55" s="193"/>
      <c r="F55" s="194"/>
      <c r="G55" s="189"/>
      <c r="H55" s="193"/>
      <c r="I55" s="194"/>
    </row>
    <row r="56" spans="1:10" x14ac:dyDescent="0.2">
      <c r="A56" s="244">
        <f t="shared" si="0"/>
        <v>0</v>
      </c>
      <c r="B56" s="187"/>
      <c r="C56" s="245">
        <f>IF(ISNUMBER(A57),DAYS360(DATE(YEAR(B56),MONTH(B56),1),DATE(YEAR(A57),MONTH(A57),1))/30,(MaxInvestTerm*12)-SUM(C$47:C55))</f>
        <v>0</v>
      </c>
      <c r="D56" s="190"/>
      <c r="E56" s="195"/>
      <c r="F56" s="196"/>
      <c r="G56" s="190"/>
      <c r="H56" s="195"/>
      <c r="I56" s="196"/>
    </row>
    <row r="57" spans="1:10" x14ac:dyDescent="0.2">
      <c r="A57" s="246"/>
      <c r="B57" s="247" t="s">
        <v>8</v>
      </c>
      <c r="C57" s="248">
        <f>SUM(C47:C56)</f>
        <v>240</v>
      </c>
      <c r="D57" s="220"/>
      <c r="E57" s="220"/>
      <c r="F57" s="220"/>
      <c r="G57" s="220"/>
      <c r="H57" s="220"/>
    </row>
  </sheetData>
  <mergeCells count="47">
    <mergeCell ref="D44:F44"/>
    <mergeCell ref="G44:I44"/>
    <mergeCell ref="D45:E45"/>
    <mergeCell ref="F38:G38"/>
    <mergeCell ref="H30:I30"/>
    <mergeCell ref="H41:I41"/>
    <mergeCell ref="H40:I40"/>
    <mergeCell ref="G45:H45"/>
    <mergeCell ref="F35:G35"/>
    <mergeCell ref="H35:I35"/>
    <mergeCell ref="A8:I8"/>
    <mergeCell ref="H34:I34"/>
    <mergeCell ref="C10:G10"/>
    <mergeCell ref="C11:G11"/>
    <mergeCell ref="C12:D12"/>
    <mergeCell ref="C13:D13"/>
    <mergeCell ref="H27:I27"/>
    <mergeCell ref="H29:I29"/>
    <mergeCell ref="F18:G18"/>
    <mergeCell ref="F19:G19"/>
    <mergeCell ref="F32:G32"/>
    <mergeCell ref="F16:G16"/>
    <mergeCell ref="F13:G13"/>
    <mergeCell ref="F12:G12"/>
    <mergeCell ref="F17:G17"/>
    <mergeCell ref="H22:I22"/>
    <mergeCell ref="H21:I21"/>
    <mergeCell ref="F22:G22"/>
    <mergeCell ref="F27:G27"/>
    <mergeCell ref="F28:G28"/>
    <mergeCell ref="F39:G39"/>
    <mergeCell ref="F26:G26"/>
    <mergeCell ref="H32:I32"/>
    <mergeCell ref="H26:I26"/>
    <mergeCell ref="F23:G23"/>
    <mergeCell ref="F24:G24"/>
    <mergeCell ref="F25:G25"/>
    <mergeCell ref="F29:G29"/>
    <mergeCell ref="A43:C43"/>
    <mergeCell ref="D43:I43"/>
    <mergeCell ref="F40:G40"/>
    <mergeCell ref="F41:G41"/>
    <mergeCell ref="F30:G30"/>
    <mergeCell ref="F31:G31"/>
    <mergeCell ref="F36:G36"/>
    <mergeCell ref="F37:G37"/>
    <mergeCell ref="H36:I36"/>
  </mergeCells>
  <phoneticPr fontId="5" type="noConversion"/>
  <conditionalFormatting sqref="H47:H56">
    <cfRule type="expression" dxfId="66" priority="1" stopIfTrue="1">
      <formula>$H$46&lt;&gt;"STS"</formula>
    </cfRule>
  </conditionalFormatting>
  <conditionalFormatting sqref="D46 G46">
    <cfRule type="cellIs" dxfId="65" priority="2" stopIfTrue="1" operator="notEqual">
      <formula>"DTS"</formula>
    </cfRule>
  </conditionalFormatting>
  <conditionalFormatting sqref="D47:D56">
    <cfRule type="expression" dxfId="64" priority="3" stopIfTrue="1">
      <formula>$D$46&lt;&gt;"DTS"</formula>
    </cfRule>
  </conditionalFormatting>
  <conditionalFormatting sqref="E47:E56">
    <cfRule type="expression" dxfId="63" priority="4" stopIfTrue="1">
      <formula>$E$46&lt;&gt;"STS"</formula>
    </cfRule>
  </conditionalFormatting>
  <conditionalFormatting sqref="H46 E46">
    <cfRule type="cellIs" dxfId="62" priority="5" stopIfTrue="1" operator="notEqual">
      <formula>"STS"</formula>
    </cfRule>
  </conditionalFormatting>
  <conditionalFormatting sqref="G47:G56">
    <cfRule type="expression" dxfId="61" priority="6" stopIfTrue="1">
      <formula>$G$46&lt;&gt;"DTS"</formula>
    </cfRule>
  </conditionalFormatting>
  <conditionalFormatting sqref="F47:F56">
    <cfRule type="expression" dxfId="60" priority="7" stopIfTrue="1">
      <formula>OtherParticipant="No"</formula>
    </cfRule>
  </conditionalFormatting>
  <conditionalFormatting sqref="F16:G16">
    <cfRule type="expression" dxfId="59" priority="8" stopIfTrue="1">
      <formula>AND(NewOrExpansion="Expansion",NewOrExistingSub="New Substation")</formula>
    </cfRule>
  </conditionalFormatting>
  <conditionalFormatting sqref="I47:I56">
    <cfRule type="expression" dxfId="58" priority="9" stopIfTrue="1">
      <formula>OR(NewOrExistingSub="New Substation",OtherParticipant="No")</formula>
    </cfRule>
  </conditionalFormatting>
  <conditionalFormatting sqref="F17:G17">
    <cfRule type="expression" dxfId="57" priority="10" stopIfTrue="1">
      <formula>AND(NewOrExpansion="Expansion",NewOrExistingSub="New Substation")</formula>
    </cfRule>
    <cfRule type="expression" dxfId="56" priority="11" stopIfTrue="1">
      <formula>AND(NewOrExpansion="New Service",NewOrExistingSub="Existing Substation",OtherParticipant="No")</formula>
    </cfRule>
  </conditionalFormatting>
  <conditionalFormatting sqref="F19:G19">
    <cfRule type="expression" dxfId="55" priority="12" stopIfTrue="1">
      <formula>AND(NewOrExpansion="New Service",NewOrExistingSub="Existing Substation",OtherParticipant="No")</formula>
    </cfRule>
  </conditionalFormatting>
  <conditionalFormatting sqref="F32:G32">
    <cfRule type="expression" dxfId="54" priority="14" stopIfTrue="1">
      <formula>AND(F29&gt;0,OR(ISBLANK(F32),F32=0))</formula>
    </cfRule>
  </conditionalFormatting>
  <conditionalFormatting sqref="F40:G40">
    <cfRule type="expression" dxfId="53" priority="15" stopIfTrue="1">
      <formula>AND(ISNUMBER(B48),ISBLANK(DiscountRate))</formula>
    </cfRule>
  </conditionalFormatting>
  <conditionalFormatting sqref="F18:G18">
    <cfRule type="expression" dxfId="52" priority="16" stopIfTrue="1">
      <formula>LEFT($J$18,5)="Error"</formula>
    </cfRule>
  </conditionalFormatting>
  <conditionalFormatting sqref="F12:G12">
    <cfRule type="expression" dxfId="51" priority="34" stopIfTrue="1">
      <formula>OR(LEFT(#REF!,5)="Error",LEFT(#REF!,5)="Error")</formula>
    </cfRule>
  </conditionalFormatting>
  <dataValidations xWindow="521" yWindow="566" count="32">
    <dataValidation type="list" showInputMessage="1" showErrorMessage="1" errorTitle="Type of Service" error="Please select type of service from list." promptTitle="Type of Service" prompt="Select type of system access service being provided to market participant." sqref="F12:G12" xr:uid="{00000000-0002-0000-0400-000000000000}">
      <formula1>"DTS Only, STS (Generator), DTS and STS - (DFO), DTS and STS (Dual-Use)"</formula1>
    </dataValidation>
    <dataValidation type="whole" showInputMessage="1" showErrorMessage="1" errorTitle="Maximum Investment Term" error="Maximum term must be between 5 and 20 years inclusive." promptTitle="Maximum Investment Term" prompt="Maximum investment term is almost always 20 years. However, if the service will be discontinued in less than 20 years, enter the expected life of the service (but not less than 5 years)." sqref="F39:G39" xr:uid="{00000000-0002-0000-0400-000001000000}">
      <formula1>5</formula1>
      <formula2>20</formula2>
    </dataValidation>
    <dataValidation allowBlank="1" showInputMessage="1" showErrorMessage="1" promptTitle="Market Participant" prompt="Enter name of market participant who is receiving system access service and who will sign the system access service agreement for this project." sqref="C10:G10" xr:uid="{00000000-0002-0000-0400-000002000000}"/>
    <dataValidation allowBlank="1" showInputMessage="1" showErrorMessage="1" promptTitle="Project Name" prompt="Enter name of connection project, including substation number if applicable." sqref="C11:G11" xr:uid="{00000000-0002-0000-0400-000003000000}"/>
    <dataValidation allowBlank="1" showInputMessage="1" showErrorMessage="1" promptTitle="Project Number" prompt="Enter project number (3 or 4 digits) for connection project." sqref="C12:D12" xr:uid="{00000000-0002-0000-0400-000004000000}"/>
    <dataValidation allowBlank="1" showInputMessage="1" showErrorMessage="1" promptTitle="Preparer Name" prompt="Enter your name." sqref="C13:D13" xr:uid="{00000000-0002-0000-0400-000005000000}"/>
    <dataValidation allowBlank="1" showInputMessage="1" showErrorMessage="1" promptTitle="Preparation Date" prompt="Enter date on which this contribution calculation is being prepared." sqref="F13:G13" xr:uid="{00000000-0002-0000-0400-000006000000}"/>
    <dataValidation type="list" showInputMessage="1" showErrorMessage="1" promptTitle="New Service or Expansion?" prompt="Select whether service is a new point of delivery or point of supply or an expansion (increase of capacity or improvement) to an existing point of delivery or point of supply." sqref="F16:G16" xr:uid="{00000000-0002-0000-0400-000007000000}">
      <formula1>"New Service, Expansion"</formula1>
    </dataValidation>
    <dataValidation type="decimal" allowBlank="1" showInputMessage="1" showErrorMessage="1" errorTitle="Invalid Data" error="Discount rate must be between 4% and 12%." promptTitle="Discount Rate" prompt="Enter the discount rate determined in accordance with section 4.9 of the ISO tariff." sqref="F40:G40" xr:uid="{00000000-0002-0000-0400-000008000000}">
      <formula1>0.04</formula1>
      <formula2>0.12</formula2>
    </dataValidation>
    <dataValidation type="list" showInputMessage="1" showErrorMessage="1" promptTitle="New or Existing Substation?" prompt="Select whether a new substation will be constructed for the service or whether the service will be at an existing substation." sqref="F17:G17" xr:uid="{00000000-0002-0000-0400-000009000000}">
      <formula1>"New Substation, Existing Substation"</formula1>
    </dataValidation>
    <dataValidation type="list" showInputMessage="1" showErrorMessage="1" promptTitle="Primary Service Credit" prompt="Select Yes if the market participant will own and operate its own transformer facilities or if service will be provided through an unconventional connection." sqref="F18:G18" xr:uid="{00000000-0002-0000-0400-00000A000000}">
      <formula1>"Yes, No"</formula1>
    </dataValidation>
    <dataValidation type="list" showInputMessage="1" showErrorMessage="1" promptTitle="Other Market Participants" prompt="Select Yes if one or more other market participants receive service at the same saubstation under either Rate DTS or Rate STS." sqref="F19:G19" xr:uid="{00000000-0002-0000-0400-00000B000000}">
      <formula1>"Yes, No"</formula1>
    </dataValidation>
    <dataValidation type="whole" operator="greaterThanOrEqual" allowBlank="1" showInputMessage="1" showErrorMessage="1" error="Must be entered as a whole number, greater than or equal to zero." promptTitle="Connection Costs" prompt="Enter the costs of all facilities that are required to provide the system access service and that will be owned and operated by a transmission facility owner." sqref="F22:G22" xr:uid="{00000000-0002-0000-0400-00000C000000}">
      <formula1>0</formula1>
    </dataValidation>
    <dataValidation type="whole" operator="greaterThanOrEqual" allowBlank="1" showInputMessage="1" showErrorMessage="1" promptTitle="Shared Costs" prompt="Enter costs allocated to the market participant as a share of existing transmission facilities constructed to connect another market participant, if any." sqref="F26:G26" xr:uid="{00000000-0002-0000-0400-00000D000000}">
      <formula1>0</formula1>
    </dataValidation>
    <dataValidation type="whole" operator="greaterThanOrEqual" allowBlank="1" showInputMessage="1" showErrorMessage="1" promptTitle="System-Related Costs" prompt="Enter any costs of the connection project that are considered to be system-related rather than participant-related." sqref="F27:G27" xr:uid="{00000000-0002-0000-0400-00000E000000}">
      <formula1>0</formula1>
    </dataValidation>
    <dataValidation type="whole" operator="greaterThanOrEqual" allowBlank="1" showInputMessage="1" showErrorMessage="1" promptTitle="Facilities in Excess" prompt="Enter the cost of facilities which are deemed to be in excess of those required by good electric industry practice." sqref="F29:G29" xr:uid="{00000000-0002-0000-0400-00000F000000}">
      <formula1>0</formula1>
    </dataValidation>
    <dataValidation type="whole" operator="greaterThanOrEqual" allowBlank="1" showInputMessage="1" showErrorMessage="1" promptTitle="Replaced Transformer" prompt="Enter the replacement cost new of a transformer removed from service to be replaced by a larger transformer." sqref="F30:G30" xr:uid="{00000000-0002-0000-0400-000010000000}">
      <formula1>0</formula1>
    </dataValidation>
    <dataValidation type="whole" operator="greaterThanOrEqual" allowBlank="1" showInputMessage="1" showErrorMessage="1" promptTitle="Previous Contribution" prompt="Enter the net amount of any construction contribution(s) previously paid for this connection project, but only when reconciling to final costs or calculating an adjustment after energization." sqref="F41:G41" xr:uid="{00000000-0002-0000-0400-000011000000}">
      <formula1>0</formula1>
    </dataValidation>
    <dataValidation type="decimal" operator="greaterThanOrEqual" allowBlank="1" showInputMessage="1" showErrorMessage="1" errorTitle="Invalid Capacity" error="Contract capacity must be 0 MW or greater." promptTitle="Rate DTS Capacity" prompt="Enter the amount, in MW, of contract capacity under Rate DTS that will be contracted for after the connection project is complete. The total (not incremental) amount should be entered for each contract stage." sqref="D47:D56" xr:uid="{00000000-0002-0000-0400-000012000000}">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ill be contracted for after the connection project is complete. The total (not incremental) amount should be entered for each contract stage." sqref="E47:E56" xr:uid="{00000000-0002-0000-0400-000013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contracted under Rates DTS and STS by other market participant(s) at the substation after the connection project is complete." sqref="F47:F56" xr:uid="{00000000-0002-0000-0400-000014000000}">
      <formula1>0</formula1>
    </dataValidation>
    <dataValidation type="decimal" operator="greaterThanOrEqual" allowBlank="1" showInputMessage="1" showErrorMessage="1" errorTitle="Invalid Capacity" error="Contract capacity must be 0 MW or greater." promptTitle="Rate DTS Contract Capacity" prompt="Enter the amount, in MW, of contract capacity under Rate DTS that was previously contracted for, if any, before the connection project. The total (not incremental) amount should be entered for each contract stage." sqref="G47:G56" xr:uid="{00000000-0002-0000-0400-000015000000}">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as previously contracted for, if any, before the connection project. The total (not incremental) amount should be entered for each contract stage." sqref="H47:H56" xr:uid="{00000000-0002-0000-0400-000016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previously contracted, if any, under Rates DTS and STS by other market participant(s) at the substation before the connection project." sqref="I47:I56" xr:uid="{00000000-0002-0000-0400-000017000000}">
      <formula1>0</formula1>
    </dataValidation>
    <dataValidation type="whole" operator="greaterThanOrEqual" allowBlank="1" showInputMessage="1" showErrorMessage="1" promptTitle="Operations and Maintenance" prompt="Enter operations and maintenance charge estimated by market participant for facilities in excess of good electric industry practice, if any." sqref="F32:G32" xr:uid="{00000000-0002-0000-0400-000018000000}">
      <formula1>0</formula1>
    </dataValidation>
    <dataValidation type="date" operator="greaterThan" allowBlank="1" showInputMessage="1" showErrorMessage="1" errorTitle="Invalid Date" error="Date must be after effective date of the selection ISO Tariff in cell I4." promptTitle="Start Date" prompt="Enter the start date of any increases or decreases in contract capacity after the date of commercial operation, in format “yyyy-mm-dd”." sqref="B48:B56" xr:uid="{00000000-0002-0000-0400-000019000000}">
      <formula1>$I$11</formula1>
    </dataValidation>
    <dataValidation type="whole" operator="greaterThanOrEqual" allowBlank="1" showInputMessage="1" showErrorMessage="1" error="Must be entered as a whole number, greater than or equal to zero." promptTitle="Advancement Costs" prompt="Enter costs associated with the advancement of system transmission facilites required to accomodate the connection project requesting demand transmission service, which the ISO calculates, using the discount rate." sqref="F23:G23" xr:uid="{00000000-0002-0000-0400-00001A000000}">
      <formula1>0</formula1>
    </dataValidation>
    <dataValidation type="whole" operator="greaterThanOrEqual" allowBlank="1" showInputMessage="1" showErrorMessage="1" error="Must be entered as a whole number, greater than or equal to zero." promptTitle="Avoidable Construction Costs" prompt="Enter the avoidable construction costs, which the ISO determines could be avoided by delaying the completion of construction of system transmission facilities." sqref="F24:G24" xr:uid="{00000000-0002-0000-0400-00001B000000}">
      <formula1>0</formula1>
    </dataValidation>
    <dataValidation type="date" operator="greaterThanOrEqual" allowBlank="1" showInputMessage="1" showErrorMessage="1" errorTitle="Invalid Date" error="Date must be after the effective date of the selected tariff." promptTitle="Energization Authorization Date" prompt="Enter the date on which the AESO expects to issue or has issued energization authorization for the connection project, in format “yyyy-mm-dd”." sqref="F37:G37" xr:uid="{00000000-0002-0000-0400-00001C000000}">
      <formula1>I11</formula1>
    </dataValidation>
    <dataValidation type="date" operator="greaterThanOrEqual" allowBlank="1" showInputMessage="1" showErrorMessage="1" errorTitle="Invalid Date" error="Date must be after the effective date of the selected tariff." promptTitle="Permit and Licence Date" prompt="Enter the date on which the Commission issued permit and licence for the connection project, in format “yyyy-mm-dd”. If permit and licence has not been issued yet, enter “Not  yet applied for” or “Not yet received” in reference field, as appropriate." sqref="F36:G36" xr:uid="{00000000-0002-0000-0400-00001D000000}">
      <formula1>I11</formula1>
    </dataValidation>
    <dataValidation type="date" operator="greaterThanOrEqual" allowBlank="1" showInputMessage="1" showErrorMessage="1" errorTitle="Invalid Date" error="Date must be after the effective date of the selected tariff." promptTitle="Commercial Operation Date" prompt="Enter the expected or actual date of commercial operation of the connection project, in format “yyyy-mm-dd”." sqref="F38:G38" xr:uid="{00000000-0002-0000-0400-00001E000000}">
      <formula1>I11</formula1>
    </dataValidation>
    <dataValidation type="whole" operator="greaterThanOrEqual" allowBlank="1" showInputMessage="1" showErrorMessage="1" error="Must be entered as a whole number, greater than or equal to zero." promptTitle="Other Costs" prompt="All other transmission costs (including the costs of any non-wires solutions) not included in subsections 3.4(1)(a)(i), (ii) and (iii) of the ISO Tariff. " sqref="F25:G25" xr:uid="{00000000-0002-0000-0400-00001F000000}">
      <formula1>0</formula1>
    </dataValidation>
  </dataValidations>
  <pageMargins left="0.75" right="0.75" top="0.5" bottom="0.85" header="0.5" footer="0.5"/>
  <pageSetup scale="88" orientation="portrait" r:id="rId1"/>
  <headerFooter alignWithMargins="0">
    <oddFooter>&amp;L&amp;8Appendix to Contribution Calculator for 2021 Tariff (AESO ID No. 2021-016T)
Filename: &amp;F — Page &amp;P of &amp;N&amp;R&amp;8Confidentiality: Proprietary When Competed</oddFooter>
  </headerFooter>
  <drawing r:id="rId2"/>
  <extLst>
    <ext xmlns:x14="http://schemas.microsoft.com/office/spreadsheetml/2009/9/main" uri="{CCE6A557-97BC-4b89-ADB6-D9C93CAAB3DF}">
      <x14:dataValidations xmlns:xm="http://schemas.microsoft.com/office/excel/2006/main" xWindow="521" yWindow="566" count="1">
        <x14:dataValidation type="list" allowBlank="1" showInputMessage="1" showErrorMessage="1" xr:uid="{00000000-0002-0000-0400-000020000000}">
          <x14:formula1>
            <xm:f>'Investment Lookup'!$A$3:$A$30</xm:f>
          </x14:formula1>
          <xm:sqref>I10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2"/>
  <sheetViews>
    <sheetView showGridLines="0" zoomScaleNormal="100" workbookViewId="0">
      <selection activeCell="L16" sqref="L16"/>
    </sheetView>
  </sheetViews>
  <sheetFormatPr defaultRowHeight="12.75" x14ac:dyDescent="0.2"/>
  <cols>
    <col min="1" max="1" width="8.5703125" customWidth="1"/>
    <col min="2" max="2" width="8.140625" customWidth="1"/>
    <col min="3" max="3" width="15.5703125" customWidth="1"/>
    <col min="4" max="5" width="8" customWidth="1"/>
    <col min="6" max="7" width="12.7109375" customWidth="1"/>
    <col min="8" max="8" width="11.7109375" customWidth="1"/>
    <col min="9" max="9" width="10.7109375" customWidth="1"/>
  </cols>
  <sheetData>
    <row r="1" spans="1:13" s="306" customFormat="1" x14ac:dyDescent="0.2"/>
    <row r="2" spans="1:13" s="306" customFormat="1" x14ac:dyDescent="0.2"/>
    <row r="3" spans="1:13" s="306" customFormat="1" x14ac:dyDescent="0.2"/>
    <row r="4" spans="1:13" s="306" customFormat="1" x14ac:dyDescent="0.2"/>
    <row r="5" spans="1:13" s="306" customFormat="1" x14ac:dyDescent="0.2"/>
    <row r="6" spans="1:13" s="306" customFormat="1" x14ac:dyDescent="0.2"/>
    <row r="7" spans="1:13" s="137" customFormat="1" ht="18.75" x14ac:dyDescent="0.4">
      <c r="A7" s="433" t="s">
        <v>325</v>
      </c>
      <c r="B7" s="433"/>
      <c r="C7" s="433"/>
      <c r="D7" s="433"/>
      <c r="E7" s="433"/>
      <c r="F7" s="433"/>
      <c r="G7" s="433"/>
      <c r="H7" s="433"/>
      <c r="I7" s="433"/>
    </row>
    <row r="8" spans="1:13" s="138" customFormat="1" ht="8.25" x14ac:dyDescent="0.15"/>
    <row r="9" spans="1:13" x14ac:dyDescent="0.2">
      <c r="A9" s="307" t="s">
        <v>341</v>
      </c>
      <c r="C9" s="443" t="str">
        <f>ParticipantName</f>
        <v>Name of Market Participant</v>
      </c>
      <c r="D9" s="443"/>
      <c r="E9" s="443"/>
      <c r="F9" s="443"/>
      <c r="G9" s="443"/>
      <c r="H9" s="3" t="s">
        <v>0</v>
      </c>
      <c r="I9" t="str">
        <f>'A1 Costs and Contract'!I10</f>
        <v>AESO 2021</v>
      </c>
    </row>
    <row r="10" spans="1:13" x14ac:dyDescent="0.2">
      <c r="A10" s="307" t="s">
        <v>321</v>
      </c>
      <c r="C10" s="443" t="str">
        <f>ProjectName</f>
        <v>Project Name</v>
      </c>
      <c r="D10" s="443"/>
      <c r="E10" s="443"/>
      <c r="F10" s="443"/>
      <c r="G10" s="443"/>
      <c r="H10" s="3" t="s">
        <v>1</v>
      </c>
      <c r="I10" s="400">
        <f>'A1 Costs and Contract'!I11</f>
        <v>44197</v>
      </c>
    </row>
    <row r="11" spans="1:13" x14ac:dyDescent="0.2">
      <c r="A11" s="307" t="s">
        <v>331</v>
      </c>
      <c r="C11" s="444" t="str">
        <f>ProjectNumber</f>
        <v>Project Number</v>
      </c>
      <c r="D11" s="444"/>
      <c r="E11" s="121" t="s">
        <v>2</v>
      </c>
      <c r="F11" s="444" t="str">
        <f>ProjectType</f>
        <v>DTS Only</v>
      </c>
      <c r="G11" s="444"/>
      <c r="H11" s="3" t="s">
        <v>13</v>
      </c>
      <c r="I11" s="401" t="str">
        <f>'A1 Costs and Contract'!I12</f>
        <v>Current</v>
      </c>
    </row>
    <row r="12" spans="1:13" x14ac:dyDescent="0.2">
      <c r="A12" t="s">
        <v>61</v>
      </c>
      <c r="C12" s="444" t="str">
        <f>PreparerName</f>
        <v>Name of Preparer</v>
      </c>
      <c r="D12" s="444"/>
      <c r="E12" s="121" t="s">
        <v>62</v>
      </c>
      <c r="F12" s="445" t="str">
        <f>PreparationDate</f>
        <v>Date Prepared</v>
      </c>
      <c r="G12" s="445"/>
      <c r="H12" s="109" t="s">
        <v>204</v>
      </c>
      <c r="I12" s="110" t="str">
        <f>'A1 Costs and Contract'!I13</f>
        <v>2021.0.0</v>
      </c>
    </row>
    <row r="13" spans="1:13" ht="6.75" customHeight="1" x14ac:dyDescent="0.2"/>
    <row r="14" spans="1:13" s="1" customFormat="1" x14ac:dyDescent="0.2">
      <c r="A14" s="127" t="s">
        <v>78</v>
      </c>
      <c r="B14" s="446" t="s">
        <v>63</v>
      </c>
      <c r="C14" s="446"/>
      <c r="D14" s="446" t="s">
        <v>64</v>
      </c>
      <c r="E14" s="446"/>
      <c r="F14" s="446" t="s">
        <v>65</v>
      </c>
      <c r="G14" s="464"/>
      <c r="H14" s="464"/>
      <c r="I14" s="139" t="s">
        <v>129</v>
      </c>
      <c r="K14" s="336"/>
      <c r="L14" s="337"/>
      <c r="M14" s="337"/>
    </row>
    <row r="15" spans="1:13" s="111" customFormat="1" ht="18" customHeight="1" x14ac:dyDescent="0.2">
      <c r="A15" s="134" t="s">
        <v>79</v>
      </c>
      <c r="B15" s="434" t="s">
        <v>226</v>
      </c>
      <c r="C15" s="459"/>
      <c r="D15" s="434" t="str">
        <f>IF(ISTEXT('A1 Costs and Contract'!H22),'A1 Costs and Contract'!H22,"")</f>
        <v/>
      </c>
      <c r="E15" s="434"/>
      <c r="F15" s="353"/>
      <c r="G15" s="354">
        <f>'A1 Costs and Contract'!F22</f>
        <v>0</v>
      </c>
      <c r="H15" s="355"/>
      <c r="I15" s="356" t="s">
        <v>246</v>
      </c>
      <c r="J15" s="322"/>
      <c r="K15" s="318"/>
    </row>
    <row r="16" spans="1:13" s="308" customFormat="1" ht="25.5" customHeight="1" x14ac:dyDescent="0.2">
      <c r="A16" s="319" t="s">
        <v>80</v>
      </c>
      <c r="B16" s="467" t="s">
        <v>237</v>
      </c>
      <c r="C16" s="468"/>
      <c r="D16" s="470"/>
      <c r="E16" s="471"/>
      <c r="F16" s="357"/>
      <c r="G16" s="358">
        <f>'A1 Costs and Contract'!F23</f>
        <v>0</v>
      </c>
      <c r="H16" s="359"/>
      <c r="I16" s="360" t="s">
        <v>247</v>
      </c>
      <c r="J16" s="322"/>
      <c r="K16" s="318"/>
    </row>
    <row r="17" spans="1:12" s="308" customFormat="1" ht="25.5" customHeight="1" x14ac:dyDescent="0.2">
      <c r="A17" s="317" t="s">
        <v>81</v>
      </c>
      <c r="B17" s="469" t="s">
        <v>238</v>
      </c>
      <c r="C17" s="468"/>
      <c r="D17" s="470"/>
      <c r="E17" s="471"/>
      <c r="F17" s="357"/>
      <c r="G17" s="358">
        <f>'A1 Costs and Contract'!F24</f>
        <v>0</v>
      </c>
      <c r="H17" s="359"/>
      <c r="I17" s="360" t="s">
        <v>248</v>
      </c>
      <c r="J17" s="322"/>
      <c r="K17" s="318"/>
    </row>
    <row r="18" spans="1:12" s="308" customFormat="1" ht="25.5" customHeight="1" x14ac:dyDescent="0.2">
      <c r="A18" s="317" t="s">
        <v>82</v>
      </c>
      <c r="B18" s="470" t="s">
        <v>239</v>
      </c>
      <c r="C18" s="471"/>
      <c r="D18" s="470"/>
      <c r="E18" s="471"/>
      <c r="F18" s="357"/>
      <c r="G18" s="358">
        <f>'A1 Costs and Contract'!F25</f>
        <v>0</v>
      </c>
      <c r="H18" s="359"/>
      <c r="I18" s="361" t="s">
        <v>254</v>
      </c>
      <c r="J18" s="322"/>
      <c r="K18" s="318"/>
    </row>
    <row r="19" spans="1:12" s="111" customFormat="1" ht="25.5" customHeight="1" x14ac:dyDescent="0.2">
      <c r="A19" s="314" t="s">
        <v>83</v>
      </c>
      <c r="B19" s="465" t="s">
        <v>176</v>
      </c>
      <c r="C19" s="465"/>
      <c r="D19" s="466" t="str">
        <f>IF(ISTEXT('A1 Costs and Contract'!H26),'A1 Costs and Contract'!H26,"")</f>
        <v/>
      </c>
      <c r="E19" s="466"/>
      <c r="F19" s="362"/>
      <c r="G19" s="358">
        <f>'A1 Costs and Contract'!F26</f>
        <v>0</v>
      </c>
      <c r="H19" s="363"/>
      <c r="I19" s="364" t="s">
        <v>249</v>
      </c>
      <c r="J19" s="322"/>
    </row>
    <row r="20" spans="1:12" s="111" customFormat="1" ht="25.5" customHeight="1" x14ac:dyDescent="0.2">
      <c r="A20" s="312" t="s">
        <v>84</v>
      </c>
      <c r="B20" s="453" t="s">
        <v>66</v>
      </c>
      <c r="C20" s="453"/>
      <c r="D20" s="456" t="str">
        <f>IF(ISTEXT('A1 Costs and Contract'!H27),'A1 Costs and Contract'!H27,"")</f>
        <v/>
      </c>
      <c r="E20" s="456"/>
      <c r="F20" s="365"/>
      <c r="G20" s="366">
        <f>'A1 Costs and Contract'!F27</f>
        <v>0</v>
      </c>
      <c r="H20" s="367"/>
      <c r="I20" s="368" t="s">
        <v>250</v>
      </c>
      <c r="J20" s="322"/>
    </row>
    <row r="21" spans="1:12" s="111" customFormat="1" ht="27.75" customHeight="1" x14ac:dyDescent="0.2">
      <c r="A21" s="320" t="s">
        <v>85</v>
      </c>
      <c r="B21" s="459" t="s">
        <v>51</v>
      </c>
      <c r="C21" s="459"/>
      <c r="D21" s="434" t="s">
        <v>241</v>
      </c>
      <c r="E21" s="434"/>
      <c r="F21" s="369"/>
      <c r="G21" s="354">
        <f>G15+G16+G17+G18+G19-G20</f>
        <v>0</v>
      </c>
      <c r="H21" s="370"/>
      <c r="I21" s="371" t="s">
        <v>251</v>
      </c>
      <c r="J21" s="322"/>
      <c r="K21" s="322"/>
    </row>
    <row r="22" spans="1:12" s="111" customFormat="1" ht="25.5" customHeight="1" x14ac:dyDescent="0.2">
      <c r="A22" s="317" t="s">
        <v>86</v>
      </c>
      <c r="B22" s="477" t="s">
        <v>124</v>
      </c>
      <c r="C22" s="465"/>
      <c r="D22" s="466" t="str">
        <f>IF(ISTEXT('A1 Costs and Contract'!H29),'A1 Costs and Contract'!H29,"")</f>
        <v/>
      </c>
      <c r="E22" s="466"/>
      <c r="F22" s="372"/>
      <c r="G22" s="358">
        <f>'A1 Costs and Contract'!F29</f>
        <v>0</v>
      </c>
      <c r="H22" s="373"/>
      <c r="I22" s="364">
        <v>4.3</v>
      </c>
      <c r="J22" s="323"/>
    </row>
    <row r="23" spans="1:12" s="111" customFormat="1" ht="25.5" customHeight="1" x14ac:dyDescent="0.2">
      <c r="A23" s="321" t="s">
        <v>87</v>
      </c>
      <c r="B23" s="453" t="s">
        <v>67</v>
      </c>
      <c r="C23" s="453"/>
      <c r="D23" s="456" t="str">
        <f>IF(ISTEXT('A1 Costs and Contract'!H30),'A1 Costs and Contract'!H30,"")</f>
        <v/>
      </c>
      <c r="E23" s="456"/>
      <c r="F23" s="365"/>
      <c r="G23" s="366">
        <f>'A1 Costs and Contract'!F30</f>
        <v>0</v>
      </c>
      <c r="H23" s="367"/>
      <c r="I23" s="368">
        <v>4.4000000000000004</v>
      </c>
      <c r="J23" s="322"/>
    </row>
    <row r="24" spans="1:12" s="111" customFormat="1" ht="25.5" customHeight="1" x14ac:dyDescent="0.2">
      <c r="A24" s="136" t="s">
        <v>88</v>
      </c>
      <c r="B24" s="478" t="s">
        <v>125</v>
      </c>
      <c r="C24" s="478"/>
      <c r="D24" s="455" t="s">
        <v>242</v>
      </c>
      <c r="E24" s="479"/>
      <c r="F24" s="374"/>
      <c r="G24" s="375">
        <f>G21-G22-G23</f>
        <v>0</v>
      </c>
      <c r="H24" s="376"/>
      <c r="I24" s="377">
        <v>4.5</v>
      </c>
      <c r="J24" s="322"/>
    </row>
    <row r="25" spans="1:12" ht="6" customHeight="1" x14ac:dyDescent="0.2">
      <c r="B25" s="378"/>
      <c r="C25" s="378"/>
      <c r="D25" s="378"/>
      <c r="E25" s="378"/>
      <c r="F25" s="378"/>
      <c r="G25" s="378"/>
      <c r="H25" s="378"/>
      <c r="I25" s="378"/>
    </row>
    <row r="26" spans="1:12" s="112" customFormat="1" x14ac:dyDescent="0.2">
      <c r="A26"/>
      <c r="B26" s="378"/>
      <c r="C26" s="378"/>
      <c r="D26" s="378"/>
      <c r="E26" s="378"/>
      <c r="F26" s="472" t="s">
        <v>122</v>
      </c>
      <c r="G26" s="473"/>
      <c r="H26" s="474" t="s">
        <v>123</v>
      </c>
      <c r="I26" s="378"/>
    </row>
    <row r="27" spans="1:12" s="112" customFormat="1" x14ac:dyDescent="0.2">
      <c r="A27"/>
      <c r="B27" s="378"/>
      <c r="C27" s="378"/>
      <c r="D27" s="378"/>
      <c r="E27" s="379"/>
      <c r="F27" s="460" t="s">
        <v>68</v>
      </c>
      <c r="G27" s="462" t="s">
        <v>69</v>
      </c>
      <c r="H27" s="475"/>
      <c r="I27" s="378"/>
    </row>
    <row r="28" spans="1:12" s="112" customFormat="1" x14ac:dyDescent="0.2">
      <c r="A28" s="127" t="s">
        <v>78</v>
      </c>
      <c r="B28" s="480" t="s">
        <v>63</v>
      </c>
      <c r="C28" s="480"/>
      <c r="D28" s="480" t="s">
        <v>64</v>
      </c>
      <c r="E28" s="480"/>
      <c r="F28" s="461"/>
      <c r="G28" s="463"/>
      <c r="H28" s="476"/>
      <c r="I28" s="380" t="s">
        <v>129</v>
      </c>
    </row>
    <row r="29" spans="1:12" s="113" customFormat="1" ht="21" customHeight="1" x14ac:dyDescent="0.2">
      <c r="A29" s="310" t="s">
        <v>89</v>
      </c>
      <c r="B29" s="435" t="s">
        <v>51</v>
      </c>
      <c r="C29" s="435"/>
      <c r="D29" s="434" t="s">
        <v>243</v>
      </c>
      <c r="E29" s="435"/>
      <c r="F29" s="438">
        <f>G24</f>
        <v>0</v>
      </c>
      <c r="G29" s="439"/>
      <c r="H29" s="381">
        <f>G22</f>
        <v>0</v>
      </c>
      <c r="I29" s="382" t="s">
        <v>252</v>
      </c>
      <c r="J29" s="324"/>
    </row>
    <row r="30" spans="1:12" s="113" customFormat="1" ht="25.5" customHeight="1" x14ac:dyDescent="0.2">
      <c r="A30" s="311" t="s">
        <v>90</v>
      </c>
      <c r="B30" s="440" t="s">
        <v>70</v>
      </c>
      <c r="C30" s="440"/>
      <c r="D30" s="440" t="s">
        <v>127</v>
      </c>
      <c r="E30" s="440"/>
      <c r="F30" s="452" t="s">
        <v>71</v>
      </c>
      <c r="G30" s="452"/>
      <c r="H30" s="383">
        <f>'A1 Costs and Contract'!F32</f>
        <v>0</v>
      </c>
      <c r="I30" s="384">
        <v>4.8</v>
      </c>
      <c r="J30" s="324"/>
    </row>
    <row r="31" spans="1:12" s="111" customFormat="1" ht="25.5" customHeight="1" x14ac:dyDescent="0.2">
      <c r="A31" s="132" t="s">
        <v>91</v>
      </c>
      <c r="B31" s="442" t="s">
        <v>150</v>
      </c>
      <c r="C31" s="442"/>
      <c r="D31" s="434" t="s">
        <v>244</v>
      </c>
      <c r="E31" s="435"/>
      <c r="F31" s="441">
        <f>F29</f>
        <v>0</v>
      </c>
      <c r="G31" s="441"/>
      <c r="H31" s="385">
        <f>H29+H30</f>
        <v>0</v>
      </c>
      <c r="I31" s="386">
        <v>4.5</v>
      </c>
      <c r="J31" s="322"/>
    </row>
    <row r="32" spans="1:12" ht="25.5" customHeight="1" x14ac:dyDescent="0.2">
      <c r="A32" s="133" t="s">
        <v>92</v>
      </c>
      <c r="B32" s="457" t="s">
        <v>207</v>
      </c>
      <c r="C32" s="458"/>
      <c r="D32" s="456" t="str">
        <f>"Other Participant "&amp;IF('A3 Allocation and Fractions'!I32&gt;0,TEXT('A3 Allocation and Fractions'!I30,"0.00000"),"NA")</f>
        <v>Other Participant NA</v>
      </c>
      <c r="E32" s="456"/>
      <c r="F32" s="387">
        <f>IF(AND(OtherParticipant="Yes",'A1 Costs and Contract'!$F$26&gt;0),'A3 Allocation and Fractions'!$G$30,'A3 Allocation and Fractions'!$G$49)</f>
        <v>1</v>
      </c>
      <c r="G32" s="387">
        <f>IF(AND(OtherParticipant="Yes",'A1 Costs and Contract'!$F$26&gt;0),'A3 Allocation and Fractions'!$H$30,'A3 Allocation and Fractions'!$H$49)</f>
        <v>0</v>
      </c>
      <c r="H32" s="388" t="s">
        <v>76</v>
      </c>
      <c r="I32" s="368" t="s">
        <v>252</v>
      </c>
      <c r="J32" s="307"/>
      <c r="K32" s="307"/>
      <c r="L32" s="306"/>
    </row>
    <row r="33" spans="1:12" ht="25.5" customHeight="1" x14ac:dyDescent="0.2">
      <c r="A33" s="134" t="s">
        <v>93</v>
      </c>
      <c r="B33" s="436" t="s">
        <v>98</v>
      </c>
      <c r="C33" s="437"/>
      <c r="D33" s="459" t="str">
        <f>"Other Participant "&amp;IF('A3 Allocation and Fractions'!I32&gt;0,TEXT('A3 Allocation and Fractions'!I32,"$#,##0"),"NA")</f>
        <v>Other Participant NA</v>
      </c>
      <c r="E33" s="459"/>
      <c r="F33" s="381">
        <f>IF(AND(OtherParticipant="Yes",'A1 Costs and Contract'!$F$26&gt;0),'A3 Allocation and Fractions'!$G$32,'A3 Allocation and Fractions'!$G$51)</f>
        <v>0</v>
      </c>
      <c r="G33" s="381">
        <f>IF(AND(OtherParticipant="Yes",'A1 Costs and Contract'!$F$26&gt;0),'A3 Allocation and Fractions'!$H$32,'A3 Allocation and Fractions'!$H$51)</f>
        <v>0</v>
      </c>
      <c r="H33" s="381">
        <f>H31</f>
        <v>0</v>
      </c>
      <c r="I33" s="389" t="s">
        <v>252</v>
      </c>
      <c r="J33" s="325"/>
      <c r="K33" s="307"/>
      <c r="L33" s="306"/>
    </row>
    <row r="34" spans="1:12" ht="25.5" customHeight="1" x14ac:dyDescent="0.2">
      <c r="A34" s="133" t="s">
        <v>126</v>
      </c>
      <c r="B34" s="453" t="s">
        <v>73</v>
      </c>
      <c r="C34" s="453"/>
      <c r="D34" s="453" t="str">
        <f>"Investment Term of "&amp;'A4 Investment'!I59&amp;" Years"</f>
        <v>Investment Term of 5 Years</v>
      </c>
      <c r="E34" s="453"/>
      <c r="F34" s="390">
        <f>'A4 Investment'!I58</f>
        <v>0</v>
      </c>
      <c r="G34" s="388" t="s">
        <v>76</v>
      </c>
      <c r="H34" s="388" t="s">
        <v>76</v>
      </c>
      <c r="I34" s="368">
        <v>4.7</v>
      </c>
      <c r="J34" s="325"/>
    </row>
    <row r="35" spans="1:12" ht="25.5" customHeight="1" x14ac:dyDescent="0.2">
      <c r="A35" s="135" t="s">
        <v>194</v>
      </c>
      <c r="B35" s="454" t="s">
        <v>74</v>
      </c>
      <c r="C35" s="454"/>
      <c r="D35" s="455" t="s">
        <v>245</v>
      </c>
      <c r="E35" s="454"/>
      <c r="F35" s="391">
        <f>F33-F34</f>
        <v>0</v>
      </c>
      <c r="G35" s="391">
        <f>G33</f>
        <v>0</v>
      </c>
      <c r="H35" s="391">
        <f>H33</f>
        <v>0</v>
      </c>
      <c r="I35" s="392">
        <v>4.5999999999999996</v>
      </c>
      <c r="J35" s="325"/>
    </row>
    <row r="36" spans="1:12" ht="15" customHeight="1" x14ac:dyDescent="0.2">
      <c r="A36" s="313" t="s">
        <v>195</v>
      </c>
      <c r="B36" s="447" t="s">
        <v>75</v>
      </c>
      <c r="C36" s="448"/>
      <c r="D36" s="448"/>
      <c r="E36" s="449"/>
      <c r="F36" s="393"/>
      <c r="G36" s="375">
        <f>SUM(F35:H35)</f>
        <v>0</v>
      </c>
      <c r="H36" s="394"/>
      <c r="I36" s="395">
        <v>4.5999999999999996</v>
      </c>
      <c r="J36" s="325"/>
    </row>
    <row r="37" spans="1:12" s="120" customFormat="1" ht="25.5" customHeight="1" x14ac:dyDescent="0.2">
      <c r="A37" s="131" t="str">
        <f>IF('A1 Costs and Contract'!F41&gt;0,"(s)","")</f>
        <v/>
      </c>
      <c r="B37" s="451" t="str">
        <f>IF('A1 Costs and Contract'!F41&gt;0,"Construction Contribution Previously Paid for Project","")</f>
        <v/>
      </c>
      <c r="C37" s="451"/>
      <c r="D37" s="451"/>
      <c r="E37" s="451"/>
      <c r="F37" s="119"/>
      <c r="G37" s="119" t="str">
        <f>IF('A1 Costs and Contract'!F41&gt;0,'A1 Costs and Contract'!F41,"")</f>
        <v/>
      </c>
      <c r="H37" s="119"/>
      <c r="I37" s="347" t="str">
        <f>IF('A1 Costs and Contract'!F41&gt;0,"4.6","")</f>
        <v/>
      </c>
      <c r="J37" s="325"/>
      <c r="K37" s="309"/>
    </row>
    <row r="38" spans="1:12" s="118" customFormat="1" ht="24.75" customHeight="1" x14ac:dyDescent="0.2">
      <c r="A38" s="131" t="str">
        <f>IF('A1 Costs and Contract'!F41&gt;0,"(t)","")</f>
        <v/>
      </c>
      <c r="B38" s="450" t="str">
        <f>IF('A1 Costs and Contract'!F41&gt;0,IF(G37&lt;G36,"Additional Construction Contribution Required","Construction Contribution to be Refunded"),"")</f>
        <v/>
      </c>
      <c r="C38" s="450"/>
      <c r="D38" s="450"/>
      <c r="E38" s="450"/>
      <c r="F38" s="117"/>
      <c r="G38" s="117" t="str">
        <f>IF('A1 Costs and Contract'!F41&gt;0,G36-G37,"")</f>
        <v/>
      </c>
      <c r="H38" s="117"/>
      <c r="I38" s="348" t="str">
        <f>IF('A1 Costs and Contract'!F41&gt;0,"4.6","")</f>
        <v/>
      </c>
      <c r="J38" s="325"/>
      <c r="K38" s="309"/>
    </row>
    <row r="39" spans="1:12" x14ac:dyDescent="0.2">
      <c r="K39" s="306"/>
    </row>
    <row r="41" spans="1:12" x14ac:dyDescent="0.2">
      <c r="K41" s="306"/>
    </row>
    <row r="42" spans="1:12" x14ac:dyDescent="0.2">
      <c r="K42" s="306"/>
    </row>
  </sheetData>
  <mergeCells count="56">
    <mergeCell ref="D17:E17"/>
    <mergeCell ref="D18:E18"/>
    <mergeCell ref="F26:G26"/>
    <mergeCell ref="H26:H28"/>
    <mergeCell ref="B22:C22"/>
    <mergeCell ref="D22:E22"/>
    <mergeCell ref="B23:C23"/>
    <mergeCell ref="D23:E23"/>
    <mergeCell ref="B24:C24"/>
    <mergeCell ref="D24:E24"/>
    <mergeCell ref="B28:C28"/>
    <mergeCell ref="D28:E28"/>
    <mergeCell ref="D14:E14"/>
    <mergeCell ref="F27:F28"/>
    <mergeCell ref="G27:G28"/>
    <mergeCell ref="B20:C20"/>
    <mergeCell ref="D20:E20"/>
    <mergeCell ref="B21:C21"/>
    <mergeCell ref="D21:E21"/>
    <mergeCell ref="F14:H14"/>
    <mergeCell ref="B15:C15"/>
    <mergeCell ref="D15:E15"/>
    <mergeCell ref="B19:C19"/>
    <mergeCell ref="D19:E19"/>
    <mergeCell ref="B16:C16"/>
    <mergeCell ref="B17:C17"/>
    <mergeCell ref="B18:C18"/>
    <mergeCell ref="D16:E16"/>
    <mergeCell ref="B36:E36"/>
    <mergeCell ref="B38:E38"/>
    <mergeCell ref="B37:E37"/>
    <mergeCell ref="D30:E30"/>
    <mergeCell ref="F30:G30"/>
    <mergeCell ref="B34:C34"/>
    <mergeCell ref="B35:C35"/>
    <mergeCell ref="D35:E35"/>
    <mergeCell ref="D34:E34"/>
    <mergeCell ref="D32:E32"/>
    <mergeCell ref="B32:C32"/>
    <mergeCell ref="D33:E33"/>
    <mergeCell ref="A7:I7"/>
    <mergeCell ref="D31:E31"/>
    <mergeCell ref="B33:C33"/>
    <mergeCell ref="B29:C29"/>
    <mergeCell ref="D29:E29"/>
    <mergeCell ref="F29:G29"/>
    <mergeCell ref="B30:C30"/>
    <mergeCell ref="F31:G31"/>
    <mergeCell ref="B31:C31"/>
    <mergeCell ref="C9:G9"/>
    <mergeCell ref="C10:G10"/>
    <mergeCell ref="C11:D11"/>
    <mergeCell ref="F11:G11"/>
    <mergeCell ref="C12:D12"/>
    <mergeCell ref="F12:G12"/>
    <mergeCell ref="B14:C14"/>
  </mergeCells>
  <phoneticPr fontId="5" type="noConversion"/>
  <conditionalFormatting sqref="G37">
    <cfRule type="expression" dxfId="50" priority="1" stopIfTrue="1">
      <formula>ISNUMBER($G$37)</formula>
    </cfRule>
  </conditionalFormatting>
  <conditionalFormatting sqref="G38">
    <cfRule type="expression" dxfId="49" priority="2" stopIfTrue="1">
      <formula>ISNUMBER($G$37)</formula>
    </cfRule>
  </conditionalFormatting>
  <conditionalFormatting sqref="A37">
    <cfRule type="expression" dxfId="48" priority="3" stopIfTrue="1">
      <formula>ISNUMBER($G$37)</formula>
    </cfRule>
  </conditionalFormatting>
  <conditionalFormatting sqref="B37:E37">
    <cfRule type="expression" dxfId="47" priority="4" stopIfTrue="1">
      <formula>ISNUMBER($G$37)</formula>
    </cfRule>
  </conditionalFormatting>
  <conditionalFormatting sqref="F37">
    <cfRule type="expression" dxfId="46" priority="5" stopIfTrue="1">
      <formula>ISNUMBER($G$37)</formula>
    </cfRule>
  </conditionalFormatting>
  <conditionalFormatting sqref="A38">
    <cfRule type="expression" dxfId="45" priority="6" stopIfTrue="1">
      <formula>ISNUMBER($G$37)</formula>
    </cfRule>
  </conditionalFormatting>
  <conditionalFormatting sqref="B38:E38">
    <cfRule type="expression" dxfId="44" priority="7" stopIfTrue="1">
      <formula>ISNUMBER($G$37)</formula>
    </cfRule>
  </conditionalFormatting>
  <conditionalFormatting sqref="F38">
    <cfRule type="expression" dxfId="43" priority="8" stopIfTrue="1">
      <formula>ISNUMBER($G$37)</formula>
    </cfRule>
  </conditionalFormatting>
  <conditionalFormatting sqref="A36:I36">
    <cfRule type="expression" dxfId="42" priority="9" stopIfTrue="1">
      <formula>ISNUMBER($G$37)</formula>
    </cfRule>
  </conditionalFormatting>
  <conditionalFormatting sqref="H37">
    <cfRule type="expression" dxfId="41" priority="24" stopIfTrue="1">
      <formula>ISNUMBER($G$37)</formula>
    </cfRule>
  </conditionalFormatting>
  <conditionalFormatting sqref="I37">
    <cfRule type="expression" dxfId="40" priority="25" stopIfTrue="1">
      <formula>ISNUMBER($G$37)</formula>
    </cfRule>
  </conditionalFormatting>
  <conditionalFormatting sqref="H38">
    <cfRule type="expression" dxfId="39" priority="26" stopIfTrue="1">
      <formula>ISNUMBER($G$37)</formula>
    </cfRule>
  </conditionalFormatting>
  <conditionalFormatting sqref="I38">
    <cfRule type="expression" dxfId="38" priority="27" stopIfTrue="1">
      <formula>ISNUMBER($G$37)</formula>
    </cfRule>
  </conditionalFormatting>
  <conditionalFormatting sqref="F11:G11">
    <cfRule type="expression" dxfId="37" priority="33" stopIfTrue="1">
      <formula>OR(LEFT(#REF!,5)="Error",LEFT(#REF!,5)="Error")</formula>
    </cfRule>
  </conditionalFormatting>
  <pageMargins left="0.75" right="0.75" top="0.5" bottom="0.85" header="0.5" footer="0.5"/>
  <pageSetup scale="86" orientation="portrait" r:id="rId1"/>
  <headerFooter alignWithMargins="0">
    <oddFooter>&amp;L&amp;8Appendix to Contribution Calculator for 2021 Tariff (AESO ID No. 2021-016T)
Filename: &amp;F — Page &amp;P of &amp;N&amp;R&amp;8Confidentiality: Proprietary When Competed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1"/>
  <sheetViews>
    <sheetView showGridLines="0" workbookViewId="0">
      <selection activeCell="M24" sqref="M24"/>
    </sheetView>
  </sheetViews>
  <sheetFormatPr defaultColWidth="11.7109375" defaultRowHeight="12.75" x14ac:dyDescent="0.2"/>
  <cols>
    <col min="1" max="1" width="4.42578125" customWidth="1"/>
    <col min="2" max="2" width="11.28515625" customWidth="1"/>
    <col min="3" max="3" width="9.28515625" customWidth="1"/>
    <col min="4" max="6" width="10.7109375" customWidth="1"/>
    <col min="10" max="10" width="4.28515625" customWidth="1"/>
  </cols>
  <sheetData>
    <row r="1" spans="1:9" s="306" customFormat="1" x14ac:dyDescent="0.2"/>
    <row r="2" spans="1:9" s="306" customFormat="1" x14ac:dyDescent="0.2"/>
    <row r="3" spans="1:9" s="306" customFormat="1" x14ac:dyDescent="0.2"/>
    <row r="4" spans="1:9" s="306" customFormat="1" x14ac:dyDescent="0.2"/>
    <row r="5" spans="1:9" s="306" customFormat="1" x14ac:dyDescent="0.2"/>
    <row r="6" spans="1:9" s="306" customFormat="1" x14ac:dyDescent="0.2"/>
    <row r="7" spans="1:9" s="137" customFormat="1" ht="18.75" x14ac:dyDescent="0.4">
      <c r="A7" s="481" t="s">
        <v>332</v>
      </c>
      <c r="B7" s="481"/>
      <c r="C7" s="481"/>
      <c r="D7" s="481"/>
      <c r="E7" s="481"/>
      <c r="F7" s="481"/>
      <c r="G7" s="481"/>
      <c r="H7" s="481"/>
      <c r="I7" s="481"/>
    </row>
    <row r="8" spans="1:9" s="138" customFormat="1" ht="8.25" x14ac:dyDescent="0.15"/>
    <row r="9" spans="1:9" x14ac:dyDescent="0.2">
      <c r="A9" s="307" t="s">
        <v>341</v>
      </c>
      <c r="C9" s="443" t="str">
        <f>ParticipantName</f>
        <v>Name of Market Participant</v>
      </c>
      <c r="D9" s="443"/>
      <c r="E9" s="443"/>
      <c r="F9" s="443"/>
      <c r="G9" s="443"/>
      <c r="H9" s="3" t="s">
        <v>0</v>
      </c>
      <c r="I9" t="str">
        <f>'A1 Costs and Contract'!I10</f>
        <v>AESO 2021</v>
      </c>
    </row>
    <row r="10" spans="1:9" x14ac:dyDescent="0.2">
      <c r="A10" s="307" t="s">
        <v>321</v>
      </c>
      <c r="C10" s="443" t="str">
        <f>ProjectName</f>
        <v>Project Name</v>
      </c>
      <c r="D10" s="443"/>
      <c r="E10" s="443"/>
      <c r="F10" s="443"/>
      <c r="G10" s="443"/>
      <c r="H10" s="3" t="s">
        <v>1</v>
      </c>
      <c r="I10" s="400">
        <f>'A1 Costs and Contract'!I11</f>
        <v>44197</v>
      </c>
    </row>
    <row r="11" spans="1:9" x14ac:dyDescent="0.2">
      <c r="A11" s="307" t="s">
        <v>322</v>
      </c>
      <c r="C11" s="444" t="str">
        <f>ProjectNumber</f>
        <v>Project Number</v>
      </c>
      <c r="D11" s="444"/>
      <c r="E11" s="3" t="s">
        <v>2</v>
      </c>
      <c r="F11" s="444" t="str">
        <f>ProjectType</f>
        <v>DTS Only</v>
      </c>
      <c r="G11" s="444"/>
      <c r="H11" s="3" t="s">
        <v>13</v>
      </c>
      <c r="I11" s="401" t="str">
        <f>'A1 Costs and Contract'!I12</f>
        <v>Current</v>
      </c>
    </row>
    <row r="13" spans="1:9" x14ac:dyDescent="0.2">
      <c r="A13" s="1" t="s">
        <v>208</v>
      </c>
      <c r="B13" s="1"/>
      <c r="C13" s="1"/>
      <c r="D13" s="1"/>
      <c r="E13" s="1"/>
      <c r="F13" s="1"/>
      <c r="G13" s="1"/>
      <c r="H13" s="1"/>
      <c r="I13" s="1"/>
    </row>
    <row r="14" spans="1:9" x14ac:dyDescent="0.2">
      <c r="A14" s="89"/>
      <c r="B14" s="89"/>
      <c r="C14" s="89"/>
      <c r="D14" s="89"/>
      <c r="E14" s="89"/>
      <c r="F14" s="89"/>
      <c r="G14" s="89"/>
      <c r="H14" s="89"/>
      <c r="I14" s="89"/>
    </row>
    <row r="15" spans="1:9" x14ac:dyDescent="0.2">
      <c r="A15" t="s">
        <v>131</v>
      </c>
      <c r="G15" s="487">
        <f>'A1 Costs and Contract'!F31</f>
        <v>0</v>
      </c>
      <c r="H15" s="488"/>
      <c r="I15" s="489"/>
    </row>
    <row r="17" spans="1:9" x14ac:dyDescent="0.2">
      <c r="A17" s="484" t="s">
        <v>6</v>
      </c>
      <c r="B17" s="485"/>
      <c r="C17" s="486"/>
      <c r="D17" s="484" t="str">
        <f>IF(NewOrExpansion="New Service","New","Incremental")&amp;" Contract Capacity"</f>
        <v>New Contract Capacity</v>
      </c>
      <c r="E17" s="485"/>
      <c r="F17" s="486"/>
      <c r="G17" s="484" t="str">
        <f>IF(NewOrExpansion="New","New Service","Incremental")&amp;" Substation Fractions"</f>
        <v>Incremental Substation Fractions</v>
      </c>
      <c r="H17" s="485"/>
      <c r="I17" s="486"/>
    </row>
    <row r="18" spans="1:9" x14ac:dyDescent="0.2">
      <c r="A18" s="6"/>
      <c r="B18" s="7" t="s">
        <v>4</v>
      </c>
      <c r="C18" s="8" t="s">
        <v>11</v>
      </c>
      <c r="D18" s="482" t="s">
        <v>23</v>
      </c>
      <c r="E18" s="483"/>
      <c r="F18" s="8" t="s">
        <v>21</v>
      </c>
      <c r="G18" s="482" t="s">
        <v>23</v>
      </c>
      <c r="H18" s="483"/>
      <c r="I18" s="8" t="s">
        <v>21</v>
      </c>
    </row>
    <row r="19" spans="1:9" x14ac:dyDescent="0.2">
      <c r="A19" s="9" t="s">
        <v>12</v>
      </c>
      <c r="B19" s="10" t="s">
        <v>10</v>
      </c>
      <c r="C19" s="11" t="s">
        <v>15</v>
      </c>
      <c r="D19" s="2" t="str">
        <f>IF(OR(ProjectType="DTS Only",ProjectType="DTS and STS - (DFO)", ProjectType = "DTS and STS (Dual-Use)"),"DTS","NA")</f>
        <v>DTS</v>
      </c>
      <c r="E19" s="31" t="str">
        <f>IF(OR(ProjectType="STS (Generator)",ProjectType="DTS and STS - (DFO)",ProjectType = "DTS and STS (Dual-Use)"),"STS","NA")</f>
        <v>NA</v>
      </c>
      <c r="F19" s="32" t="s">
        <v>22</v>
      </c>
      <c r="G19" s="2" t="str">
        <f>IF(OR(ProjectType="DTS Only",ProjectType="DTS and STS - (DFO)", ProjectType = "DTS and STS (Dual-Use)"),"DTS","NA")</f>
        <v>DTS</v>
      </c>
      <c r="H19" s="31" t="str">
        <f>IF(OR(ProjectType="STS (Generator)",ProjectType="DTS and STS - (DFO)",ProjectType = "DTS and STS (Dual-Use)"),"STS","NA")</f>
        <v>NA</v>
      </c>
      <c r="I19" s="32" t="s">
        <v>22</v>
      </c>
    </row>
    <row r="20" spans="1:9" x14ac:dyDescent="0.2">
      <c r="A20" s="268">
        <v>1</v>
      </c>
      <c r="B20" s="269">
        <f>DATE(YEAR(CommOperDate),MONTH(CommOperDate),1)</f>
        <v>1</v>
      </c>
      <c r="C20" s="270">
        <f>'A1 Costs and Contract'!C47/12</f>
        <v>20</v>
      </c>
      <c r="D20" s="18">
        <f>SUM('A1 Costs and Contract'!D47,-'A1 Costs and Contract'!G47)</f>
        <v>0</v>
      </c>
      <c r="E20" s="38">
        <f>SUM('A1 Costs and Contract'!E47,-'A1 Costs and Contract'!H47)</f>
        <v>0</v>
      </c>
      <c r="F20" s="19">
        <f>SUM('A1 Costs and Contract'!F47,-'A1 Costs and Contract'!I47)</f>
        <v>0</v>
      </c>
      <c r="G20" s="94">
        <f>IF(SUM($D20:$F20)&gt;0,SUM(D20)/SUM($D20:$F20),IF(SUM($D21:$F21)&gt;0,SUM(D21)/SUM($D21:$F21),IF(ProjectType="DTS Only",1,IF(ProjectType="STS (Generator)",0,0.5))))</f>
        <v>1</v>
      </c>
      <c r="H20" s="95">
        <f>IF(SUM($D20:$F20)&gt;0,SUM(E20)/SUM($D20:$F20),IF(SUM($D21:$F21)&gt;0,SUM(E21)/SUM($D21:$F21),IF(ProjectType="DTS Only",0,IF(ProjectType="STS (Generator)",1,0.5))))</f>
        <v>0</v>
      </c>
      <c r="I20" s="96">
        <f>IF(SUM($D20:$F20)&gt;0,SUM(F20)/SUM($D20:$F20),IF(SUM($D21:$F21)&gt;0,SUM(F21)/SUM($D21:$F21),0))</f>
        <v>0</v>
      </c>
    </row>
    <row r="21" spans="1:9" x14ac:dyDescent="0.2">
      <c r="A21" s="20">
        <f t="shared" ref="A21:A29" si="0">IF(ISNUMBER(B21),A20+1,0)</f>
        <v>0</v>
      </c>
      <c r="B21" s="21" t="str">
        <f>IF(ISNUMBER('A1 Costs and Contract'!B48),'A1 Costs and Contract'!B48,"")</f>
        <v/>
      </c>
      <c r="C21" s="22">
        <f>'A1 Costs and Contract'!C48/12</f>
        <v>0</v>
      </c>
      <c r="D21" s="23" t="str">
        <f>IF(ISNUMBER($B21),SUM('A1 Costs and Contract'!D48,-'A1 Costs and Contract'!G48),"")</f>
        <v/>
      </c>
      <c r="E21" s="39" t="str">
        <f>IF(ISNUMBER($B21),SUM('A1 Costs and Contract'!E48,-'A1 Costs and Contract'!H48),"")</f>
        <v/>
      </c>
      <c r="F21" s="24" t="str">
        <f>IF(ISNUMBER($B21),SUM('A1 Costs and Contract'!F48,-'A1 Costs and Contract'!I48),"")</f>
        <v/>
      </c>
      <c r="G21" s="97" t="str">
        <f t="shared" ref="G21:G28" si="1">IF(ISNUMBER($B21),IF(SUM($D21:$F21)&gt;0,SUM(D21)/SUM($D21:$F21),IF(SUM($D22:$F22)&gt;0,SUM(D22)/SUM($D22:$F22),IF(SUM($D20:$F20)&gt;0,SUM(D20)/SUM($D20:$F20),IF(ProjectType="DTS Only",1,IF(ProjectType="STS (Generator)",0,0.5))))),"")</f>
        <v/>
      </c>
      <c r="H21" s="98" t="str">
        <f t="shared" ref="H21:H28" si="2">IF(ISNUMBER($B21),IF(SUM($D21:$F21)&gt;0,SUM(E21)/SUM($D21:$F21),IF(SUM($D22:$F22)&gt;0,SUM(E22)/SUM($D22:$F22),IF(SUM($D20:$F20)&gt;0,SUM(E20)/SUM($D20:$F20),IF(ProjectType="DTS Only",0,IF(ProjectType="STS (Generator)",1,0.5))))),"")</f>
        <v/>
      </c>
      <c r="I21" s="99" t="str">
        <f>IF(ISNUMBER($B21),IF(SUM($D21:$F21)&gt;0,SUM(F21)/SUM($D21:$F21),IF(SUM($D22:$F22)&gt;0,SUM(F22)/SUM($D22:$F22),IF(SUM($D20:$F20)&gt;0,SUM(F20)/SUM($D20:$F20),0))),"")</f>
        <v/>
      </c>
    </row>
    <row r="22" spans="1:9" x14ac:dyDescent="0.2">
      <c r="A22" s="20">
        <f t="shared" si="0"/>
        <v>0</v>
      </c>
      <c r="B22" s="21" t="str">
        <f>IF(ISNUMBER('A1 Costs and Contract'!B49),'A1 Costs and Contract'!B49,"")</f>
        <v/>
      </c>
      <c r="C22" s="22">
        <f>'A1 Costs and Contract'!C49/12</f>
        <v>0</v>
      </c>
      <c r="D22" s="23" t="str">
        <f>IF(ISNUMBER($B22),SUM('A1 Costs and Contract'!D49,-'A1 Costs and Contract'!G49),"")</f>
        <v/>
      </c>
      <c r="E22" s="39" t="str">
        <f>IF(ISNUMBER($B22),SUM('A1 Costs and Contract'!E49,-'A1 Costs and Contract'!H49),"")</f>
        <v/>
      </c>
      <c r="F22" s="24" t="str">
        <f>IF(ISNUMBER($B22),SUM('A1 Costs and Contract'!F49,-'A1 Costs and Contract'!I49),"")</f>
        <v/>
      </c>
      <c r="G22" s="97" t="str">
        <f t="shared" si="1"/>
        <v/>
      </c>
      <c r="H22" s="98" t="str">
        <f t="shared" si="2"/>
        <v/>
      </c>
      <c r="I22" s="99" t="str">
        <f t="shared" ref="I22:I28" si="3">IF(ISNUMBER($B22),IF(SUM($D22:$F22)&gt;0,SUM(F22)/SUM($D22:$F22),IF(SUM($D23:$F23)&gt;0,SUM(F23)/SUM($D23:$F23),IF(SUM($D21:$F21)&gt;0,SUM(F21)/SUM($D21:$F21),0))),"")</f>
        <v/>
      </c>
    </row>
    <row r="23" spans="1:9" x14ac:dyDescent="0.2">
      <c r="A23" s="20">
        <f t="shared" si="0"/>
        <v>0</v>
      </c>
      <c r="B23" s="21" t="str">
        <f>IF(ISNUMBER('A1 Costs and Contract'!B50),'A1 Costs and Contract'!B50,"")</f>
        <v/>
      </c>
      <c r="C23" s="22">
        <f>'A1 Costs and Contract'!C50/12</f>
        <v>0</v>
      </c>
      <c r="D23" s="23" t="str">
        <f>IF(ISNUMBER($B23),SUM('A1 Costs and Contract'!D50,-'A1 Costs and Contract'!G50),"")</f>
        <v/>
      </c>
      <c r="E23" s="39" t="str">
        <f>IF(ISNUMBER($B23),SUM('A1 Costs and Contract'!E50,-'A1 Costs and Contract'!H50),"")</f>
        <v/>
      </c>
      <c r="F23" s="24" t="str">
        <f>IF(ISNUMBER($B23),SUM('A1 Costs and Contract'!F50,-'A1 Costs and Contract'!I50),"")</f>
        <v/>
      </c>
      <c r="G23" s="97" t="str">
        <f t="shared" si="1"/>
        <v/>
      </c>
      <c r="H23" s="98" t="str">
        <f t="shared" si="2"/>
        <v/>
      </c>
      <c r="I23" s="99" t="str">
        <f t="shared" si="3"/>
        <v/>
      </c>
    </row>
    <row r="24" spans="1:9" x14ac:dyDescent="0.2">
      <c r="A24" s="271">
        <f t="shared" si="0"/>
        <v>0</v>
      </c>
      <c r="B24" s="21" t="str">
        <f>IF(ISNUMBER('A1 Costs and Contract'!B51),'A1 Costs and Contract'!B51,"")</f>
        <v/>
      </c>
      <c r="C24" s="272">
        <f>'A1 Costs and Contract'!C51/12</f>
        <v>0</v>
      </c>
      <c r="D24" s="23" t="str">
        <f>IF(ISNUMBER($B24),SUM('A1 Costs and Contract'!D51,-'A1 Costs and Contract'!G51),"")</f>
        <v/>
      </c>
      <c r="E24" s="39" t="str">
        <f>IF(ISNUMBER($B24),SUM('A1 Costs and Contract'!E51,-'A1 Costs and Contract'!H51),"")</f>
        <v/>
      </c>
      <c r="F24" s="24" t="str">
        <f>IF(ISNUMBER($B24),SUM('A1 Costs and Contract'!F51,-'A1 Costs and Contract'!I51),"")</f>
        <v/>
      </c>
      <c r="G24" s="97" t="str">
        <f t="shared" si="1"/>
        <v/>
      </c>
      <c r="H24" s="98" t="str">
        <f t="shared" si="2"/>
        <v/>
      </c>
      <c r="I24" s="99" t="str">
        <f t="shared" si="3"/>
        <v/>
      </c>
    </row>
    <row r="25" spans="1:9" x14ac:dyDescent="0.2">
      <c r="A25" s="20">
        <f t="shared" si="0"/>
        <v>0</v>
      </c>
      <c r="B25" s="21" t="str">
        <f>IF(ISNUMBER('A1 Costs and Contract'!B52),'A1 Costs and Contract'!B52,"")</f>
        <v/>
      </c>
      <c r="C25" s="22">
        <f>'A1 Costs and Contract'!C52/12</f>
        <v>0</v>
      </c>
      <c r="D25" s="23" t="str">
        <f>IF(ISNUMBER($B25),SUM('A1 Costs and Contract'!D52,-'A1 Costs and Contract'!G52),"")</f>
        <v/>
      </c>
      <c r="E25" s="39" t="str">
        <f>IF(ISNUMBER($B25),SUM('A1 Costs and Contract'!E52,-'A1 Costs and Contract'!H52),"")</f>
        <v/>
      </c>
      <c r="F25" s="24" t="str">
        <f>IF(ISNUMBER($B25),SUM('A1 Costs and Contract'!F52,-'A1 Costs and Contract'!I52),"")</f>
        <v/>
      </c>
      <c r="G25" s="97" t="str">
        <f t="shared" si="1"/>
        <v/>
      </c>
      <c r="H25" s="98" t="str">
        <f t="shared" si="2"/>
        <v/>
      </c>
      <c r="I25" s="99" t="str">
        <f t="shared" si="3"/>
        <v/>
      </c>
    </row>
    <row r="26" spans="1:9" x14ac:dyDescent="0.2">
      <c r="A26" s="20">
        <f t="shared" si="0"/>
        <v>0</v>
      </c>
      <c r="B26" s="21" t="str">
        <f>IF(ISNUMBER('A1 Costs and Contract'!B53),'A1 Costs and Contract'!B53,"")</f>
        <v/>
      </c>
      <c r="C26" s="22">
        <f>'A1 Costs and Contract'!C53/12</f>
        <v>0</v>
      </c>
      <c r="D26" s="23" t="str">
        <f>IF(ISNUMBER($B26),SUM('A1 Costs and Contract'!D53,-'A1 Costs and Contract'!G53),"")</f>
        <v/>
      </c>
      <c r="E26" s="39" t="str">
        <f>IF(ISNUMBER($B26),SUM('A1 Costs and Contract'!E53,-'A1 Costs and Contract'!H53),"")</f>
        <v/>
      </c>
      <c r="F26" s="24" t="str">
        <f>IF(ISNUMBER($B26),SUM('A1 Costs and Contract'!F53,-'A1 Costs and Contract'!I53),"")</f>
        <v/>
      </c>
      <c r="G26" s="97" t="str">
        <f t="shared" si="1"/>
        <v/>
      </c>
      <c r="H26" s="98" t="str">
        <f t="shared" si="2"/>
        <v/>
      </c>
      <c r="I26" s="99" t="str">
        <f t="shared" si="3"/>
        <v/>
      </c>
    </row>
    <row r="27" spans="1:9" x14ac:dyDescent="0.2">
      <c r="A27" s="20">
        <f t="shared" si="0"/>
        <v>0</v>
      </c>
      <c r="B27" s="21" t="str">
        <f>IF(ISNUMBER('A1 Costs and Contract'!B54),'A1 Costs and Contract'!B54,"")</f>
        <v/>
      </c>
      <c r="C27" s="22">
        <f>'A1 Costs and Contract'!C54/12</f>
        <v>0</v>
      </c>
      <c r="D27" s="23" t="str">
        <f>IF(ISNUMBER($B27),SUM('A1 Costs and Contract'!D54,-'A1 Costs and Contract'!G54),"")</f>
        <v/>
      </c>
      <c r="E27" s="39" t="str">
        <f>IF(ISNUMBER($B27),SUM('A1 Costs and Contract'!E54,-'A1 Costs and Contract'!H54),"")</f>
        <v/>
      </c>
      <c r="F27" s="24" t="str">
        <f>IF(ISNUMBER($B27),SUM('A1 Costs and Contract'!F54,-'A1 Costs and Contract'!I54),"")</f>
        <v/>
      </c>
      <c r="G27" s="97" t="str">
        <f t="shared" si="1"/>
        <v/>
      </c>
      <c r="H27" s="98" t="str">
        <f t="shared" si="2"/>
        <v/>
      </c>
      <c r="I27" s="99" t="str">
        <f t="shared" si="3"/>
        <v/>
      </c>
    </row>
    <row r="28" spans="1:9" x14ac:dyDescent="0.2">
      <c r="A28" s="20">
        <f t="shared" si="0"/>
        <v>0</v>
      </c>
      <c r="B28" s="21" t="str">
        <f>IF(ISNUMBER('A1 Costs and Contract'!B55),'A1 Costs and Contract'!B55,"")</f>
        <v/>
      </c>
      <c r="C28" s="22">
        <f>'A1 Costs and Contract'!C55/12</f>
        <v>0</v>
      </c>
      <c r="D28" s="23" t="str">
        <f>IF(ISNUMBER($B28),SUM('A1 Costs and Contract'!D55,-'A1 Costs and Contract'!G55),"")</f>
        <v/>
      </c>
      <c r="E28" s="39" t="str">
        <f>IF(ISNUMBER($B28),SUM('A1 Costs and Contract'!E55,-'A1 Costs and Contract'!H55),"")</f>
        <v/>
      </c>
      <c r="F28" s="24" t="str">
        <f>IF(ISNUMBER($B28),SUM('A1 Costs and Contract'!F55,-'A1 Costs and Contract'!I55),"")</f>
        <v/>
      </c>
      <c r="G28" s="97" t="str">
        <f t="shared" si="1"/>
        <v/>
      </c>
      <c r="H28" s="98" t="str">
        <f t="shared" si="2"/>
        <v/>
      </c>
      <c r="I28" s="99" t="str">
        <f t="shared" si="3"/>
        <v/>
      </c>
    </row>
    <row r="29" spans="1:9" x14ac:dyDescent="0.2">
      <c r="A29" s="25">
        <f t="shared" si="0"/>
        <v>0</v>
      </c>
      <c r="B29" s="26" t="str">
        <f>IF(ISNUMBER('A1 Costs and Contract'!B56),'A1 Costs and Contract'!B56,"")</f>
        <v/>
      </c>
      <c r="C29" s="27">
        <f>'A1 Costs and Contract'!C56/12</f>
        <v>0</v>
      </c>
      <c r="D29" s="28" t="str">
        <f>IF(ISNUMBER($B29),SUM('A1 Costs and Contract'!D56,-'A1 Costs and Contract'!G56),"")</f>
        <v/>
      </c>
      <c r="E29" s="40" t="str">
        <f>IF(ISNUMBER($B29),SUM('A1 Costs and Contract'!E56,-'A1 Costs and Contract'!H56),"")</f>
        <v/>
      </c>
      <c r="F29" s="29" t="str">
        <f>IF(ISNUMBER($B29),SUM('A1 Costs and Contract'!F56,-'A1 Costs and Contract'!I56),"")</f>
        <v/>
      </c>
      <c r="G29" s="100" t="str">
        <f>IF(ISNUMBER($B29),IF(SUM($D29:$F29)&gt;0,SUM(D29)/SUM($D29:$F29),IF(SUM($D28:$F28)&gt;0,SUM(D28)/SUM($D28:$F28),IF(ProjectType="DTS Only",1,IF(ProjectType="STS (Generator)",0,0.5)))),"")</f>
        <v/>
      </c>
      <c r="H29" s="101" t="str">
        <f>IF(ISNUMBER($B29),IF(SUM($D29:$F29)&gt;0,SUM(E29)/SUM($D29:$F29),IF(SUM($D28:$F28)&gt;0,SUM(E28)/SUM($D28:$F28),IF(ProjectType="DTS Only",0,IF(ProjectType="STS (Generator)",1,0.5)))),"")</f>
        <v/>
      </c>
      <c r="I29" s="102" t="str">
        <f>IF(ISNUMBER($B29),IF(SUM($D29:$F29)&gt;0,SUM(F29)/SUM($D29:$F29),IF(SUM($D28:$F28)&gt;0,SUM(F28)/SUM($D28:$F28),0)),"")</f>
        <v/>
      </c>
    </row>
    <row r="30" spans="1:9" x14ac:dyDescent="0.2">
      <c r="A30" s="91"/>
      <c r="B30" s="92" t="s">
        <v>8</v>
      </c>
      <c r="C30" s="90">
        <f>SUM(C20:C29)</f>
        <v>20</v>
      </c>
      <c r="F30" s="93" t="s">
        <v>52</v>
      </c>
      <c r="G30" s="103">
        <f>SUMPRODUCT($C20:$C29,G20:G29)/$C30</f>
        <v>1</v>
      </c>
      <c r="H30" s="104">
        <f>SUMPRODUCT($C20:$C29,H20:H29)/$C30</f>
        <v>0</v>
      </c>
      <c r="I30" s="105">
        <f>SUMPRODUCT($C20:$C29,I20:I29)/$C30</f>
        <v>0</v>
      </c>
    </row>
    <row r="32" spans="1:9" x14ac:dyDescent="0.2">
      <c r="A32" t="s">
        <v>55</v>
      </c>
      <c r="G32" s="128">
        <f>IF(AND(SUM($G30:$I30)=0,ProjectType&lt;&gt;"STS (Generator)"),$G$15,$G$15*G30)</f>
        <v>0</v>
      </c>
      <c r="H32" s="129">
        <f>IF(AND(SUM($G30:$I30)=0,ProjectType="STS (Generator)"),$G$15,$G$15*H30)</f>
        <v>0</v>
      </c>
      <c r="I32" s="130">
        <f>$G$15*I30</f>
        <v>0</v>
      </c>
    </row>
    <row r="34" spans="1:9" x14ac:dyDescent="0.2">
      <c r="A34" s="1" t="s">
        <v>209</v>
      </c>
      <c r="B34" s="1"/>
      <c r="C34" s="1"/>
      <c r="D34" s="1"/>
      <c r="E34" s="1"/>
      <c r="F34" s="1"/>
      <c r="G34" s="1"/>
      <c r="H34" s="1"/>
      <c r="I34" s="1"/>
    </row>
    <row r="36" spans="1:9" x14ac:dyDescent="0.2">
      <c r="A36" s="484" t="s">
        <v>6</v>
      </c>
      <c r="B36" s="485"/>
      <c r="C36" s="486"/>
      <c r="D36" s="484" t="s">
        <v>53</v>
      </c>
      <c r="E36" s="485"/>
      <c r="F36" s="486"/>
      <c r="G36" s="484" t="s">
        <v>54</v>
      </c>
      <c r="H36" s="485"/>
      <c r="I36" s="486"/>
    </row>
    <row r="37" spans="1:9" x14ac:dyDescent="0.2">
      <c r="A37" s="6"/>
      <c r="B37" s="7" t="s">
        <v>4</v>
      </c>
      <c r="C37" s="8" t="s">
        <v>11</v>
      </c>
      <c r="D37" s="482" t="s">
        <v>23</v>
      </c>
      <c r="E37" s="483"/>
      <c r="F37" s="8" t="s">
        <v>21</v>
      </c>
      <c r="G37" s="482" t="s">
        <v>23</v>
      </c>
      <c r="H37" s="483"/>
      <c r="I37" s="8" t="s">
        <v>21</v>
      </c>
    </row>
    <row r="38" spans="1:9" x14ac:dyDescent="0.2">
      <c r="A38" s="9" t="s">
        <v>12</v>
      </c>
      <c r="B38" s="10" t="s">
        <v>10</v>
      </c>
      <c r="C38" s="11" t="s">
        <v>15</v>
      </c>
      <c r="D38" s="2" t="str">
        <f>IF(OR(ProjectType="DTS Only",ProjectType="DTS and STS - (DFO)", ProjectType = "DTS and STS (Dual-Use)"),"DTS","NA")</f>
        <v>DTS</v>
      </c>
      <c r="E38" s="31" t="str">
        <f>IF(OR(ProjectType="STS (Generator)",ProjectType="DTS and STS - (DFO)",ProjectType = "DTS and STS (Dual-Use)"),"STS","NA")</f>
        <v>NA</v>
      </c>
      <c r="F38" s="32" t="s">
        <v>22</v>
      </c>
      <c r="G38" s="2" t="str">
        <f>IF(OR(ProjectType="DTS Only",ProjectType="DTS and STS - (DFO)", ProjectType = "DTS and STS (Dual-Use)"),"DTS","NA")</f>
        <v>DTS</v>
      </c>
      <c r="H38" s="31" t="str">
        <f>IF(OR(ProjectType="STS (Generator)",ProjectType="DTS and STS - (DFO)",ProjectType = "DTS and STS (Dual-Use)"),"STS","NA")</f>
        <v>NA</v>
      </c>
      <c r="I38" s="32" t="s">
        <v>22</v>
      </c>
    </row>
    <row r="39" spans="1:9" x14ac:dyDescent="0.2">
      <c r="A39" s="15">
        <v>1</v>
      </c>
      <c r="B39" s="16">
        <f>DATE(YEAR(CommOperDate),MONTH(CommOperDate),1)</f>
        <v>1</v>
      </c>
      <c r="C39" s="17">
        <f>'A1 Costs and Contract'!C47/12</f>
        <v>20</v>
      </c>
      <c r="D39" s="18">
        <f>'A1 Costs and Contract'!D47</f>
        <v>0</v>
      </c>
      <c r="E39" s="38">
        <f>'A1 Costs and Contract'!E47</f>
        <v>0</v>
      </c>
      <c r="F39" s="19">
        <f>'A1 Costs and Contract'!F47</f>
        <v>0</v>
      </c>
      <c r="G39" s="41">
        <f>IF(SUM($D39:$F39)&gt;0,SUM(D39)/SUM($D39:$F39),IF(SUM($D40:$F40)&gt;0,SUM(D40)/SUM($D40:$F40),IF(ProjectType="DTS Only",1,IF(ProjectType="STS (Generator)",0,0.5))))</f>
        <v>1</v>
      </c>
      <c r="H39" s="42">
        <f>IF(SUM($D39:$F39)&gt;0,SUM(E39)/SUM($D39:$F39),IF(SUM($D40:$F40)&gt;0,SUM(E40)/SUM($D40:$F40),IF(ProjectType="DTS Only",0,IF(ProjectType="STS (Generator)",1,0.5))))</f>
        <v>0</v>
      </c>
      <c r="I39" s="35">
        <f>IF(SUM($D39:$F39)&gt;0,SUM(F39)/SUM($D39:$F39),IF(SUM($D40:$F40)&gt;0,SUM(F40)/SUM($D40:$F40),0))</f>
        <v>0</v>
      </c>
    </row>
    <row r="40" spans="1:9" x14ac:dyDescent="0.2">
      <c r="A40" s="20">
        <f t="shared" ref="A40:A48" si="4">IF(ISNUMBER(B40),A39+1,0)</f>
        <v>0</v>
      </c>
      <c r="B40" s="21" t="str">
        <f>IF(ISNUMBER('A1 Costs and Contract'!B48),'A1 Costs and Contract'!B48,"")</f>
        <v/>
      </c>
      <c r="C40" s="22">
        <f>'A1 Costs and Contract'!C48/12</f>
        <v>0</v>
      </c>
      <c r="D40" s="23" t="str">
        <f>IF(ISNUMBER($B40),'A1 Costs and Contract'!D48,"")</f>
        <v/>
      </c>
      <c r="E40" s="39" t="str">
        <f>IF(ISNUMBER($B40),'A1 Costs and Contract'!E48,"")</f>
        <v/>
      </c>
      <c r="F40" s="24" t="str">
        <f>IF(ISNUMBER($B40),'A1 Costs and Contract'!F48,"")</f>
        <v/>
      </c>
      <c r="G40" s="43" t="str">
        <f t="shared" ref="G40:G47" si="5">IF(ISNUMBER($B40),IF(SUM($D40:$F40)&gt;0,SUM(D40)/SUM($D40:$F40),IF(SUM($D41:$F41)&gt;0,SUM(D41)/SUM($D41:$F41),IF(SUM($D39:$F39)&gt;0,SUM(D39)/SUM($D39:$F39),IF(ProjectType="DTS Only",1,IF(ProjectType="STS (Generator)",0,0.5))))),"")</f>
        <v/>
      </c>
      <c r="H40" s="44" t="str">
        <f t="shared" ref="H40:H47" si="6">IF(ISNUMBER($B40),IF(SUM($D40:$F40)&gt;0,SUM(E40)/SUM($D40:$F40),IF(SUM($D41:$F41)&gt;0,SUM(E41)/SUM($D41:$F41),IF(SUM($D39:$F39)&gt;0,SUM(E39)/SUM($D39:$F39),IF(ProjectType="DTS Only",0,IF(ProjectType="STS (Generator)",1,0.5))))),"")</f>
        <v/>
      </c>
      <c r="I40" s="36" t="str">
        <f>IF(ISNUMBER($B40),IF(SUM($D40:$F40)&gt;0,SUM(F40)/SUM($D40:$F40),IF(SUM($D41:$F41)&gt;0,SUM(F41)/SUM($D41:$F41),IF(SUM($D39:$F39)&gt;0,SUM(F39)/SUM($D39:$F39),0))),"")</f>
        <v/>
      </c>
    </row>
    <row r="41" spans="1:9" x14ac:dyDescent="0.2">
      <c r="A41" s="20">
        <f t="shared" si="4"/>
        <v>0</v>
      </c>
      <c r="B41" s="21" t="str">
        <f>IF(ISNUMBER('A1 Costs and Contract'!B49),'A1 Costs and Contract'!B49,"")</f>
        <v/>
      </c>
      <c r="C41" s="22">
        <f>'A1 Costs and Contract'!C49/12</f>
        <v>0</v>
      </c>
      <c r="D41" s="23" t="str">
        <f>IF(ISNUMBER($B41),'A1 Costs and Contract'!D49,"")</f>
        <v/>
      </c>
      <c r="E41" s="39" t="str">
        <f>IF(ISNUMBER($B41),'A1 Costs and Contract'!E49,"")</f>
        <v/>
      </c>
      <c r="F41" s="24" t="str">
        <f>IF(ISNUMBER($B41),'A1 Costs and Contract'!F49,"")</f>
        <v/>
      </c>
      <c r="G41" s="43" t="str">
        <f t="shared" si="5"/>
        <v/>
      </c>
      <c r="H41" s="44" t="str">
        <f t="shared" si="6"/>
        <v/>
      </c>
      <c r="I41" s="36" t="str">
        <f t="shared" ref="I41:I47" si="7">IF(ISNUMBER($B41),IF(SUM($D41:$F41)&gt;0,SUM(F41)/SUM($D41:$F41),IF(SUM($D42:$F42)&gt;0,SUM(F42)/SUM($D42:$F42),IF(SUM($D40:$F40)&gt;0,SUM(F40)/SUM($D40:$F40),0))),"")</f>
        <v/>
      </c>
    </row>
    <row r="42" spans="1:9" x14ac:dyDescent="0.2">
      <c r="A42" s="20">
        <f t="shared" si="4"/>
        <v>0</v>
      </c>
      <c r="B42" s="21" t="str">
        <f>IF(ISNUMBER('A1 Costs and Contract'!B50),'A1 Costs and Contract'!B50,"")</f>
        <v/>
      </c>
      <c r="C42" s="22">
        <f>'A1 Costs and Contract'!C50/12</f>
        <v>0</v>
      </c>
      <c r="D42" s="23" t="str">
        <f>IF(ISNUMBER($B42),'A1 Costs and Contract'!D50,"")</f>
        <v/>
      </c>
      <c r="E42" s="39" t="str">
        <f>IF(ISNUMBER($B42),'A1 Costs and Contract'!E50,"")</f>
        <v/>
      </c>
      <c r="F42" s="24" t="str">
        <f>IF(ISNUMBER($B42),'A1 Costs and Contract'!F50,"")</f>
        <v/>
      </c>
      <c r="G42" s="43" t="str">
        <f t="shared" si="5"/>
        <v/>
      </c>
      <c r="H42" s="44" t="str">
        <f t="shared" si="6"/>
        <v/>
      </c>
      <c r="I42" s="36" t="str">
        <f t="shared" si="7"/>
        <v/>
      </c>
    </row>
    <row r="43" spans="1:9" x14ac:dyDescent="0.2">
      <c r="A43" s="20">
        <f t="shared" si="4"/>
        <v>0</v>
      </c>
      <c r="B43" s="21" t="str">
        <f>IF(ISNUMBER('A1 Costs and Contract'!B51),'A1 Costs and Contract'!B51,"")</f>
        <v/>
      </c>
      <c r="C43" s="22">
        <f>'A1 Costs and Contract'!C51/12</f>
        <v>0</v>
      </c>
      <c r="D43" s="23" t="str">
        <f>IF(ISNUMBER($B43),'A1 Costs and Contract'!D51,"")</f>
        <v/>
      </c>
      <c r="E43" s="39" t="str">
        <f>IF(ISNUMBER($B43),'A1 Costs and Contract'!E51,"")</f>
        <v/>
      </c>
      <c r="F43" s="24" t="str">
        <f>IF(ISNUMBER($B43),'A1 Costs and Contract'!F51,"")</f>
        <v/>
      </c>
      <c r="G43" s="43" t="str">
        <f t="shared" si="5"/>
        <v/>
      </c>
      <c r="H43" s="44" t="str">
        <f t="shared" si="6"/>
        <v/>
      </c>
      <c r="I43" s="36" t="str">
        <f t="shared" si="7"/>
        <v/>
      </c>
    </row>
    <row r="44" spans="1:9" x14ac:dyDescent="0.2">
      <c r="A44" s="20">
        <f t="shared" si="4"/>
        <v>0</v>
      </c>
      <c r="B44" s="21" t="str">
        <f>IF(ISNUMBER('A1 Costs and Contract'!B52),'A1 Costs and Contract'!B52,"")</f>
        <v/>
      </c>
      <c r="C44" s="22">
        <f>'A1 Costs and Contract'!C52/12</f>
        <v>0</v>
      </c>
      <c r="D44" s="23" t="str">
        <f>IF(ISNUMBER($B44),'A1 Costs and Contract'!D52,"")</f>
        <v/>
      </c>
      <c r="E44" s="39" t="str">
        <f>IF(ISNUMBER($B44),'A1 Costs and Contract'!E52,"")</f>
        <v/>
      </c>
      <c r="F44" s="24" t="str">
        <f>IF(ISNUMBER($B44),'A1 Costs and Contract'!F52,"")</f>
        <v/>
      </c>
      <c r="G44" s="43" t="str">
        <f t="shared" si="5"/>
        <v/>
      </c>
      <c r="H44" s="44" t="str">
        <f t="shared" si="6"/>
        <v/>
      </c>
      <c r="I44" s="36" t="str">
        <f t="shared" si="7"/>
        <v/>
      </c>
    </row>
    <row r="45" spans="1:9" x14ac:dyDescent="0.2">
      <c r="A45" s="20">
        <f t="shared" si="4"/>
        <v>0</v>
      </c>
      <c r="B45" s="21" t="str">
        <f>IF(ISNUMBER('A1 Costs and Contract'!B53),'A1 Costs and Contract'!B53,"")</f>
        <v/>
      </c>
      <c r="C45" s="22">
        <f>'A1 Costs and Contract'!C53/12</f>
        <v>0</v>
      </c>
      <c r="D45" s="23" t="str">
        <f>IF(ISNUMBER($B45),'A1 Costs and Contract'!D53,"")</f>
        <v/>
      </c>
      <c r="E45" s="39" t="str">
        <f>IF(ISNUMBER($B45),'A1 Costs and Contract'!E53,"")</f>
        <v/>
      </c>
      <c r="F45" s="24" t="str">
        <f>IF(ISNUMBER($B45),'A1 Costs and Contract'!F53,"")</f>
        <v/>
      </c>
      <c r="G45" s="43" t="str">
        <f t="shared" si="5"/>
        <v/>
      </c>
      <c r="H45" s="44" t="str">
        <f t="shared" si="6"/>
        <v/>
      </c>
      <c r="I45" s="36" t="str">
        <f t="shared" si="7"/>
        <v/>
      </c>
    </row>
    <row r="46" spans="1:9" x14ac:dyDescent="0.2">
      <c r="A46" s="20">
        <f t="shared" si="4"/>
        <v>0</v>
      </c>
      <c r="B46" s="21" t="str">
        <f>IF(ISNUMBER('A1 Costs and Contract'!B54),'A1 Costs and Contract'!B54,"")</f>
        <v/>
      </c>
      <c r="C46" s="22">
        <f>'A1 Costs and Contract'!C54/12</f>
        <v>0</v>
      </c>
      <c r="D46" s="23" t="str">
        <f>IF(ISNUMBER($B46),'A1 Costs and Contract'!D54,"")</f>
        <v/>
      </c>
      <c r="E46" s="39" t="str">
        <f>IF(ISNUMBER($B46),'A1 Costs and Contract'!E54,"")</f>
        <v/>
      </c>
      <c r="F46" s="24" t="str">
        <f>IF(ISNUMBER($B46),'A1 Costs and Contract'!F54,"")</f>
        <v/>
      </c>
      <c r="G46" s="43" t="str">
        <f t="shared" si="5"/>
        <v/>
      </c>
      <c r="H46" s="44" t="str">
        <f t="shared" si="6"/>
        <v/>
      </c>
      <c r="I46" s="36" t="str">
        <f t="shared" si="7"/>
        <v/>
      </c>
    </row>
    <row r="47" spans="1:9" x14ac:dyDescent="0.2">
      <c r="A47" s="20">
        <f t="shared" si="4"/>
        <v>0</v>
      </c>
      <c r="B47" s="21" t="str">
        <f>IF(ISNUMBER('A1 Costs and Contract'!B55),'A1 Costs and Contract'!B55,"")</f>
        <v/>
      </c>
      <c r="C47" s="22">
        <f>'A1 Costs and Contract'!C55/12</f>
        <v>0</v>
      </c>
      <c r="D47" s="23" t="str">
        <f>IF(ISNUMBER($B47),'A1 Costs and Contract'!D55,"")</f>
        <v/>
      </c>
      <c r="E47" s="39" t="str">
        <f>IF(ISNUMBER($B47),'A1 Costs and Contract'!E55,"")</f>
        <v/>
      </c>
      <c r="F47" s="24" t="str">
        <f>IF(ISNUMBER($B47),'A1 Costs and Contract'!F55,"")</f>
        <v/>
      </c>
      <c r="G47" s="43" t="str">
        <f t="shared" si="5"/>
        <v/>
      </c>
      <c r="H47" s="44" t="str">
        <f t="shared" si="6"/>
        <v/>
      </c>
      <c r="I47" s="36" t="str">
        <f t="shared" si="7"/>
        <v/>
      </c>
    </row>
    <row r="48" spans="1:9" x14ac:dyDescent="0.2">
      <c r="A48" s="25">
        <f t="shared" si="4"/>
        <v>0</v>
      </c>
      <c r="B48" s="26" t="str">
        <f>IF(ISNUMBER('A1 Costs and Contract'!B56),'A1 Costs and Contract'!B56,"")</f>
        <v/>
      </c>
      <c r="C48" s="27">
        <f>'A1 Costs and Contract'!C56/12</f>
        <v>0</v>
      </c>
      <c r="D48" s="28" t="str">
        <f>IF(ISNUMBER($B48),'A1 Costs and Contract'!D56,"")</f>
        <v/>
      </c>
      <c r="E48" s="40" t="str">
        <f>IF(ISNUMBER($B48),'A1 Costs and Contract'!E56,"")</f>
        <v/>
      </c>
      <c r="F48" s="29" t="str">
        <f>IF(ISNUMBER($B48),'A1 Costs and Contract'!F56,"")</f>
        <v/>
      </c>
      <c r="G48" s="45" t="str">
        <f>IF(ISNUMBER($B48),IF(SUM($D48:$F48)&gt;0,SUM(D48)/SUM($D48:$F48),IF(SUM($D47:$F47)&gt;0,SUM(D47)/SUM($D47:$F47),IF(ProjectType="DTS Only",1,IF(ProjectType="STS (Generator)",0,0.5)))),"")</f>
        <v/>
      </c>
      <c r="H48" s="46" t="str">
        <f>IF(ISNUMBER($B48),IF(SUM($D48:$F48)&gt;0,SUM(E48)/SUM($D48:$F48),IF(SUM($D47:$F47)&gt;0,SUM(E47)/SUM($D47:$F47),IF(ProjectType="DTS Only",0,IF(ProjectType="STS (Generator)",1,0.5)))),"")</f>
        <v/>
      </c>
      <c r="I48" s="37" t="str">
        <f>IF(ISNUMBER($B48),IF(SUM($D48:$F48)&gt;0,SUM(F48)/SUM($D48:$F48),IF(SUM($D47:$F47)&gt;0,SUM(F47)/SUM($D47:$F47),0)),"")</f>
        <v/>
      </c>
    </row>
    <row r="49" spans="1:9" x14ac:dyDescent="0.2">
      <c r="A49" s="91"/>
      <c r="B49" s="92" t="s">
        <v>8</v>
      </c>
      <c r="C49" s="107">
        <f>SUM(C39:C48)</f>
        <v>20</v>
      </c>
      <c r="F49" s="93" t="s">
        <v>52</v>
      </c>
      <c r="G49" s="103">
        <f>SUMPRODUCT($C39:$C48,G39:G48)/$C49</f>
        <v>1</v>
      </c>
      <c r="H49" s="104">
        <f>SUMPRODUCT($C39:$C48,H39:H48)/$C49</f>
        <v>0</v>
      </c>
      <c r="I49" s="105">
        <f>SUMPRODUCT($C39:$C48,I39:I48)/$C49</f>
        <v>0</v>
      </c>
    </row>
    <row r="51" spans="1:9" x14ac:dyDescent="0.2">
      <c r="A51" t="s">
        <v>55</v>
      </c>
      <c r="G51" s="128">
        <f>IF(AND(SUM($G49:$I49)=0,ProjectType&lt;&gt;"STS (Generator)"),$G$15,$G$15*G49)</f>
        <v>0</v>
      </c>
      <c r="H51" s="129">
        <f>IF(AND(SUM($G49:$I49)=0,ProjectType="STS (Generator)"),$G$15,$G$15*H49)</f>
        <v>0</v>
      </c>
      <c r="I51" s="130">
        <f>$G$15*I49</f>
        <v>0</v>
      </c>
    </row>
  </sheetData>
  <mergeCells count="16">
    <mergeCell ref="G37:H37"/>
    <mergeCell ref="G36:I36"/>
    <mergeCell ref="A36:C36"/>
    <mergeCell ref="D36:F36"/>
    <mergeCell ref="D37:E37"/>
    <mergeCell ref="A7:I7"/>
    <mergeCell ref="D18:E18"/>
    <mergeCell ref="G17:I17"/>
    <mergeCell ref="G18:H18"/>
    <mergeCell ref="G15:I15"/>
    <mergeCell ref="C9:G9"/>
    <mergeCell ref="C10:G10"/>
    <mergeCell ref="A17:C17"/>
    <mergeCell ref="D17:F17"/>
    <mergeCell ref="C11:D11"/>
    <mergeCell ref="F11:G11"/>
  </mergeCells>
  <phoneticPr fontId="5" type="noConversion"/>
  <conditionalFormatting sqref="D19">
    <cfRule type="cellIs" dxfId="36" priority="13" stopIfTrue="1" operator="notEqual">
      <formula>"DTS"</formula>
    </cfRule>
  </conditionalFormatting>
  <conditionalFormatting sqref="E19">
    <cfRule type="cellIs" dxfId="35" priority="14" stopIfTrue="1" operator="notEqual">
      <formula>"STS"</formula>
    </cfRule>
  </conditionalFormatting>
  <conditionalFormatting sqref="F39:F48 I32 F20:F29 I20:I30 I39:I48">
    <cfRule type="expression" dxfId="34" priority="15" stopIfTrue="1">
      <formula>OtherParticipant="No"</formula>
    </cfRule>
  </conditionalFormatting>
  <conditionalFormatting sqref="G39:G48">
    <cfRule type="expression" dxfId="33" priority="16" stopIfTrue="1">
      <formula>$G$38&lt;&gt;"DTS"</formula>
    </cfRule>
  </conditionalFormatting>
  <conditionalFormatting sqref="H39:H48">
    <cfRule type="expression" dxfId="32" priority="17" stopIfTrue="1">
      <formula>$H$38&lt;&gt;"STS"</formula>
    </cfRule>
  </conditionalFormatting>
  <conditionalFormatting sqref="D39:D48">
    <cfRule type="expression" dxfId="31" priority="18" stopIfTrue="1">
      <formula>$D$38&lt;&gt;"DTS"</formula>
    </cfRule>
  </conditionalFormatting>
  <conditionalFormatting sqref="E39:E48">
    <cfRule type="expression" dxfId="30" priority="19" stopIfTrue="1">
      <formula>$E$38&lt;&gt;"STS"</formula>
    </cfRule>
  </conditionalFormatting>
  <conditionalFormatting sqref="D20:D29">
    <cfRule type="expression" dxfId="29" priority="20" stopIfTrue="1">
      <formula>$D$19&lt;&gt;"DTS"</formula>
    </cfRule>
  </conditionalFormatting>
  <conditionalFormatting sqref="E20:E29">
    <cfRule type="expression" dxfId="28" priority="21" stopIfTrue="1">
      <formula>$E$19&lt;&gt;"STS"</formula>
    </cfRule>
  </conditionalFormatting>
  <conditionalFormatting sqref="G20:G30 G32">
    <cfRule type="expression" dxfId="27" priority="22" stopIfTrue="1">
      <formula>$G$19&lt;&gt;"DTS"</formula>
    </cfRule>
  </conditionalFormatting>
  <conditionalFormatting sqref="H20:H30 H32">
    <cfRule type="expression" dxfId="26" priority="23" stopIfTrue="1">
      <formula>$H$19&lt;&gt;"STS"</formula>
    </cfRule>
  </conditionalFormatting>
  <conditionalFormatting sqref="I49">
    <cfRule type="expression" dxfId="25" priority="10" stopIfTrue="1">
      <formula>OtherParticipant="No"</formula>
    </cfRule>
  </conditionalFormatting>
  <conditionalFormatting sqref="G49">
    <cfRule type="expression" dxfId="24" priority="11" stopIfTrue="1">
      <formula>$G$19&lt;&gt;"DTS"</formula>
    </cfRule>
  </conditionalFormatting>
  <conditionalFormatting sqref="H49">
    <cfRule type="expression" dxfId="23" priority="12" stopIfTrue="1">
      <formula>$H$19&lt;&gt;"STS"</formula>
    </cfRule>
  </conditionalFormatting>
  <conditionalFormatting sqref="I51">
    <cfRule type="expression" dxfId="22" priority="7" stopIfTrue="1">
      <formula>OtherParticipant="No"</formula>
    </cfRule>
  </conditionalFormatting>
  <conditionalFormatting sqref="G51">
    <cfRule type="expression" dxfId="21" priority="8" stopIfTrue="1">
      <formula>$G$19&lt;&gt;"DTS"</formula>
    </cfRule>
  </conditionalFormatting>
  <conditionalFormatting sqref="H51">
    <cfRule type="expression" dxfId="20" priority="9" stopIfTrue="1">
      <formula>$H$19&lt;&gt;"STS"</formula>
    </cfRule>
  </conditionalFormatting>
  <conditionalFormatting sqref="G19">
    <cfRule type="cellIs" dxfId="19" priority="5" stopIfTrue="1" operator="notEqual">
      <formula>"DTS"</formula>
    </cfRule>
  </conditionalFormatting>
  <conditionalFormatting sqref="H19">
    <cfRule type="cellIs" dxfId="18" priority="6" stopIfTrue="1" operator="notEqual">
      <formula>"STS"</formula>
    </cfRule>
  </conditionalFormatting>
  <conditionalFormatting sqref="D38">
    <cfRule type="cellIs" dxfId="17" priority="3" stopIfTrue="1" operator="notEqual">
      <formula>"DTS"</formula>
    </cfRule>
  </conditionalFormatting>
  <conditionalFormatting sqref="E38">
    <cfRule type="cellIs" dxfId="16" priority="4" stopIfTrue="1" operator="notEqual">
      <formula>"STS"</formula>
    </cfRule>
  </conditionalFormatting>
  <conditionalFormatting sqref="G38">
    <cfRule type="cellIs" dxfId="15" priority="1" stopIfTrue="1" operator="notEqual">
      <formula>"DTS"</formula>
    </cfRule>
  </conditionalFormatting>
  <conditionalFormatting sqref="H38">
    <cfRule type="cellIs" dxfId="14" priority="2" stopIfTrue="1" operator="notEqual">
      <formula>"STS"</formula>
    </cfRule>
  </conditionalFormatting>
  <pageMargins left="0.75" right="0.75" top="0.5" bottom="0.85" header="0.5" footer="0.5"/>
  <pageSetup scale="94" orientation="portrait" r:id="rId1"/>
  <headerFooter alignWithMargins="0">
    <oddFooter>&amp;L&amp;8Appendix to Contribution Calculator for 2021 Tariff (AESO ID No. 2021-016T)
Filename: &amp;F — Page &amp;P of &amp;N&amp;R&amp;8Confidentiality: Proprietary When Competed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1"/>
  <sheetViews>
    <sheetView showGridLines="0" topLeftCell="A7" workbookViewId="0">
      <selection activeCell="L19" sqref="L19"/>
    </sheetView>
  </sheetViews>
  <sheetFormatPr defaultColWidth="11.7109375" defaultRowHeight="12.75" x14ac:dyDescent="0.2"/>
  <cols>
    <col min="1" max="1" width="5.7109375" customWidth="1"/>
    <col min="2" max="2" width="10.140625" customWidth="1"/>
    <col min="3" max="8" width="11" customWidth="1"/>
    <col min="9" max="9" width="12.7109375" customWidth="1"/>
    <col min="10" max="10" width="6" customWidth="1"/>
  </cols>
  <sheetData>
    <row r="1" spans="1:9" s="306" customFormat="1" x14ac:dyDescent="0.2"/>
    <row r="2" spans="1:9" s="306" customFormat="1" x14ac:dyDescent="0.2"/>
    <row r="3" spans="1:9" s="306" customFormat="1" x14ac:dyDescent="0.2"/>
    <row r="4" spans="1:9" s="306" customFormat="1" x14ac:dyDescent="0.2"/>
    <row r="5" spans="1:9" s="306" customFormat="1" x14ac:dyDescent="0.2"/>
    <row r="6" spans="1:9" s="306" customFormat="1" x14ac:dyDescent="0.2"/>
    <row r="7" spans="1:9" s="137" customFormat="1" ht="18.75" x14ac:dyDescent="0.4">
      <c r="A7" s="481" t="s">
        <v>342</v>
      </c>
      <c r="B7" s="481"/>
      <c r="C7" s="481"/>
      <c r="D7" s="481"/>
      <c r="E7" s="481"/>
      <c r="F7" s="481"/>
      <c r="G7" s="481"/>
      <c r="H7" s="481"/>
      <c r="I7" s="481"/>
    </row>
    <row r="8" spans="1:9" s="137" customFormat="1" ht="7.15" customHeight="1" x14ac:dyDescent="0.4">
      <c r="A8" s="396"/>
      <c r="B8" s="396"/>
      <c r="C8" s="396"/>
      <c r="D8" s="396"/>
      <c r="E8" s="396"/>
      <c r="F8" s="396"/>
      <c r="G8" s="396"/>
      <c r="H8" s="396"/>
      <c r="I8" s="396"/>
    </row>
    <row r="9" spans="1:9" s="138" customFormat="1" ht="8.25" x14ac:dyDescent="0.15"/>
    <row r="10" spans="1:9" x14ac:dyDescent="0.2">
      <c r="A10" t="s">
        <v>341</v>
      </c>
      <c r="C10" s="443" t="str">
        <f>ParticipantName</f>
        <v>Name of Market Participant</v>
      </c>
      <c r="D10" s="443"/>
      <c r="E10" s="443"/>
      <c r="F10" s="443"/>
      <c r="G10" s="443"/>
      <c r="H10" s="3" t="s">
        <v>0</v>
      </c>
      <c r="I10" s="296" t="str">
        <f>'A1 Costs and Contract'!I10</f>
        <v>AESO 2021</v>
      </c>
    </row>
    <row r="11" spans="1:9" x14ac:dyDescent="0.2">
      <c r="A11" s="307" t="s">
        <v>321</v>
      </c>
      <c r="C11" s="443" t="str">
        <f>ProjectName</f>
        <v>Project Name</v>
      </c>
      <c r="D11" s="443"/>
      <c r="E11" s="443"/>
      <c r="F11" s="443"/>
      <c r="G11" s="443"/>
      <c r="H11" s="3" t="s">
        <v>1</v>
      </c>
      <c r="I11" s="402">
        <f>'A1 Costs and Contract'!I11</f>
        <v>44197</v>
      </c>
    </row>
    <row r="12" spans="1:9" x14ac:dyDescent="0.2">
      <c r="A12" s="307" t="s">
        <v>331</v>
      </c>
      <c r="C12" s="444" t="str">
        <f>ProjectNumber</f>
        <v>Project Number</v>
      </c>
      <c r="D12" s="444"/>
      <c r="E12" s="3" t="s">
        <v>2</v>
      </c>
      <c r="F12" s="444" t="str">
        <f>ProjectType</f>
        <v>DTS Only</v>
      </c>
      <c r="G12" s="444"/>
      <c r="H12" s="3" t="s">
        <v>13</v>
      </c>
      <c r="I12" s="402" t="str">
        <f>'A1 Costs and Contract'!I12</f>
        <v>Current</v>
      </c>
    </row>
    <row r="13" spans="1:9" x14ac:dyDescent="0.2">
      <c r="I13" s="403"/>
    </row>
    <row r="14" spans="1:9" x14ac:dyDescent="0.2">
      <c r="A14" s="1" t="s">
        <v>56</v>
      </c>
      <c r="B14" s="1"/>
      <c r="C14" s="1"/>
      <c r="D14" s="1"/>
      <c r="E14" s="1"/>
      <c r="F14" s="1"/>
      <c r="G14" s="1"/>
      <c r="H14" s="1"/>
      <c r="I14" s="122">
        <f>'A3 Allocation and Fractions'!G32</f>
        <v>0</v>
      </c>
    </row>
    <row r="16" spans="1:9" x14ac:dyDescent="0.2">
      <c r="A16" s="493" t="s">
        <v>229</v>
      </c>
      <c r="B16" s="494"/>
      <c r="C16" s="494"/>
      <c r="D16" s="494"/>
      <c r="E16" s="494"/>
      <c r="F16" s="494"/>
      <c r="G16" s="495"/>
    </row>
    <row r="17" spans="1:11" x14ac:dyDescent="0.2">
      <c r="A17" s="496" t="s">
        <v>45</v>
      </c>
      <c r="B17" s="500"/>
      <c r="C17" s="79" t="s">
        <v>26</v>
      </c>
      <c r="D17" s="79" t="s">
        <v>31</v>
      </c>
      <c r="E17" s="79" t="s">
        <v>32</v>
      </c>
      <c r="F17" s="79" t="s">
        <v>33</v>
      </c>
      <c r="G17" s="80" t="s">
        <v>34</v>
      </c>
    </row>
    <row r="18" spans="1:11" x14ac:dyDescent="0.2">
      <c r="A18" s="501" t="s">
        <v>19</v>
      </c>
      <c r="B18" s="502"/>
      <c r="C18" s="77">
        <f>IF(ReceivePSC="No",INDEX(InvestmentColumnB,MATCH($I$10,AESOTariffs,0)+1,MATCH(C$17,InvestmentTiers,0)),INDEX(InvestmentColumnC,MATCH($I$10,AESOTariffs,0)+1,MATCH(C$17,InvestmentTiers,0)))</f>
        <v>106850</v>
      </c>
      <c r="D18" s="77">
        <f>IF(ReceivePSC="No",INDEX(InvestmentColumnB,MATCH($I$10,AESOTariffs,0)+1,MATCH(D$17,InvestmentTiers,0)),INDEX(InvestmentColumnC,MATCH($I$10,AESOTariffs,0)+1,MATCH(D$17,InvestmentTiers,0)))</f>
        <v>35150</v>
      </c>
      <c r="E18" s="77">
        <f>IF(ReceivePSC="No",INDEX(InvestmentColumnB,MATCH($I$10,AESOTariffs,0)+1,MATCH(E$17,InvestmentTiers,0)),INDEX(InvestmentColumnC,MATCH($I$10,AESOTariffs,0)+1,MATCH(E$17,InvestmentTiers,0)))</f>
        <v>20850</v>
      </c>
      <c r="F18" s="77">
        <f>IF(ReceivePSC="No",INDEX(InvestmentColumnB,MATCH($I$10,AESOTariffs,0)+1,MATCH(F$17,InvestmentTiers,0)),INDEX(InvestmentColumnC,MATCH($I$10,AESOTariffs,0)+1,MATCH(F$17,InvestmentTiers,0)))</f>
        <v>14000</v>
      </c>
      <c r="G18" s="77">
        <f>IF(ReceivePSC="No",INDEX(InvestmentColumnB,MATCH($I$10,AESOTariffs,0)+1,MATCH(G$17,InvestmentTiers,0)),INDEX(InvestmentColumnC,MATCH($I$10,AESOTariffs,0)+1,MATCH(G$17,InvestmentTiers,0)))</f>
        <v>8550</v>
      </c>
      <c r="I18" s="118"/>
      <c r="J18" s="301" t="str">
        <f>IF(ISNA(C18),"Error: Select the appropriate ISO tariff from the 'A1 Costs and Contract' sheet","")</f>
        <v/>
      </c>
    </row>
    <row r="19" spans="1:11" x14ac:dyDescent="0.2">
      <c r="A19" s="503" t="s">
        <v>46</v>
      </c>
      <c r="B19" s="504"/>
      <c r="C19" s="52" t="s">
        <v>47</v>
      </c>
      <c r="D19" s="52" t="s">
        <v>48</v>
      </c>
      <c r="E19" s="52" t="s">
        <v>48</v>
      </c>
      <c r="F19" s="52" t="s">
        <v>48</v>
      </c>
      <c r="G19" s="48" t="s">
        <v>48</v>
      </c>
    </row>
    <row r="21" spans="1:11" x14ac:dyDescent="0.2">
      <c r="A21" s="484" t="str">
        <f>IF(NewOrExpansion="New","New","Incremental")&amp;" Rate DTS Contract Capacity Eligible for Investment"</f>
        <v>Incremental Rate DTS Contract Capacity Eligible for Investment</v>
      </c>
      <c r="B21" s="485"/>
      <c r="C21" s="485"/>
      <c r="D21" s="485"/>
      <c r="E21" s="485"/>
      <c r="F21" s="485"/>
      <c r="G21" s="485"/>
      <c r="H21" s="486"/>
    </row>
    <row r="22" spans="1:11" x14ac:dyDescent="0.2">
      <c r="A22" s="496" t="s">
        <v>9</v>
      </c>
      <c r="B22" s="497"/>
      <c r="C22" s="65" t="s">
        <v>26</v>
      </c>
      <c r="D22" s="7" t="s">
        <v>27</v>
      </c>
      <c r="E22" s="7" t="s">
        <v>28</v>
      </c>
      <c r="F22" s="7" t="s">
        <v>29</v>
      </c>
      <c r="G22" s="8" t="s">
        <v>30</v>
      </c>
      <c r="H22" s="66" t="s">
        <v>8</v>
      </c>
    </row>
    <row r="23" spans="1:11" x14ac:dyDescent="0.2">
      <c r="A23" s="2" t="s">
        <v>12</v>
      </c>
      <c r="B23" s="48" t="s">
        <v>15</v>
      </c>
      <c r="C23" s="63" t="s">
        <v>16</v>
      </c>
      <c r="D23" s="64" t="s">
        <v>36</v>
      </c>
      <c r="E23" s="64" t="s">
        <v>37</v>
      </c>
      <c r="F23" s="64" t="s">
        <v>38</v>
      </c>
      <c r="G23" s="11" t="s">
        <v>17</v>
      </c>
      <c r="H23" s="62" t="s">
        <v>35</v>
      </c>
    </row>
    <row r="24" spans="1:11" x14ac:dyDescent="0.2">
      <c r="A24" s="12">
        <f>'A1 Costs and Contract'!A47</f>
        <v>1</v>
      </c>
      <c r="B24" s="49">
        <f>IF(ISNUMBER('A3 Allocation and Fractions'!B39),'A3 Allocation and Fractions'!C39,"")</f>
        <v>20</v>
      </c>
      <c r="C24" s="53">
        <f>IF(NewOrExpansion="New Service",'A3 Allocation and Fractions'!G39,"")</f>
        <v>1</v>
      </c>
      <c r="D24" s="54">
        <f>IF(ISNUMBER('A3 Allocation and Fractions'!B39),
IF(SUM('A1 Costs and Contract'!D47)&gt;(7.5*SUM('A3 Allocation and Fractions'!G39)),7.5*SUM('A3 Allocation and Fractions'!G39),SUM('A1 Costs and Contract'!D47))
-IF(SUM('A1 Costs and Contract'!G47)&gt;(7.5*SUM('A3 Allocation and Fractions'!G39)),7.5*SUM('A3 Allocation and Fractions'!G39),SUM('A1 Costs and Contract'!G47)),
"")</f>
        <v>0</v>
      </c>
      <c r="E24" s="54">
        <f>IF(ISNUMBER('A3 Allocation and Fractions'!B39),
IF(SUM('A1 Costs and Contract'!D47)&gt;(7.5*SUM('A3 Allocation and Fractions'!G39)),IF(SUM('A1 Costs and Contract'!D47)&gt;(17*SUM('A3 Allocation and Fractions'!G39)),9.5*SUM('A3 Allocation and Fractions'!G39),SUM('A1 Costs and Contract'!D47)-(7.5*SUM('A3 Allocation and Fractions'!G39))),0)
-IF(SUM('A1 Costs and Contract'!G47)&gt;(7.5*SUM('A3 Allocation and Fractions'!G39)),IF(SUM('A1 Costs and Contract'!G47)&gt;(17*SUM('A3 Allocation and Fractions'!G39)),9.5*SUM('A3 Allocation and Fractions'!G39),SUM('A1 Costs and Contract'!G47)-(7.5*SUM('A3 Allocation and Fractions'!G39))),0),
"")</f>
        <v>0</v>
      </c>
      <c r="F24" s="54">
        <f>IF(ISNUMBER('A3 Allocation and Fractions'!B39),
IF(SUM('A1 Costs and Contract'!D47)&gt;(17*SUM('A3 Allocation and Fractions'!G39)),IF(SUM('A1 Costs and Contract'!D47)&gt;(40*SUM('A3 Allocation and Fractions'!G39)),23*SUM('A3 Allocation and Fractions'!G39),SUM('A1 Costs and Contract'!D47)-(17*SUM('A3 Allocation and Fractions'!G39))),0)
-IF(SUM('A1 Costs and Contract'!G47)&gt;(17*SUM('A3 Allocation and Fractions'!G39)),IF(SUM('A1 Costs and Contract'!G47)&gt;(40*SUM('A3 Allocation and Fractions'!G39)),23*SUM('A3 Allocation and Fractions'!G39),SUM('A1 Costs and Contract'!G47)-(17*SUM('A3 Allocation and Fractions'!G39))),0),
"")</f>
        <v>0</v>
      </c>
      <c r="G24" s="49">
        <f>IF(ISNUMBER('A3 Allocation and Fractions'!B39),
IF(SUM('A1 Costs and Contract'!D47)&gt;(40*SUM('A3 Allocation and Fractions'!G39)),SUM('A1 Costs and Contract'!D47)-(40*SUM('A3 Allocation and Fractions'!G39)),0)
-IF(SUM('A1 Costs and Contract'!G47)&gt;(40*SUM('A3 Allocation and Fractions'!G39)),SUM('A1 Costs and Contract'!G47)-(40*SUM('A3 Allocation and Fractions'!G39)),0),
"")</f>
        <v>0</v>
      </c>
      <c r="H24" s="59">
        <f>'A3 Allocation and Fractions'!D20</f>
        <v>0</v>
      </c>
      <c r="K24" s="307"/>
    </row>
    <row r="25" spans="1:11" x14ac:dyDescent="0.2">
      <c r="A25" s="13">
        <f>'A1 Costs and Contract'!A48</f>
        <v>0</v>
      </c>
      <c r="B25" s="50" t="str">
        <f>IF(ISNUMBER('A3 Allocation and Fractions'!B40),'A3 Allocation and Fractions'!C40,"")</f>
        <v/>
      </c>
      <c r="C25" s="55" t="str">
        <f>IF(NewOrExpansion="New Service",'A3 Allocation and Fractions'!G40,"")</f>
        <v/>
      </c>
      <c r="D25" s="56" t="str">
        <f>IF(ISNUMBER('A3 Allocation and Fractions'!B40),
IF(SUM('A1 Costs and Contract'!D48)&gt;(7.5*SUM('A3 Allocation and Fractions'!G40)),7.5*SUM('A3 Allocation and Fractions'!G40),SUM('A1 Costs and Contract'!D48))
-IF(SUM('A1 Costs and Contract'!G48)&gt;(7.5*SUM('A3 Allocation and Fractions'!G40)),7.5*SUM('A3 Allocation and Fractions'!G40),SUM('A1 Costs and Contract'!G48)),
"")</f>
        <v/>
      </c>
      <c r="E25" s="56" t="str">
        <f>IF(ISNUMBER('A3 Allocation and Fractions'!B40),
IF(SUM('A1 Costs and Contract'!D48)&gt;(7.5*SUM('A3 Allocation and Fractions'!G40)),IF(SUM('A1 Costs and Contract'!D48)&gt;(17*SUM('A3 Allocation and Fractions'!G40)),9.5*SUM('A3 Allocation and Fractions'!G40),SUM('A1 Costs and Contract'!D48)-(7.5*SUM('A3 Allocation and Fractions'!G40))),0)
-IF(SUM('A1 Costs and Contract'!G48)&gt;(7.5*SUM('A3 Allocation and Fractions'!G40)),IF(SUM('A1 Costs and Contract'!G48)&gt;(17*SUM('A3 Allocation and Fractions'!G40)),9.5*SUM('A3 Allocation and Fractions'!G40),SUM('A1 Costs and Contract'!G48)-(7.5*SUM('A3 Allocation and Fractions'!G40))),0),
"")</f>
        <v/>
      </c>
      <c r="F25" s="56" t="str">
        <f>IF(ISNUMBER('A3 Allocation and Fractions'!B40),
IF(SUM('A1 Costs and Contract'!D48)&gt;(17*SUM('A3 Allocation and Fractions'!G40)),IF(SUM('A1 Costs and Contract'!D48)&gt;(40*SUM('A3 Allocation and Fractions'!G40)),23*SUM('A3 Allocation and Fractions'!G40),SUM('A1 Costs and Contract'!D48)-(17*SUM('A3 Allocation and Fractions'!G40))),0)
-IF(SUM('A1 Costs and Contract'!G48)&gt;(17*SUM('A3 Allocation and Fractions'!G40)),IF(SUM('A1 Costs and Contract'!G48)&gt;(40*SUM('A3 Allocation and Fractions'!G40)),23*SUM('A3 Allocation and Fractions'!G40),SUM('A1 Costs and Contract'!G48)-(17*SUM('A3 Allocation and Fractions'!G40))),0),
"")</f>
        <v/>
      </c>
      <c r="G25" s="50" t="str">
        <f>IF(ISNUMBER('A3 Allocation and Fractions'!B40),
IF(SUM('A1 Costs and Contract'!D48)&gt;(40*SUM('A3 Allocation and Fractions'!G40)),SUM('A1 Costs and Contract'!D48)-(40*SUM('A3 Allocation and Fractions'!G40)),0)
-IF(SUM('A1 Costs and Contract'!G48)&gt;(40*SUM('A3 Allocation and Fractions'!G40)),SUM('A1 Costs and Contract'!G48)-(40*SUM('A3 Allocation and Fractions'!G40)),0),
"")</f>
        <v/>
      </c>
      <c r="H25" s="60" t="str">
        <f>'A3 Allocation and Fractions'!D21</f>
        <v/>
      </c>
    </row>
    <row r="26" spans="1:11" x14ac:dyDescent="0.2">
      <c r="A26" s="13">
        <f>'A1 Costs and Contract'!A49</f>
        <v>0</v>
      </c>
      <c r="B26" s="50" t="str">
        <f>IF(ISNUMBER('A3 Allocation and Fractions'!B41),'A3 Allocation and Fractions'!C41,"")</f>
        <v/>
      </c>
      <c r="C26" s="55" t="str">
        <f>IF(NewOrExpansion="New Service",'A3 Allocation and Fractions'!G41,"")</f>
        <v/>
      </c>
      <c r="D26" s="56" t="str">
        <f>IF(ISNUMBER('A3 Allocation and Fractions'!B41),
IF(SUM('A1 Costs and Contract'!D49)&gt;(7.5*SUM('A3 Allocation and Fractions'!G41)),7.5*SUM('A3 Allocation and Fractions'!G41),SUM('A1 Costs and Contract'!D49))
-IF(SUM('A1 Costs and Contract'!G49)&gt;(7.5*SUM('A3 Allocation and Fractions'!G41)),7.5*SUM('A3 Allocation and Fractions'!G41),SUM('A1 Costs and Contract'!G49)),
"")</f>
        <v/>
      </c>
      <c r="E26" s="56" t="str">
        <f>IF(ISNUMBER('A3 Allocation and Fractions'!B41),
IF(SUM('A1 Costs and Contract'!D49)&gt;(7.5*SUM('A3 Allocation and Fractions'!G41)),IF(SUM('A1 Costs and Contract'!D49)&gt;(17*SUM('A3 Allocation and Fractions'!G41)),9.5*SUM('A3 Allocation and Fractions'!G41),SUM('A1 Costs and Contract'!D49)-(7.5*SUM('A3 Allocation and Fractions'!G41))),0)
-IF(SUM('A1 Costs and Contract'!G49)&gt;(7.5*SUM('A3 Allocation and Fractions'!G41)),IF(SUM('A1 Costs and Contract'!G49)&gt;(17*SUM('A3 Allocation and Fractions'!G41)),9.5*SUM('A3 Allocation and Fractions'!G41),SUM('A1 Costs and Contract'!G49)-(7.5*SUM('A3 Allocation and Fractions'!G41))),0),
"")</f>
        <v/>
      </c>
      <c r="F26" s="56" t="str">
        <f>IF(ISNUMBER('A3 Allocation and Fractions'!B41),
IF(SUM('A1 Costs and Contract'!D49)&gt;(17*SUM('A3 Allocation and Fractions'!G41)),IF(SUM('A1 Costs and Contract'!D49)&gt;(40*SUM('A3 Allocation and Fractions'!G41)),23*SUM('A3 Allocation and Fractions'!G41),SUM('A1 Costs and Contract'!D49)-(17*SUM('A3 Allocation and Fractions'!G41))),0)
-IF(SUM('A1 Costs and Contract'!G49)&gt;(17*SUM('A3 Allocation and Fractions'!G41)),IF(SUM('A1 Costs and Contract'!G49)&gt;(40*SUM('A3 Allocation and Fractions'!G41)),23*SUM('A3 Allocation and Fractions'!G41),SUM('A1 Costs and Contract'!G49)-(17*SUM('A3 Allocation and Fractions'!G41))),0),
"")</f>
        <v/>
      </c>
      <c r="G26" s="50" t="str">
        <f>IF(ISNUMBER('A3 Allocation and Fractions'!B41),
IF(SUM('A1 Costs and Contract'!D49)&gt;(40*SUM('A3 Allocation and Fractions'!G41)),SUM('A1 Costs and Contract'!D49)-(40*SUM('A3 Allocation and Fractions'!G41)),0)
-IF(SUM('A1 Costs and Contract'!G49)&gt;(40*SUM('A3 Allocation and Fractions'!G41)),SUM('A1 Costs and Contract'!G49)-(40*SUM('A3 Allocation and Fractions'!G41)),0),
"")</f>
        <v/>
      </c>
      <c r="H26" s="60" t="str">
        <f>'A3 Allocation and Fractions'!D22</f>
        <v/>
      </c>
    </row>
    <row r="27" spans="1:11" x14ac:dyDescent="0.2">
      <c r="A27" s="13">
        <f>'A1 Costs and Contract'!A50</f>
        <v>0</v>
      </c>
      <c r="B27" s="50" t="str">
        <f>IF(ISNUMBER('A3 Allocation and Fractions'!B42),'A3 Allocation and Fractions'!C42,"")</f>
        <v/>
      </c>
      <c r="C27" s="55" t="str">
        <f>IF(NewOrExpansion="New Service",'A3 Allocation and Fractions'!G42,"")</f>
        <v/>
      </c>
      <c r="D27" s="56" t="str">
        <f>IF(ISNUMBER('A3 Allocation and Fractions'!B42),
IF(SUM('A1 Costs and Contract'!D50)&gt;(7.5*SUM('A3 Allocation and Fractions'!G42)),7.5*SUM('A3 Allocation and Fractions'!G42),SUM('A1 Costs and Contract'!D50))
-IF(SUM('A1 Costs and Contract'!G50)&gt;(7.5*SUM('A3 Allocation and Fractions'!G42)),7.5*SUM('A3 Allocation and Fractions'!G42),SUM('A1 Costs and Contract'!G50)),
"")</f>
        <v/>
      </c>
      <c r="E27" s="56" t="str">
        <f>IF(ISNUMBER('A3 Allocation and Fractions'!B42),
IF(SUM('A1 Costs and Contract'!D50)&gt;(7.5*SUM('A3 Allocation and Fractions'!G42)),IF(SUM('A1 Costs and Contract'!D50)&gt;(17*SUM('A3 Allocation and Fractions'!G42)),9.5*SUM('A3 Allocation and Fractions'!G42),SUM('A1 Costs and Contract'!D50)-(7.5*SUM('A3 Allocation and Fractions'!G42))),0)
-IF(SUM('A1 Costs and Contract'!G50)&gt;(7.5*SUM('A3 Allocation and Fractions'!G42)),IF(SUM('A1 Costs and Contract'!G50)&gt;(17*SUM('A3 Allocation and Fractions'!G42)),9.5*SUM('A3 Allocation and Fractions'!G42),SUM('A1 Costs and Contract'!G50)-(7.5*SUM('A3 Allocation and Fractions'!G42))),0),
"")</f>
        <v/>
      </c>
      <c r="F27" s="56" t="str">
        <f>IF(ISNUMBER('A3 Allocation and Fractions'!B42),
IF(SUM('A1 Costs and Contract'!D50)&gt;(17*SUM('A3 Allocation and Fractions'!G42)),IF(SUM('A1 Costs and Contract'!D50)&gt;(40*SUM('A3 Allocation and Fractions'!G42)),23*SUM('A3 Allocation and Fractions'!G42),SUM('A1 Costs and Contract'!D50)-(17*SUM('A3 Allocation and Fractions'!G42))),0)
-IF(SUM('A1 Costs and Contract'!G50)&gt;(17*SUM('A3 Allocation and Fractions'!G42)),IF(SUM('A1 Costs and Contract'!G50)&gt;(40*SUM('A3 Allocation and Fractions'!G42)),23*SUM('A3 Allocation and Fractions'!G42),SUM('A1 Costs and Contract'!G50)-(17*SUM('A3 Allocation and Fractions'!G42))),0),
"")</f>
        <v/>
      </c>
      <c r="G27" s="50" t="str">
        <f>IF(ISNUMBER('A3 Allocation and Fractions'!B42),
IF(SUM('A1 Costs and Contract'!D50)&gt;(40*SUM('A3 Allocation and Fractions'!G42)),SUM('A1 Costs and Contract'!D50)-(40*SUM('A3 Allocation and Fractions'!G42)),0)
-IF(SUM('A1 Costs and Contract'!G50)&gt;(40*SUM('A3 Allocation and Fractions'!G42)),SUM('A1 Costs and Contract'!G50)-(40*SUM('A3 Allocation and Fractions'!G42)),0),
"")</f>
        <v/>
      </c>
      <c r="H27" s="60" t="str">
        <f>'A3 Allocation and Fractions'!D23</f>
        <v/>
      </c>
    </row>
    <row r="28" spans="1:11" x14ac:dyDescent="0.2">
      <c r="A28" s="13">
        <f>'A1 Costs and Contract'!A51</f>
        <v>0</v>
      </c>
      <c r="B28" s="50" t="str">
        <f>IF(ISNUMBER('A3 Allocation and Fractions'!B43),'A3 Allocation and Fractions'!C43,"")</f>
        <v/>
      </c>
      <c r="C28" s="55" t="str">
        <f>IF(NewOrExpansion="New Service",'A3 Allocation and Fractions'!G43,"")</f>
        <v/>
      </c>
      <c r="D28" s="56" t="str">
        <f>IF(ISNUMBER('A3 Allocation and Fractions'!B43),
IF(SUM('A1 Costs and Contract'!D51)&gt;(7.5*SUM('A3 Allocation and Fractions'!G43)),7.5*SUM('A3 Allocation and Fractions'!G43),SUM('A1 Costs and Contract'!D51))
-IF(SUM('A1 Costs and Contract'!G51)&gt;(7.5*SUM('A3 Allocation and Fractions'!G43)),7.5*SUM('A3 Allocation and Fractions'!G43),SUM('A1 Costs and Contract'!G51)),
"")</f>
        <v/>
      </c>
      <c r="E28" s="56" t="str">
        <f>IF(ISNUMBER('A3 Allocation and Fractions'!B43),
IF(SUM('A1 Costs and Contract'!D51)&gt;(7.5*SUM('A3 Allocation and Fractions'!G43)),IF(SUM('A1 Costs and Contract'!D51)&gt;(17*SUM('A3 Allocation and Fractions'!G43)),9.5*SUM('A3 Allocation and Fractions'!G43),SUM('A1 Costs and Contract'!D51)-(7.5*SUM('A3 Allocation and Fractions'!G43))),0)
-IF(SUM('A1 Costs and Contract'!G51)&gt;(7.5*SUM('A3 Allocation and Fractions'!G43)),IF(SUM('A1 Costs and Contract'!G51)&gt;(17*SUM('A3 Allocation and Fractions'!G43)),9.5*SUM('A3 Allocation and Fractions'!G43),SUM('A1 Costs and Contract'!G51)-(7.5*SUM('A3 Allocation and Fractions'!G43))),0),
"")</f>
        <v/>
      </c>
      <c r="F28" s="56" t="str">
        <f>IF(ISNUMBER('A3 Allocation and Fractions'!B43),
IF(SUM('A1 Costs and Contract'!D51)&gt;(17*SUM('A3 Allocation and Fractions'!G43)),IF(SUM('A1 Costs and Contract'!D51)&gt;(40*SUM('A3 Allocation and Fractions'!G43)),23*SUM('A3 Allocation and Fractions'!G43),SUM('A1 Costs and Contract'!D51)-(17*SUM('A3 Allocation and Fractions'!G43))),0)
-IF(SUM('A1 Costs and Contract'!G51)&gt;(17*SUM('A3 Allocation and Fractions'!G43)),IF(SUM('A1 Costs and Contract'!G51)&gt;(40*SUM('A3 Allocation and Fractions'!G43)),23*SUM('A3 Allocation and Fractions'!G43),SUM('A1 Costs and Contract'!G51)-(17*SUM('A3 Allocation and Fractions'!G43))),0),
"")</f>
        <v/>
      </c>
      <c r="G28" s="50" t="str">
        <f>IF(ISNUMBER('A3 Allocation and Fractions'!B43),
IF(SUM('A1 Costs and Contract'!D51)&gt;(40*SUM('A3 Allocation and Fractions'!G43)),SUM('A1 Costs and Contract'!D51)-(40*SUM('A3 Allocation and Fractions'!G43)),0)
-IF(SUM('A1 Costs and Contract'!G51)&gt;(40*SUM('A3 Allocation and Fractions'!G43)),SUM('A1 Costs and Contract'!G51)-(40*SUM('A3 Allocation and Fractions'!G43)),0),
"")</f>
        <v/>
      </c>
      <c r="H28" s="60" t="str">
        <f>'A3 Allocation and Fractions'!D24</f>
        <v/>
      </c>
    </row>
    <row r="29" spans="1:11" x14ac:dyDescent="0.2">
      <c r="A29" s="13">
        <f>'A1 Costs and Contract'!A52</f>
        <v>0</v>
      </c>
      <c r="B29" s="50" t="str">
        <f>IF(ISNUMBER('A3 Allocation and Fractions'!B44),'A3 Allocation and Fractions'!C44,"")</f>
        <v/>
      </c>
      <c r="C29" s="55" t="str">
        <f>IF(NewOrExpansion="New Service",'A3 Allocation and Fractions'!G44,"")</f>
        <v/>
      </c>
      <c r="D29" s="56" t="str">
        <f>IF(ISNUMBER('A3 Allocation and Fractions'!B44),
IF(SUM('A1 Costs and Contract'!D52)&gt;(7.5*SUM('A3 Allocation and Fractions'!G44)),7.5*SUM('A3 Allocation and Fractions'!G44),SUM('A1 Costs and Contract'!D52))
-IF(SUM('A1 Costs and Contract'!G52)&gt;(7.5*SUM('A3 Allocation and Fractions'!G44)),7.5*SUM('A3 Allocation and Fractions'!G44),SUM('A1 Costs and Contract'!G52)),
"")</f>
        <v/>
      </c>
      <c r="E29" s="56" t="str">
        <f>IF(ISNUMBER('A3 Allocation and Fractions'!B44),
IF(SUM('A1 Costs and Contract'!D52)&gt;(7.5*SUM('A3 Allocation and Fractions'!G44)),IF(SUM('A1 Costs and Contract'!D52)&gt;(17*SUM('A3 Allocation and Fractions'!G44)),9.5*SUM('A3 Allocation and Fractions'!G44),SUM('A1 Costs and Contract'!D52)-(7.5*SUM('A3 Allocation and Fractions'!G44))),0)
-IF(SUM('A1 Costs and Contract'!G52)&gt;(7.5*SUM('A3 Allocation and Fractions'!G44)),IF(SUM('A1 Costs and Contract'!G52)&gt;(17*SUM('A3 Allocation and Fractions'!G44)),9.5*SUM('A3 Allocation and Fractions'!G44),SUM('A1 Costs and Contract'!G52)-(7.5*SUM('A3 Allocation and Fractions'!G44))),0),
"")</f>
        <v/>
      </c>
      <c r="F29" s="56" t="str">
        <f>IF(ISNUMBER('A3 Allocation and Fractions'!B44),
IF(SUM('A1 Costs and Contract'!D52)&gt;(17*SUM('A3 Allocation and Fractions'!G44)),IF(SUM('A1 Costs and Contract'!D52)&gt;(40*SUM('A3 Allocation and Fractions'!G44)),23*SUM('A3 Allocation and Fractions'!G44),SUM('A1 Costs and Contract'!D52)-(17*SUM('A3 Allocation and Fractions'!G44))),0)
-IF(SUM('A1 Costs and Contract'!G52)&gt;(17*SUM('A3 Allocation and Fractions'!G44)),IF(SUM('A1 Costs and Contract'!G52)&gt;(40*SUM('A3 Allocation and Fractions'!G44)),23*SUM('A3 Allocation and Fractions'!G44),SUM('A1 Costs and Contract'!G52)-(17*SUM('A3 Allocation and Fractions'!G44))),0),
"")</f>
        <v/>
      </c>
      <c r="G29" s="50" t="str">
        <f>IF(ISNUMBER('A3 Allocation and Fractions'!B44),
IF(SUM('A1 Costs and Contract'!D52)&gt;(40*SUM('A3 Allocation and Fractions'!G44)),SUM('A1 Costs and Contract'!D52)-(40*SUM('A3 Allocation and Fractions'!G44)),0)
-IF(SUM('A1 Costs and Contract'!G52)&gt;(40*SUM('A3 Allocation and Fractions'!G44)),SUM('A1 Costs and Contract'!G52)-(40*SUM('A3 Allocation and Fractions'!G44)),0),
"")</f>
        <v/>
      </c>
      <c r="H29" s="60" t="str">
        <f>'A3 Allocation and Fractions'!D25</f>
        <v/>
      </c>
    </row>
    <row r="30" spans="1:11" x14ac:dyDescent="0.2">
      <c r="A30" s="13">
        <f>'A1 Costs and Contract'!A53</f>
        <v>0</v>
      </c>
      <c r="B30" s="50" t="str">
        <f>IF(ISNUMBER('A3 Allocation and Fractions'!B45),'A3 Allocation and Fractions'!C45,"")</f>
        <v/>
      </c>
      <c r="C30" s="55" t="str">
        <f>IF(NewOrExpansion="New Service",'A3 Allocation and Fractions'!G45,"")</f>
        <v/>
      </c>
      <c r="D30" s="56" t="str">
        <f>IF(ISNUMBER('A3 Allocation and Fractions'!B45),
IF(SUM('A1 Costs and Contract'!D53)&gt;(7.5*SUM('A3 Allocation and Fractions'!G45)),7.5*SUM('A3 Allocation and Fractions'!G45),SUM('A1 Costs and Contract'!D53))
-IF(SUM('A1 Costs and Contract'!G53)&gt;(7.5*SUM('A3 Allocation and Fractions'!G45)),7.5*SUM('A3 Allocation and Fractions'!G45),SUM('A1 Costs and Contract'!G53)),
"")</f>
        <v/>
      </c>
      <c r="E30" s="56" t="str">
        <f>IF(ISNUMBER('A3 Allocation and Fractions'!B45),
IF(SUM('A1 Costs and Contract'!D53)&gt;(7.5*SUM('A3 Allocation and Fractions'!G45)),IF(SUM('A1 Costs and Contract'!D53)&gt;(17*SUM('A3 Allocation and Fractions'!G45)),9.5*SUM('A3 Allocation and Fractions'!G45),SUM('A1 Costs and Contract'!D53)-(7.5*SUM('A3 Allocation and Fractions'!G45))),0)
-IF(SUM('A1 Costs and Contract'!G53)&gt;(7.5*SUM('A3 Allocation and Fractions'!G45)),IF(SUM('A1 Costs and Contract'!G53)&gt;(17*SUM('A3 Allocation and Fractions'!G45)),9.5*SUM('A3 Allocation and Fractions'!G45),SUM('A1 Costs and Contract'!G53)-(7.5*SUM('A3 Allocation and Fractions'!G45))),0),
"")</f>
        <v/>
      </c>
      <c r="F30" s="56" t="str">
        <f>IF(ISNUMBER('A3 Allocation and Fractions'!B45),
IF(SUM('A1 Costs and Contract'!D53)&gt;(17*SUM('A3 Allocation and Fractions'!G45)),IF(SUM('A1 Costs and Contract'!D53)&gt;(40*SUM('A3 Allocation and Fractions'!G45)),23*SUM('A3 Allocation and Fractions'!G45),SUM('A1 Costs and Contract'!D53)-(17*SUM('A3 Allocation and Fractions'!G45))),0)
-IF(SUM('A1 Costs and Contract'!G53)&gt;(17*SUM('A3 Allocation and Fractions'!G45)),IF(SUM('A1 Costs and Contract'!G53)&gt;(40*SUM('A3 Allocation and Fractions'!G45)),23*SUM('A3 Allocation and Fractions'!G45),SUM('A1 Costs and Contract'!G53)-(17*SUM('A3 Allocation and Fractions'!G45))),0),
"")</f>
        <v/>
      </c>
      <c r="G30" s="50" t="str">
        <f>IF(ISNUMBER('A3 Allocation and Fractions'!B45),
IF(SUM('A1 Costs and Contract'!D53)&gt;(40*SUM('A3 Allocation and Fractions'!G45)),SUM('A1 Costs and Contract'!D53)-(40*SUM('A3 Allocation and Fractions'!G45)),0)
-IF(SUM('A1 Costs and Contract'!G53)&gt;(40*SUM('A3 Allocation and Fractions'!G45)),SUM('A1 Costs and Contract'!G53)-(40*SUM('A3 Allocation and Fractions'!G45)),0),
"")</f>
        <v/>
      </c>
      <c r="H30" s="60" t="str">
        <f>'A3 Allocation and Fractions'!D26</f>
        <v/>
      </c>
    </row>
    <row r="31" spans="1:11" x14ac:dyDescent="0.2">
      <c r="A31" s="13">
        <f>'A1 Costs and Contract'!A54</f>
        <v>0</v>
      </c>
      <c r="B31" s="50" t="str">
        <f>IF(ISNUMBER('A3 Allocation and Fractions'!B46),'A3 Allocation and Fractions'!C46,"")</f>
        <v/>
      </c>
      <c r="C31" s="55" t="str">
        <f>IF(NewOrExpansion="New Service",'A3 Allocation and Fractions'!G46,"")</f>
        <v/>
      </c>
      <c r="D31" s="56" t="str">
        <f>IF(ISNUMBER('A3 Allocation and Fractions'!B46),
IF(SUM('A1 Costs and Contract'!D54)&gt;(7.5*SUM('A3 Allocation and Fractions'!G46)),7.5*SUM('A3 Allocation and Fractions'!G46),SUM('A1 Costs and Contract'!D54))
-IF(SUM('A1 Costs and Contract'!G54)&gt;(7.5*SUM('A3 Allocation and Fractions'!G46)),7.5*SUM('A3 Allocation and Fractions'!G46),SUM('A1 Costs and Contract'!G54)),
"")</f>
        <v/>
      </c>
      <c r="E31" s="56" t="str">
        <f>IF(ISNUMBER('A3 Allocation and Fractions'!B46),
IF(SUM('A1 Costs and Contract'!D54)&gt;(7.5*SUM('A3 Allocation and Fractions'!G46)),IF(SUM('A1 Costs and Contract'!D54)&gt;(17*SUM('A3 Allocation and Fractions'!G46)),9.5*SUM('A3 Allocation and Fractions'!G46),SUM('A1 Costs and Contract'!D54)-(7.5*SUM('A3 Allocation and Fractions'!G46))),0)
-IF(SUM('A1 Costs and Contract'!G54)&gt;(7.5*SUM('A3 Allocation and Fractions'!G46)),IF(SUM('A1 Costs and Contract'!G54)&gt;(17*SUM('A3 Allocation and Fractions'!G46)),9.5*SUM('A3 Allocation and Fractions'!G46),SUM('A1 Costs and Contract'!G54)-(7.5*SUM('A3 Allocation and Fractions'!G46))),0),
"")</f>
        <v/>
      </c>
      <c r="F31" s="56" t="str">
        <f>IF(ISNUMBER('A3 Allocation and Fractions'!B46),
IF(SUM('A1 Costs and Contract'!D54)&gt;(17*SUM('A3 Allocation and Fractions'!G46)),IF(SUM('A1 Costs and Contract'!D54)&gt;(40*SUM('A3 Allocation and Fractions'!G46)),23*SUM('A3 Allocation and Fractions'!G46),SUM('A1 Costs and Contract'!D54)-(17*SUM('A3 Allocation and Fractions'!G46))),0)
-IF(SUM('A1 Costs and Contract'!G54)&gt;(17*SUM('A3 Allocation and Fractions'!G46)),IF(SUM('A1 Costs and Contract'!G54)&gt;(40*SUM('A3 Allocation and Fractions'!G46)),23*SUM('A3 Allocation and Fractions'!G46),SUM('A1 Costs and Contract'!G54)-(17*SUM('A3 Allocation and Fractions'!G46))),0),
"")</f>
        <v/>
      </c>
      <c r="G31" s="50" t="str">
        <f>IF(ISNUMBER('A3 Allocation and Fractions'!B46),
IF(SUM('A1 Costs and Contract'!D54)&gt;(40*SUM('A3 Allocation and Fractions'!G46)),SUM('A1 Costs and Contract'!D54)-(40*SUM('A3 Allocation and Fractions'!G46)),0)
-IF(SUM('A1 Costs and Contract'!G54)&gt;(40*SUM('A3 Allocation and Fractions'!G46)),SUM('A1 Costs and Contract'!G54)-(40*SUM('A3 Allocation and Fractions'!G46)),0),
"")</f>
        <v/>
      </c>
      <c r="H31" s="60" t="str">
        <f>'A3 Allocation and Fractions'!D27</f>
        <v/>
      </c>
    </row>
    <row r="32" spans="1:11" x14ac:dyDescent="0.2">
      <c r="A32" s="13">
        <f>'A1 Costs and Contract'!A55</f>
        <v>0</v>
      </c>
      <c r="B32" s="50" t="str">
        <f>IF(ISNUMBER('A3 Allocation and Fractions'!B47),'A3 Allocation and Fractions'!C47,"")</f>
        <v/>
      </c>
      <c r="C32" s="55" t="str">
        <f>IF(NewOrExpansion="New Service",'A3 Allocation and Fractions'!G47,"")</f>
        <v/>
      </c>
      <c r="D32" s="56" t="str">
        <f>IF(ISNUMBER('A3 Allocation and Fractions'!B47),
IF(SUM('A1 Costs and Contract'!D55)&gt;(7.5*SUM('A3 Allocation and Fractions'!G47)),7.5*SUM('A3 Allocation and Fractions'!G47),SUM('A1 Costs and Contract'!D55))
-IF(SUM('A1 Costs and Contract'!G55)&gt;(7.5*SUM('A3 Allocation and Fractions'!G47)),7.5*SUM('A3 Allocation and Fractions'!G47),SUM('A1 Costs and Contract'!G55)),
"")</f>
        <v/>
      </c>
      <c r="E32" s="56" t="str">
        <f>IF(ISNUMBER('A3 Allocation and Fractions'!B47),
IF(SUM('A1 Costs and Contract'!D55)&gt;(7.5*SUM('A3 Allocation and Fractions'!G47)),IF(SUM('A1 Costs and Contract'!D55)&gt;(17*SUM('A3 Allocation and Fractions'!G47)),9.5*SUM('A3 Allocation and Fractions'!G47),SUM('A1 Costs and Contract'!D55)-(7.5*SUM('A3 Allocation and Fractions'!G47))),0)
-IF(SUM('A1 Costs and Contract'!G55)&gt;(7.5*SUM('A3 Allocation and Fractions'!G47)),IF(SUM('A1 Costs and Contract'!G55)&gt;(17*SUM('A3 Allocation and Fractions'!G47)),9.5*SUM('A3 Allocation and Fractions'!G47),SUM('A1 Costs and Contract'!G55)-(7.5*SUM('A3 Allocation and Fractions'!G47))),0),
"")</f>
        <v/>
      </c>
      <c r="F32" s="56" t="str">
        <f>IF(ISNUMBER('A3 Allocation and Fractions'!B47),
IF(SUM('A1 Costs and Contract'!D55)&gt;(17*SUM('A3 Allocation and Fractions'!G47)),IF(SUM('A1 Costs and Contract'!D55)&gt;(40*SUM('A3 Allocation and Fractions'!G47)),23*SUM('A3 Allocation and Fractions'!G47),SUM('A1 Costs and Contract'!D55)-(17*SUM('A3 Allocation and Fractions'!G47))),0)
-IF(SUM('A1 Costs and Contract'!G55)&gt;(17*SUM('A3 Allocation and Fractions'!G47)),IF(SUM('A1 Costs and Contract'!G55)&gt;(40*SUM('A3 Allocation and Fractions'!G47)),23*SUM('A3 Allocation and Fractions'!G47),SUM('A1 Costs and Contract'!G55)-(17*SUM('A3 Allocation and Fractions'!G47))),0),
"")</f>
        <v/>
      </c>
      <c r="G32" s="50" t="str">
        <f>IF(ISNUMBER('A3 Allocation and Fractions'!B47),
IF(SUM('A1 Costs and Contract'!D55)&gt;(40*SUM('A3 Allocation and Fractions'!G47)),SUM('A1 Costs and Contract'!D55)-(40*SUM('A3 Allocation and Fractions'!G47)),0)
-IF(SUM('A1 Costs and Contract'!G55)&gt;(40*SUM('A3 Allocation and Fractions'!G47)),SUM('A1 Costs and Contract'!G55)-(40*SUM('A3 Allocation and Fractions'!G47)),0),
"")</f>
        <v/>
      </c>
      <c r="H32" s="60" t="str">
        <f>'A3 Allocation and Fractions'!D28</f>
        <v/>
      </c>
    </row>
    <row r="33" spans="1:10" x14ac:dyDescent="0.2">
      <c r="A33" s="14">
        <f>'A1 Costs and Contract'!A56</f>
        <v>0</v>
      </c>
      <c r="B33" s="51" t="str">
        <f>IF(ISNUMBER('A3 Allocation and Fractions'!B48),'A3 Allocation and Fractions'!C48,"")</f>
        <v/>
      </c>
      <c r="C33" s="57" t="str">
        <f>IF(NewOrExpansion="New Service",'A3 Allocation and Fractions'!G48,"")</f>
        <v/>
      </c>
      <c r="D33" s="58" t="str">
        <f>IF(ISNUMBER('A3 Allocation and Fractions'!B48),
IF(SUM('A1 Costs and Contract'!D56)&gt;(7.5*SUM('A3 Allocation and Fractions'!G48)),7.5*SUM('A3 Allocation and Fractions'!G48),SUM('A1 Costs and Contract'!D56))
-IF(SUM('A1 Costs and Contract'!G56)&gt;(7.5*SUM('A3 Allocation and Fractions'!G48)),7.5*SUM('A3 Allocation and Fractions'!G48),SUM('A1 Costs and Contract'!G56)),
"")</f>
        <v/>
      </c>
      <c r="E33" s="58" t="str">
        <f>IF(ISNUMBER('A3 Allocation and Fractions'!B48),
IF(SUM('A1 Costs and Contract'!D56)&gt;(7.5*SUM('A3 Allocation and Fractions'!G48)),IF(SUM('A1 Costs and Contract'!D56)&gt;(17*SUM('A3 Allocation and Fractions'!G48)),9.5*SUM('A3 Allocation and Fractions'!G48),SUM('A1 Costs and Contract'!D56)-(7.5*SUM('A3 Allocation and Fractions'!G48))),0)
-IF(SUM('A1 Costs and Contract'!G56)&gt;(7.5*SUM('A3 Allocation and Fractions'!G48)),IF(SUM('A1 Costs and Contract'!G56)&gt;(17*SUM('A3 Allocation and Fractions'!G48)),9.5*SUM('A3 Allocation and Fractions'!G48),SUM('A1 Costs and Contract'!G56)-(7.5*SUM('A3 Allocation and Fractions'!G48))),0),
"")</f>
        <v/>
      </c>
      <c r="F33" s="58" t="str">
        <f>IF(ISNUMBER('A3 Allocation and Fractions'!B48),
IF(SUM('A1 Costs and Contract'!D56)&gt;(17*SUM('A3 Allocation and Fractions'!G48)),IF(SUM('A1 Costs and Contract'!D56)&gt;(40*SUM('A3 Allocation and Fractions'!G48)),23*SUM('A3 Allocation and Fractions'!G48),SUM('A1 Costs and Contract'!D56)-(17*SUM('A3 Allocation and Fractions'!G48))),0)
-IF(SUM('A1 Costs and Contract'!G56)&gt;(17*SUM('A3 Allocation and Fractions'!G48)),IF(SUM('A1 Costs and Contract'!G56)&gt;(40*SUM('A3 Allocation and Fractions'!G48)),23*SUM('A3 Allocation and Fractions'!G48),SUM('A1 Costs and Contract'!G56)-(17*SUM('A3 Allocation and Fractions'!G48))),0),
"")</f>
        <v/>
      </c>
      <c r="G33" s="51" t="str">
        <f>IF(ISNUMBER('A3 Allocation and Fractions'!B48),
IF(SUM('A1 Costs and Contract'!D56)&gt;(40*SUM('A3 Allocation and Fractions'!G48)),SUM('A1 Costs and Contract'!D56)-(40*SUM('A3 Allocation and Fractions'!G48)),0)
-IF(SUM('A1 Costs and Contract'!G56)&gt;(40*SUM('A3 Allocation and Fractions'!G48)),SUM('A1 Costs and Contract'!G56)-(40*SUM('A3 Allocation and Fractions'!G48)),0),
"")</f>
        <v/>
      </c>
      <c r="H33" s="61" t="str">
        <f>'A3 Allocation and Fractions'!D29</f>
        <v/>
      </c>
    </row>
    <row r="35" spans="1:10" x14ac:dyDescent="0.2">
      <c r="A35" s="498" t="s">
        <v>43</v>
      </c>
      <c r="B35" s="499"/>
      <c r="C35" s="484" t="s">
        <v>121</v>
      </c>
      <c r="D35" s="485"/>
      <c r="E35" s="485"/>
      <c r="F35" s="485"/>
      <c r="G35" s="486"/>
      <c r="H35" s="155" t="s">
        <v>148</v>
      </c>
      <c r="I35" s="156" t="s">
        <v>18</v>
      </c>
    </row>
    <row r="36" spans="1:10" x14ac:dyDescent="0.2">
      <c r="A36" s="81" t="s">
        <v>12</v>
      </c>
      <c r="B36" s="82" t="s">
        <v>41</v>
      </c>
      <c r="C36" s="81" t="s">
        <v>26</v>
      </c>
      <c r="D36" s="83" t="s">
        <v>31</v>
      </c>
      <c r="E36" s="83" t="s">
        <v>32</v>
      </c>
      <c r="F36" s="83" t="s">
        <v>33</v>
      </c>
      <c r="G36" s="82" t="s">
        <v>34</v>
      </c>
      <c r="H36" s="81" t="s">
        <v>120</v>
      </c>
      <c r="I36" s="171" t="s">
        <v>8</v>
      </c>
    </row>
    <row r="37" spans="1:10" x14ac:dyDescent="0.2">
      <c r="A37" s="67" t="str">
        <f>TEXT('Discounted Increments'!C23,"(0)")&amp;IF('Discounted Increments'!C34&gt;'Discounted Increments'!C23,"-"&amp;TEXT('Discounted Increments'!C34,"(0)"),"")</f>
        <v>(1)</v>
      </c>
      <c r="B37" s="68">
        <v>1</v>
      </c>
      <c r="C37" s="73">
        <f>SUM('Discounted Increments'!D23:D34)</f>
        <v>106850.00000000001</v>
      </c>
      <c r="D37" s="74">
        <f>SUM('Discounted Increments'!E23:E34)</f>
        <v>0</v>
      </c>
      <c r="E37" s="74">
        <f>SUM('Discounted Increments'!F23:F34)</f>
        <v>0</v>
      </c>
      <c r="F37" s="74">
        <f>SUM('Discounted Increments'!G23:G34)</f>
        <v>0</v>
      </c>
      <c r="G37" s="75">
        <f>SUM('Discounted Increments'!H23:H34)</f>
        <v>0</v>
      </c>
      <c r="H37" s="73">
        <f>SUM('Discounted Increments'!J23:J34)</f>
        <v>106850.00000000001</v>
      </c>
      <c r="I37" s="490" t="s">
        <v>42</v>
      </c>
    </row>
    <row r="38" spans="1:10" x14ac:dyDescent="0.2">
      <c r="A38" s="69" t="str">
        <f>TEXT('Discounted Increments'!C35,"(0)")&amp;IF('Discounted Increments'!C46&gt;'Discounted Increments'!C35,"-"&amp;TEXT('Discounted Increments'!C46,"(0)"),"")</f>
        <v>(1)</v>
      </c>
      <c r="B38" s="70">
        <f>B37+1</f>
        <v>2</v>
      </c>
      <c r="C38" s="76">
        <f>SUM('Discounted Increments'!D35:D46)</f>
        <v>106850.00000000001</v>
      </c>
      <c r="D38" s="77">
        <f>SUM('Discounted Increments'!E35:E46)</f>
        <v>0</v>
      </c>
      <c r="E38" s="77">
        <f>SUM('Discounted Increments'!F35:F46)</f>
        <v>0</v>
      </c>
      <c r="F38" s="77">
        <f>SUM('Discounted Increments'!G35:G46)</f>
        <v>0</v>
      </c>
      <c r="G38" s="78">
        <f>SUM('Discounted Increments'!H35:H46)</f>
        <v>0</v>
      </c>
      <c r="H38" s="76">
        <f>SUM('Discounted Increments'!J35:J46)</f>
        <v>106850.00000000001</v>
      </c>
      <c r="I38" s="491"/>
    </row>
    <row r="39" spans="1:10" x14ac:dyDescent="0.2">
      <c r="A39" s="69" t="str">
        <f>TEXT('Discounted Increments'!C47,"(0)")&amp;IF('Discounted Increments'!C58&gt;'Discounted Increments'!C47,"-"&amp;TEXT('Discounted Increments'!C58,"(0)"),"")</f>
        <v>(1)</v>
      </c>
      <c r="B39" s="70">
        <f>B38+1</f>
        <v>3</v>
      </c>
      <c r="C39" s="76">
        <f>SUM('Discounted Increments'!D47:D58)</f>
        <v>106850.00000000001</v>
      </c>
      <c r="D39" s="77">
        <f>SUM('Discounted Increments'!E47:E58)</f>
        <v>0</v>
      </c>
      <c r="E39" s="77">
        <f>SUM('Discounted Increments'!F47:F58)</f>
        <v>0</v>
      </c>
      <c r="F39" s="77">
        <f>SUM('Discounted Increments'!G47:G58)</f>
        <v>0</v>
      </c>
      <c r="G39" s="78">
        <f>SUM('Discounted Increments'!H47:H58)</f>
        <v>0</v>
      </c>
      <c r="H39" s="76">
        <f>SUM('Discounted Increments'!J47:J58)</f>
        <v>106850.00000000001</v>
      </c>
      <c r="I39" s="491"/>
    </row>
    <row r="40" spans="1:10" x14ac:dyDescent="0.2">
      <c r="A40" s="69" t="str">
        <f>TEXT('Discounted Increments'!C59,"(0)")&amp;IF('Discounted Increments'!C70&gt;'Discounted Increments'!C59,"-"&amp;TEXT('Discounted Increments'!C70,"(0)"),"")</f>
        <v>(1)</v>
      </c>
      <c r="B40" s="70">
        <f>B39+1</f>
        <v>4</v>
      </c>
      <c r="C40" s="76">
        <f>SUM('Discounted Increments'!D59:D70)</f>
        <v>106850.00000000001</v>
      </c>
      <c r="D40" s="77">
        <f>SUM('Discounted Increments'!E59:E70)</f>
        <v>0</v>
      </c>
      <c r="E40" s="77">
        <f>SUM('Discounted Increments'!F59:F70)</f>
        <v>0</v>
      </c>
      <c r="F40" s="77">
        <f>SUM('Discounted Increments'!G59:G70)</f>
        <v>0</v>
      </c>
      <c r="G40" s="78">
        <f>SUM('Discounted Increments'!H59:H70)</f>
        <v>0</v>
      </c>
      <c r="H40" s="76">
        <f>SUM('Discounted Increments'!J59:J70)</f>
        <v>106850.00000000001</v>
      </c>
      <c r="I40" s="492"/>
    </row>
    <row r="41" spans="1:10" x14ac:dyDescent="0.2">
      <c r="A41" s="69" t="str">
        <f>TEXT('Discounted Increments'!C71,"(0)")&amp;IF('Discounted Increments'!C82&gt;'Discounted Increments'!C71,"-"&amp;TEXT('Discounted Increments'!C82,"(0)"),"")</f>
        <v>(1)</v>
      </c>
      <c r="B41" s="70">
        <f>B40+1</f>
        <v>5</v>
      </c>
      <c r="C41" s="149">
        <f>SUM('Discounted Increments'!D71:D82)</f>
        <v>106850.00000000001</v>
      </c>
      <c r="D41" s="150">
        <f>SUM('Discounted Increments'!E71:E82)</f>
        <v>0</v>
      </c>
      <c r="E41" s="150">
        <f>SUM('Discounted Increments'!F71:F82)</f>
        <v>0</v>
      </c>
      <c r="F41" s="150">
        <f>SUM('Discounted Increments'!G71:G82)</f>
        <v>0</v>
      </c>
      <c r="G41" s="151">
        <f>SUM('Discounted Increments'!H71:H82)</f>
        <v>0</v>
      </c>
      <c r="H41" s="149">
        <f>SUM('Discounted Increments'!J71:J82)</f>
        <v>106850.00000000001</v>
      </c>
      <c r="I41" s="151">
        <f>SUM(H$37:H41)</f>
        <v>534250.00000000012</v>
      </c>
    </row>
    <row r="42" spans="1:10" x14ac:dyDescent="0.2">
      <c r="A42" s="69" t="str">
        <f>IF(A41="NA","NA",IF($I41&gt;$I$14,"",TEXT('Discounted Increments'!C83,"(0)")&amp;IF('Discounted Increments'!C94&gt;'Discounted Increments'!C83,"-"&amp;TEXT('Discounted Increments'!C94,"(0)"),"")))</f>
        <v/>
      </c>
      <c r="B42" s="70" t="str">
        <f t="shared" ref="B42:B51" si="0">IF(A42="NA","NA",IF($I41&gt;$I$14,"",B41+1))</f>
        <v/>
      </c>
      <c r="C42" s="149" t="str">
        <f>IF(A42="NA","NA",IF($I41&gt;$I$14,"",SUM('Discounted Increments'!D83:D94)))</f>
        <v/>
      </c>
      <c r="D42" s="150" t="str">
        <f>IF(A42="NA","NA",IF($I41&gt;$I$14,"",SUM('Discounted Increments'!E83:E94)))</f>
        <v/>
      </c>
      <c r="E42" s="150" t="str">
        <f>IF(A42="NA","NA",IF($I41&gt;$I$14,"",SUM('Discounted Increments'!F83:F94)))</f>
        <v/>
      </c>
      <c r="F42" s="150" t="str">
        <f>IF(A42="NA","NA",IF($I41&gt;$I$14,"",SUM('Discounted Increments'!G83:G94)))</f>
        <v/>
      </c>
      <c r="G42" s="151" t="str">
        <f>IF(A42="NA","NA",IF($I41&gt;$I$14,"",SUM('Discounted Increments'!H83:H94)))</f>
        <v/>
      </c>
      <c r="H42" s="149" t="str">
        <f>IF(B42="NA","NA",IF($I41&gt;$I$14,"",SUM('Discounted Increments'!J83:J94)))</f>
        <v/>
      </c>
      <c r="I42" s="151" t="str">
        <f>IF(A42="NA","NA",IF($I41&gt;$I$14,"",SUM(H$37:H42)))</f>
        <v/>
      </c>
      <c r="J42" s="84"/>
    </row>
    <row r="43" spans="1:10" x14ac:dyDescent="0.2">
      <c r="A43" s="69" t="str">
        <f>IF(A42="NA","NA",IF($I42&gt;$I$14,"",TEXT('Discounted Increments'!C95,"(0)")&amp;IF('Discounted Increments'!C106&gt;'Discounted Increments'!C95,"-"&amp;TEXT('Discounted Increments'!C106,"(0)"),"")))</f>
        <v/>
      </c>
      <c r="B43" s="70" t="str">
        <f t="shared" si="0"/>
        <v/>
      </c>
      <c r="C43" s="149" t="str">
        <f>IF(A43="NA","NA",IF($I42&gt;$I$14,"",SUM('Discounted Increments'!D95:D106)))</f>
        <v/>
      </c>
      <c r="D43" s="150" t="str">
        <f>IF(A43="NA","NA",IF($I42&gt;$I$14,"",SUM('Discounted Increments'!E95:E106)))</f>
        <v/>
      </c>
      <c r="E43" s="150" t="str">
        <f>IF(A43="NA","NA",IF($I42&gt;$I$14,"",SUM('Discounted Increments'!F95:F106)))</f>
        <v/>
      </c>
      <c r="F43" s="150" t="str">
        <f>IF(A43="NA","NA",IF($I42&gt;$I$14,"",SUM('Discounted Increments'!G95:G106)))</f>
        <v/>
      </c>
      <c r="G43" s="151" t="str">
        <f>IF(A43="NA","NA",IF($I42&gt;$I$14,"",SUM('Discounted Increments'!H95:H106)))</f>
        <v/>
      </c>
      <c r="H43" s="149" t="str">
        <f>IF(B43="NA","NA",IF($I42&gt;$I$14,"",SUM('Discounted Increments'!J95:J106)))</f>
        <v/>
      </c>
      <c r="I43" s="151" t="str">
        <f>IF(A43="NA","NA",IF($I42&gt;$I$14,"",SUM(H$37:H43)))</f>
        <v/>
      </c>
    </row>
    <row r="44" spans="1:10" x14ac:dyDescent="0.2">
      <c r="A44" s="69" t="str">
        <f>IF(A43="NA","NA",IF($I43&gt;$I$14,"",TEXT('Discounted Increments'!C107,"(0)")&amp;IF('Discounted Increments'!C118&gt;'Discounted Increments'!C107,"-"&amp;TEXT('Discounted Increments'!C118,"(0)"),"")))</f>
        <v/>
      </c>
      <c r="B44" s="70" t="str">
        <f t="shared" si="0"/>
        <v/>
      </c>
      <c r="C44" s="149" t="str">
        <f>IF(A44="NA","NA",IF($I43&gt;$I$14,"",SUM('Discounted Increments'!D107:D118)))</f>
        <v/>
      </c>
      <c r="D44" s="150" t="str">
        <f>IF(A44="NA","NA",IF($I43&gt;$I$14,"",SUM('Discounted Increments'!E107:E118)))</f>
        <v/>
      </c>
      <c r="E44" s="150" t="str">
        <f>IF(A44="NA","NA",IF($I43&gt;$I$14,"",SUM('Discounted Increments'!F107:F118)))</f>
        <v/>
      </c>
      <c r="F44" s="150" t="str">
        <f>IF(A44="NA","NA",IF($I43&gt;$I$14,"",SUM('Discounted Increments'!G107:G118)))</f>
        <v/>
      </c>
      <c r="G44" s="151" t="str">
        <f>IF(A44="NA","NA",IF($I43&gt;$I$14,"",SUM('Discounted Increments'!H107:H118)))</f>
        <v/>
      </c>
      <c r="H44" s="149" t="str">
        <f>IF(B44="NA","NA",IF($I43&gt;$I$14,"",SUM('Discounted Increments'!J107:J118)))</f>
        <v/>
      </c>
      <c r="I44" s="151" t="str">
        <f>IF(A44="NA","NA",IF($I43&gt;$I$14,"",SUM(H$37:H44)))</f>
        <v/>
      </c>
    </row>
    <row r="45" spans="1:10" x14ac:dyDescent="0.2">
      <c r="A45" s="69" t="str">
        <f>IF(A44="NA","NA",IF($I44&gt;$I$14,"",TEXT('Discounted Increments'!C119,"(0)")&amp;IF('Discounted Increments'!C130&gt;'Discounted Increments'!C119,"-"&amp;TEXT('Discounted Increments'!C130,"(0)"),"")))</f>
        <v/>
      </c>
      <c r="B45" s="70" t="str">
        <f t="shared" si="0"/>
        <v/>
      </c>
      <c r="C45" s="149" t="str">
        <f>IF(A45="NA","NA",IF($I44&gt;$I$14,"",SUM('Discounted Increments'!D119:D130)))</f>
        <v/>
      </c>
      <c r="D45" s="150" t="str">
        <f>IF(A45="NA","NA",IF($I44&gt;$I$14,"",SUM('Discounted Increments'!E119:E130)))</f>
        <v/>
      </c>
      <c r="E45" s="150" t="str">
        <f>IF(A45="NA","NA",IF($I44&gt;$I$14,"",SUM('Discounted Increments'!F119:F130)))</f>
        <v/>
      </c>
      <c r="F45" s="150" t="str">
        <f>IF(A45="NA","NA",IF($I44&gt;$I$14,"",SUM('Discounted Increments'!G119:G130)))</f>
        <v/>
      </c>
      <c r="G45" s="151" t="str">
        <f>IF(A45="NA","NA",IF($I44&gt;$I$14,"",SUM('Discounted Increments'!H119:H130)))</f>
        <v/>
      </c>
      <c r="H45" s="149" t="str">
        <f>IF(B45="NA","NA",IF($I44&gt;$I$14,"",SUM('Discounted Increments'!J119:J130)))</f>
        <v/>
      </c>
      <c r="I45" s="151" t="str">
        <f>IF(A45="NA","NA",IF($I44&gt;$I$14,"",SUM(H$37:H45)))</f>
        <v/>
      </c>
    </row>
    <row r="46" spans="1:10" x14ac:dyDescent="0.2">
      <c r="A46" s="69" t="str">
        <f>IF(A45="NA","NA",IF($I45&gt;$I$14,"",TEXT('Discounted Increments'!C131,"(0)")&amp;IF('Discounted Increments'!C142&gt;'Discounted Increments'!C131,"-"&amp;TEXT('Discounted Increments'!C142,"(0)"),"")))</f>
        <v/>
      </c>
      <c r="B46" s="70" t="str">
        <f t="shared" si="0"/>
        <v/>
      </c>
      <c r="C46" s="149" t="str">
        <f>IF(A46="NA","NA",IF($I45&gt;$I$14,"",SUM('Discounted Increments'!D131:D142)))</f>
        <v/>
      </c>
      <c r="D46" s="150" t="str">
        <f>IF(A46="NA","NA",IF($I45&gt;$I$14,"",SUM('Discounted Increments'!E131:E142)))</f>
        <v/>
      </c>
      <c r="E46" s="150" t="str">
        <f>IF(A46="NA","NA",IF($I45&gt;$I$14,"",SUM('Discounted Increments'!F131:F142)))</f>
        <v/>
      </c>
      <c r="F46" s="150" t="str">
        <f>IF(A46="NA","NA",IF($I45&gt;$I$14,"",SUM('Discounted Increments'!G131:G142)))</f>
        <v/>
      </c>
      <c r="G46" s="151" t="str">
        <f>IF(A46="NA","NA",IF($I45&gt;$I$14,"",SUM('Discounted Increments'!H131:H142)))</f>
        <v/>
      </c>
      <c r="H46" s="149" t="str">
        <f>IF(B46="NA","NA",IF($I45&gt;$I$14,"",SUM('Discounted Increments'!J131:J142)))</f>
        <v/>
      </c>
      <c r="I46" s="151" t="str">
        <f>IF(A46="NA","NA",IF($I45&gt;$I$14,"",SUM(H$37:H46)))</f>
        <v/>
      </c>
    </row>
    <row r="47" spans="1:10" x14ac:dyDescent="0.2">
      <c r="A47" s="69" t="str">
        <f>IF(A46="NA","NA",IF($I46&gt;$I$14,"",TEXT('Discounted Increments'!C143,"(0)")&amp;IF('Discounted Increments'!C154&gt;'Discounted Increments'!C143,"-"&amp;TEXT('Discounted Increments'!C154,"(0)"),"")))</f>
        <v/>
      </c>
      <c r="B47" s="70" t="str">
        <f t="shared" si="0"/>
        <v/>
      </c>
      <c r="C47" s="149" t="str">
        <f>IF(A47="NA","NA",IF($I46&gt;$I$14,"",SUM('Discounted Increments'!D143:D154)))</f>
        <v/>
      </c>
      <c r="D47" s="150" t="str">
        <f>IF(A47="NA","NA",IF($I46&gt;$I$14,"",SUM('Discounted Increments'!E143:E154)))</f>
        <v/>
      </c>
      <c r="E47" s="150" t="str">
        <f>IF(A47="NA","NA",IF($I46&gt;$I$14,"",SUM('Discounted Increments'!F143:F154)))</f>
        <v/>
      </c>
      <c r="F47" s="150" t="str">
        <f>IF(A47="NA","NA",IF($I46&gt;$I$14,"",SUM('Discounted Increments'!G143:G154)))</f>
        <v/>
      </c>
      <c r="G47" s="151" t="str">
        <f>IF(A47="NA","NA",IF($I46&gt;$I$14,"",SUM('Discounted Increments'!H143:H154)))</f>
        <v/>
      </c>
      <c r="H47" s="149" t="str">
        <f>IF(B47="NA","NA",IF($I46&gt;$I$14,"",SUM('Discounted Increments'!J143:J154)))</f>
        <v/>
      </c>
      <c r="I47" s="151" t="str">
        <f>IF(A47="NA","NA",IF($I46&gt;$I$14,"",SUM(H$37:H47)))</f>
        <v/>
      </c>
    </row>
    <row r="48" spans="1:10" x14ac:dyDescent="0.2">
      <c r="A48" s="69" t="str">
        <f>IF(A47="NA","NA",IF($I47&gt;$I$14,"",TEXT('Discounted Increments'!C155,"(0)")&amp;IF('Discounted Increments'!C166&gt;'Discounted Increments'!C155,"-"&amp;TEXT('Discounted Increments'!C166,"(0)"),"")))</f>
        <v/>
      </c>
      <c r="B48" s="70" t="str">
        <f t="shared" si="0"/>
        <v/>
      </c>
      <c r="C48" s="149" t="str">
        <f>IF(A48="NA","NA",IF($I47&gt;$I$14,"",SUM('Discounted Increments'!D155:D166)))</f>
        <v/>
      </c>
      <c r="D48" s="150" t="str">
        <f>IF(A48="NA","NA",IF($I47&gt;$I$14,"",SUM('Discounted Increments'!E155:E166)))</f>
        <v/>
      </c>
      <c r="E48" s="150" t="str">
        <f>IF(A48="NA","NA",IF($I47&gt;$I$14,"",SUM('Discounted Increments'!F155:F166)))</f>
        <v/>
      </c>
      <c r="F48" s="150" t="str">
        <f>IF(A48="NA","NA",IF($I47&gt;$I$14,"",SUM('Discounted Increments'!G155:G166)))</f>
        <v/>
      </c>
      <c r="G48" s="151" t="str">
        <f>IF(A48="NA","NA",IF($I47&gt;$I$14,"",SUM('Discounted Increments'!H155:H166)))</f>
        <v/>
      </c>
      <c r="H48" s="149" t="str">
        <f>IF(B48="NA","NA",IF($I47&gt;$I$14,"",SUM('Discounted Increments'!J155:J166)))</f>
        <v/>
      </c>
      <c r="I48" s="151" t="str">
        <f>IF(A48="NA","NA",IF($I47&gt;$I$14,"",SUM(H$37:H48)))</f>
        <v/>
      </c>
    </row>
    <row r="49" spans="1:10" x14ac:dyDescent="0.2">
      <c r="A49" s="69" t="str">
        <f>IF(A48="NA","NA",IF($I48&gt;$I$14,"",TEXT('Discounted Increments'!C167,"(0)")&amp;IF('Discounted Increments'!C178&gt;'Discounted Increments'!C167,"-"&amp;TEXT('Discounted Increments'!C178,"(0)"),"")))</f>
        <v/>
      </c>
      <c r="B49" s="70" t="str">
        <f t="shared" si="0"/>
        <v/>
      </c>
      <c r="C49" s="149" t="str">
        <f>IF(A49="NA","NA",IF($I48&gt;$I$14,"",SUM('Discounted Increments'!D167:D178)))</f>
        <v/>
      </c>
      <c r="D49" s="150" t="str">
        <f>IF(A49="NA","NA",IF($I48&gt;$I$14,"",SUM('Discounted Increments'!E167:E178)))</f>
        <v/>
      </c>
      <c r="E49" s="150" t="str">
        <f>IF(A49="NA","NA",IF($I48&gt;$I$14,"",SUM('Discounted Increments'!F167:F178)))</f>
        <v/>
      </c>
      <c r="F49" s="150" t="str">
        <f>IF(A49="NA","NA",IF($I48&gt;$I$14,"",SUM('Discounted Increments'!G167:G178)))</f>
        <v/>
      </c>
      <c r="G49" s="151" t="str">
        <f>IF(A49="NA","NA",IF($I48&gt;$I$14,"",SUM('Discounted Increments'!H167:H178)))</f>
        <v/>
      </c>
      <c r="H49" s="149" t="str">
        <f>IF(B49="NA","NA",IF($I48&gt;$I$14,"",SUM('Discounted Increments'!J167:J178)))</f>
        <v/>
      </c>
      <c r="I49" s="151" t="str">
        <f>IF(A49="NA","NA",IF($I48&gt;$I$14,"",SUM(H$37:H49)))</f>
        <v/>
      </c>
    </row>
    <row r="50" spans="1:10" x14ac:dyDescent="0.2">
      <c r="A50" s="69" t="str">
        <f>IF(A49="NA","NA",IF($I49&gt;$I$14,"",TEXT('Discounted Increments'!C179,"(0)")&amp;IF('Discounted Increments'!C190&gt;'Discounted Increments'!C179,"-"&amp;TEXT('Discounted Increments'!C190,"(0)"),"")))</f>
        <v/>
      </c>
      <c r="B50" s="70" t="str">
        <f t="shared" si="0"/>
        <v/>
      </c>
      <c r="C50" s="149" t="str">
        <f>IF(A50="NA","NA",IF($I49&gt;$I$14,"",SUM('Discounted Increments'!D179:D190)))</f>
        <v/>
      </c>
      <c r="D50" s="150" t="str">
        <f>IF(A50="NA","NA",IF($I49&gt;$I$14,"",SUM('Discounted Increments'!E179:E190)))</f>
        <v/>
      </c>
      <c r="E50" s="150" t="str">
        <f>IF(A50="NA","NA",IF($I49&gt;$I$14,"",SUM('Discounted Increments'!F179:F190)))</f>
        <v/>
      </c>
      <c r="F50" s="150" t="str">
        <f>IF(A50="NA","NA",IF($I49&gt;$I$14,"",SUM('Discounted Increments'!G179:G190)))</f>
        <v/>
      </c>
      <c r="G50" s="151" t="str">
        <f>IF(A50="NA","NA",IF($I49&gt;$I$14,"",SUM('Discounted Increments'!H179:H190)))</f>
        <v/>
      </c>
      <c r="H50" s="149" t="str">
        <f>IF(B50="NA","NA",IF($I49&gt;$I$14,"",SUM('Discounted Increments'!J179:J190)))</f>
        <v/>
      </c>
      <c r="I50" s="151" t="str">
        <f>IF(A50="NA","NA",IF($I49&gt;$I$14,"",SUM(H$37:H50)))</f>
        <v/>
      </c>
    </row>
    <row r="51" spans="1:10" x14ac:dyDescent="0.2">
      <c r="A51" s="69" t="str">
        <f>IF(A50="NA","NA",IF($I50&gt;$I$14,"",TEXT('Discounted Increments'!C191,"(0)")&amp;IF('Discounted Increments'!C202&gt;'Discounted Increments'!C191,"-"&amp;TEXT('Discounted Increments'!C202,"(0)"),"")))</f>
        <v/>
      </c>
      <c r="B51" s="70" t="str">
        <f t="shared" si="0"/>
        <v/>
      </c>
      <c r="C51" s="149" t="str">
        <f>IF(A51="NA","NA",IF($I50&gt;$I$14,"",SUM('Discounted Increments'!D191:D202)))</f>
        <v/>
      </c>
      <c r="D51" s="150" t="str">
        <f>IF(A51="NA","NA",IF($I50&gt;$I$14,"",SUM('Discounted Increments'!E191:E202)))</f>
        <v/>
      </c>
      <c r="E51" s="150" t="str">
        <f>IF(A51="NA","NA",IF($I50&gt;$I$14,"",SUM('Discounted Increments'!F191:F202)))</f>
        <v/>
      </c>
      <c r="F51" s="150" t="str">
        <f>IF(A51="NA","NA",IF(A51="NA","NA",IF($I50&gt;$I$14,"",SUM('Discounted Increments'!G191:G202))))</f>
        <v/>
      </c>
      <c r="G51" s="151" t="str">
        <f>IF(A51="NA","NA",IF($I50&gt;$I$14,"",SUM('Discounted Increments'!H191:H202)))</f>
        <v/>
      </c>
      <c r="H51" s="149" t="str">
        <f>IF(B51="NA","NA",IF($I50&gt;$I$14,"",SUM('Discounted Increments'!J191:J202)))</f>
        <v/>
      </c>
      <c r="I51" s="151" t="str">
        <f>IF(A51="NA","NA",IF($I50&gt;$I$14,"",SUM(H$37:H51)))</f>
        <v/>
      </c>
    </row>
    <row r="52" spans="1:10" x14ac:dyDescent="0.2">
      <c r="A52" s="69" t="str">
        <f>IF(A51="NA","NA",IF($I51&gt;$I$14,"",TEXT('Discounted Increments'!C203,"(0)")&amp;IF('Discounted Increments'!C214&gt;'Discounted Increments'!C203,"-"&amp;TEXT('Discounted Increments'!C214,"(0)"),"")))</f>
        <v/>
      </c>
      <c r="B52" s="70" t="str">
        <f>IF(A52="NA","NA",IF($I51&gt;$I$14,"",B51+1))</f>
        <v/>
      </c>
      <c r="C52" s="149" t="str">
        <f>IF(A52="NA","NA",IF($I51&gt;$I$14,"",SUM('Discounted Increments'!D203:D214)))</f>
        <v/>
      </c>
      <c r="D52" s="150" t="str">
        <f>IF(A52="NA","NA",IF($I51&gt;$I$14,"",SUM('Discounted Increments'!E203:E214)))</f>
        <v/>
      </c>
      <c r="E52" s="150" t="str">
        <f>IF(A52="NA","NA",IF($I51&gt;$I$14,"",SUM('Discounted Increments'!F203:F214)))</f>
        <v/>
      </c>
      <c r="F52" s="150" t="str">
        <f>IF(A52="NA","NA",IF($I51&gt;$I$14,"",SUM('Discounted Increments'!G203:G214)))</f>
        <v/>
      </c>
      <c r="G52" s="151" t="str">
        <f>IF(A52="NA","NA",IF($I51&gt;$I$14,"",SUM('Discounted Increments'!H203:H214)))</f>
        <v/>
      </c>
      <c r="H52" s="149" t="str">
        <f>IF(B52="NA","NA",IF($I51&gt;$I$14,"",SUM('Discounted Increments'!J203:J214)))</f>
        <v/>
      </c>
      <c r="I52" s="151" t="str">
        <f>IF(A52="NA","NA",IF($I51&gt;$I$14,"",SUM(H$37:H52)))</f>
        <v/>
      </c>
    </row>
    <row r="53" spans="1:10" x14ac:dyDescent="0.2">
      <c r="A53" s="69" t="str">
        <f>IF(A52="NA","NA",IF($I52&gt;$I$14,"",TEXT('Discounted Increments'!C215,"(0)")&amp;IF('Discounted Increments'!C226&gt;'Discounted Increments'!C215,"-"&amp;TEXT('Discounted Increments'!C226,"(0)"),"")))</f>
        <v/>
      </c>
      <c r="B53" s="70" t="str">
        <f>IF(A53="NA","NA",IF($I52&gt;$I$14,"",B52+1))</f>
        <v/>
      </c>
      <c r="C53" s="149" t="str">
        <f>IF(A53="NA","NA",IF($I52&gt;$I$14,"",SUM('Discounted Increments'!D215:D226)))</f>
        <v/>
      </c>
      <c r="D53" s="150" t="str">
        <f>IF(A53="NA","NA",IF($I52&gt;$I$14,"",SUM('Discounted Increments'!E215:E226)))</f>
        <v/>
      </c>
      <c r="E53" s="150" t="str">
        <f>IF(A53="NA","NA",IF($I52&gt;$I$14,"",SUM('Discounted Increments'!F215:F226)))</f>
        <v/>
      </c>
      <c r="F53" s="150" t="str">
        <f>IF(A53="NA","NA",IF($I52&gt;$I$14,"",SUM('Discounted Increments'!G215:G226)))</f>
        <v/>
      </c>
      <c r="G53" s="151" t="str">
        <f>IF(A53="NA","NA",IF($I52&gt;$I$14,"",SUM('Discounted Increments'!H215:H226)))</f>
        <v/>
      </c>
      <c r="H53" s="149" t="str">
        <f>IF(B53="NA","NA",IF($I52&gt;$I$14,"",SUM('Discounted Increments'!J215:J226)))</f>
        <v/>
      </c>
      <c r="I53" s="151" t="str">
        <f>IF(A53="NA","NA",IF($I52&gt;$I$14,"",SUM(H$37:H53)))</f>
        <v/>
      </c>
    </row>
    <row r="54" spans="1:10" x14ac:dyDescent="0.2">
      <c r="A54" s="69" t="str">
        <f>IF(A53="NA","NA",IF($I53&gt;$I$14,"",TEXT('Discounted Increments'!C227,"(0)")&amp;IF('Discounted Increments'!C238&gt;'Discounted Increments'!C227,"-"&amp;TEXT('Discounted Increments'!C238,"(0)"),"")))</f>
        <v/>
      </c>
      <c r="B54" s="70" t="str">
        <f>IF(A54="NA","NA",IF($I53&gt;$I$14,"",B53+1))</f>
        <v/>
      </c>
      <c r="C54" s="149" t="str">
        <f>IF(A54="NA","NA",IF($I53&gt;$I$14,"",SUM('Discounted Increments'!D227:D238)))</f>
        <v/>
      </c>
      <c r="D54" s="150" t="str">
        <f>IF(A54="NA","NA",IF($I53&gt;$I$14,"",SUM('Discounted Increments'!E227:E238)))</f>
        <v/>
      </c>
      <c r="E54" s="150" t="str">
        <f>IF(A54="NA","NA",IF($I53&gt;$I$14,"",SUM('Discounted Increments'!F227:F238)))</f>
        <v/>
      </c>
      <c r="F54" s="150" t="str">
        <f>IF(A54="NA","NA",IF($I53&gt;$I$14,"",SUM('Discounted Increments'!G227:G238)))</f>
        <v/>
      </c>
      <c r="G54" s="151" t="str">
        <f>IF(A54="NA","NA",IF($I53&gt;$I$14,"",SUM('Discounted Increments'!H227:H238)))</f>
        <v/>
      </c>
      <c r="H54" s="149" t="str">
        <f>IF(B54="NA","NA",IF($I53&gt;$I$14,"",SUM('Discounted Increments'!J227:J238)))</f>
        <v/>
      </c>
      <c r="I54" s="151" t="str">
        <f>IF(A54="NA","NA",IF($I53&gt;$I$14,"",SUM(H$37:H54)))</f>
        <v/>
      </c>
    </row>
    <row r="55" spans="1:10" x14ac:dyDescent="0.2">
      <c r="A55" s="69" t="str">
        <f>IF(A54="NA","NA",IF($I54&gt;$I$14,"",TEXT('Discounted Increments'!C239,"(0)")&amp;IF('Discounted Increments'!C250&gt;'Discounted Increments'!C239,"-"&amp;TEXT('Discounted Increments'!C250,"(0)"),"")))</f>
        <v/>
      </c>
      <c r="B55" s="70" t="str">
        <f>IF(A55="NA","NA",IF($I54&gt;$I$14,"",B54+1))</f>
        <v/>
      </c>
      <c r="C55" s="149" t="str">
        <f>IF(A55="NA","NA",IF($I54&gt;$I$14,"",SUM('Discounted Increments'!D239:D250)))</f>
        <v/>
      </c>
      <c r="D55" s="150" t="str">
        <f>IF(A55="NA","NA",IF($I54&gt;$I$14,"",IF($I54&gt;$I$14,"",SUM('Discounted Increments'!E239:E250))))</f>
        <v/>
      </c>
      <c r="E55" s="150" t="str">
        <f>IF(A55="NA","NA",IF($I54&gt;$I$14,"",SUM('Discounted Increments'!F239:F250)))</f>
        <v/>
      </c>
      <c r="F55" s="150" t="str">
        <f>IF(A55="NA","NA",IF($I54&gt;$I$14,"",SUM('Discounted Increments'!G239:G250)))</f>
        <v/>
      </c>
      <c r="G55" s="151" t="str">
        <f>IF(A55="NA","NA",IF($I54&gt;$I$14,"",SUM('Discounted Increments'!H239:H250)))</f>
        <v/>
      </c>
      <c r="H55" s="149" t="str">
        <f>IF(B55="NA","NA",IF($I54&gt;$I$14,"",SUM('Discounted Increments'!J239:J250)))</f>
        <v/>
      </c>
      <c r="I55" s="151" t="str">
        <f>IF(A55="NA","NA",IF($I54&gt;$I$14,"",SUM(H$37:H55)))</f>
        <v/>
      </c>
    </row>
    <row r="56" spans="1:10" x14ac:dyDescent="0.2">
      <c r="A56" s="71" t="str">
        <f>IF(A55="NA","NA",IF($I55&gt;$I$14,"",TEXT('Discounted Increments'!C251,"(0)")&amp;IF('Discounted Increments'!C262&gt;'Discounted Increments'!C251,"-"&amp;TEXT('Discounted Increments'!C262,"(0)"),"")))</f>
        <v/>
      </c>
      <c r="B56" s="72" t="str">
        <f>IF(A56="NA","NA",IF($I55&gt;$I$14,"",B55+1))</f>
        <v/>
      </c>
      <c r="C56" s="152" t="str">
        <f>IF(A56="NA","NA",IF($I55&gt;$I$14,"",SUM('Discounted Increments'!D251:D262)))</f>
        <v/>
      </c>
      <c r="D56" s="153" t="str">
        <f>IF(A56="NA","NA",IF($I55&gt;$I$14,"",SUM('Discounted Increments'!E251:E262)))</f>
        <v/>
      </c>
      <c r="E56" s="153" t="str">
        <f>IF(A56="NA","NA",IF($I55&gt;$I$14,"",SUM('Discounted Increments'!F251:F262)))</f>
        <v/>
      </c>
      <c r="F56" s="153" t="str">
        <f>IF(A56="NA","NA",IF($I55&gt;$I$14,"",SUM('Discounted Increments'!G251:G262)))</f>
        <v/>
      </c>
      <c r="G56" s="154" t="str">
        <f>IF(A56="NA","NA",IF($I55&gt;$I$14,"",SUM('Discounted Increments'!H251:H262)))</f>
        <v/>
      </c>
      <c r="H56" s="152" t="str">
        <f>IF(B56="NA","NA",IF($I55&gt;$I$14,"",SUM('Discounted Increments'!J251:J262)))</f>
        <v/>
      </c>
      <c r="I56" s="154" t="str">
        <f>IF(A56="NA","NA",IF($I55&gt;$I$14,"",SUM(H$37:H56)))</f>
        <v/>
      </c>
    </row>
    <row r="57" spans="1:10" x14ac:dyDescent="0.2">
      <c r="A57" s="47"/>
      <c r="B57" s="4"/>
      <c r="C57" s="30"/>
      <c r="D57" s="5"/>
      <c r="E57" s="5"/>
      <c r="F57" s="5"/>
      <c r="G57" s="5"/>
      <c r="H57" s="5"/>
      <c r="I57" s="5"/>
      <c r="J57" s="5"/>
    </row>
    <row r="58" spans="1:10" x14ac:dyDescent="0.2">
      <c r="A58" s="114" t="s">
        <v>72</v>
      </c>
      <c r="B58" s="115"/>
      <c r="C58" s="116"/>
      <c r="D58" s="106"/>
      <c r="E58" s="106"/>
      <c r="F58" s="106"/>
      <c r="G58" s="106"/>
      <c r="H58" s="106"/>
      <c r="I58" s="123">
        <f>MIN(I14,MAX(I41:I56))</f>
        <v>0</v>
      </c>
      <c r="J58" s="5"/>
    </row>
    <row r="59" spans="1:10" x14ac:dyDescent="0.2">
      <c r="A59" s="1" t="s">
        <v>57</v>
      </c>
      <c r="B59" s="1"/>
      <c r="C59" s="1"/>
      <c r="D59" s="1"/>
      <c r="E59" s="1"/>
      <c r="F59" s="1"/>
      <c r="G59" s="1"/>
      <c r="H59" s="1"/>
      <c r="I59" s="124">
        <f>MAX(B37:B56)</f>
        <v>5</v>
      </c>
    </row>
    <row r="60" spans="1:10" x14ac:dyDescent="0.2">
      <c r="A60" t="s">
        <v>193</v>
      </c>
      <c r="I60" s="264">
        <f>'A1 Costs and Contract'!B47</f>
        <v>1</v>
      </c>
    </row>
    <row r="61" spans="1:10" x14ac:dyDescent="0.2">
      <c r="A61" s="307" t="s">
        <v>333</v>
      </c>
      <c r="I61" s="265">
        <f>DATE(YEAR(I60-1)+I59,MONTH(I60-1),DAY(I60-1))</f>
        <v>1827</v>
      </c>
    </row>
  </sheetData>
  <mergeCells count="14">
    <mergeCell ref="A7:I7"/>
    <mergeCell ref="I37:I40"/>
    <mergeCell ref="A21:H21"/>
    <mergeCell ref="A16:G16"/>
    <mergeCell ref="A22:B22"/>
    <mergeCell ref="A35:B35"/>
    <mergeCell ref="A17:B17"/>
    <mergeCell ref="A18:B18"/>
    <mergeCell ref="A19:B19"/>
    <mergeCell ref="C12:D12"/>
    <mergeCell ref="F12:G12"/>
    <mergeCell ref="C10:G10"/>
    <mergeCell ref="C11:G11"/>
    <mergeCell ref="C35:G35"/>
  </mergeCells>
  <phoneticPr fontId="5" type="noConversion"/>
  <conditionalFormatting sqref="C24:C33">
    <cfRule type="expression" dxfId="13" priority="1" stopIfTrue="1">
      <formula>NewOrExpansion&lt;&gt;"New Service"</formula>
    </cfRule>
  </conditionalFormatting>
  <conditionalFormatting sqref="A42:I56">
    <cfRule type="cellIs" dxfId="12" priority="2" stopIfTrue="1" operator="equal">
      <formula>"NA"</formula>
    </cfRule>
  </conditionalFormatting>
  <pageMargins left="0.75" right="0.75" top="0.5" bottom="0.85" header="0.5" footer="0.5"/>
  <pageSetup scale="89" orientation="portrait" r:id="rId1"/>
  <headerFooter alignWithMargins="0">
    <oddFooter>&amp;L&amp;8Appendix to Contribution Calculator for 2021 Tariff (AESO ID No. 2021-016T)
Filename: &amp;F — Page &amp;P of &amp;N&amp;R&amp;8Confidentiality: Proprietary When Competed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4"/>
  <sheetViews>
    <sheetView workbookViewId="0">
      <selection activeCell="C13" sqref="C13"/>
    </sheetView>
  </sheetViews>
  <sheetFormatPr defaultRowHeight="12.75" x14ac:dyDescent="0.2"/>
  <cols>
    <col min="1" max="1" width="10.7109375" bestFit="1" customWidth="1"/>
    <col min="2" max="2" width="14.42578125" bestFit="1" customWidth="1"/>
    <col min="3" max="3" width="18" bestFit="1" customWidth="1"/>
    <col min="4" max="4" width="12.28515625" bestFit="1" customWidth="1"/>
    <col min="5" max="7" width="11.28515625" bestFit="1" customWidth="1"/>
    <col min="8" max="8" width="10.28515625" bestFit="1" customWidth="1"/>
    <col min="10" max="10" width="11.28515625" bestFit="1" customWidth="1"/>
    <col min="11" max="11" width="10.5703125" customWidth="1"/>
    <col min="12" max="13" width="10.28515625" bestFit="1" customWidth="1"/>
    <col min="14" max="14" width="7.42578125" bestFit="1" customWidth="1"/>
  </cols>
  <sheetData>
    <row r="1" spans="1:14" ht="15" x14ac:dyDescent="0.25">
      <c r="D1" s="300" t="s">
        <v>220</v>
      </c>
      <c r="E1" s="287"/>
      <c r="F1" s="287"/>
      <c r="G1" s="287"/>
      <c r="H1" s="287"/>
      <c r="I1" s="290"/>
      <c r="J1" s="300" t="s">
        <v>221</v>
      </c>
      <c r="K1" s="290"/>
      <c r="L1" s="290"/>
      <c r="M1" s="290"/>
      <c r="N1" s="290"/>
    </row>
    <row r="2" spans="1:14" ht="15" x14ac:dyDescent="0.25">
      <c r="A2" t="s">
        <v>210</v>
      </c>
      <c r="B2" s="285" t="s">
        <v>218</v>
      </c>
      <c r="C2" s="285" t="s">
        <v>219</v>
      </c>
      <c r="D2" s="288" t="s">
        <v>26</v>
      </c>
      <c r="E2" s="288" t="s">
        <v>31</v>
      </c>
      <c r="F2" s="288" t="s">
        <v>32</v>
      </c>
      <c r="G2" s="288" t="s">
        <v>33</v>
      </c>
      <c r="H2" s="288" t="s">
        <v>34</v>
      </c>
      <c r="I2" s="291"/>
      <c r="J2" s="291" t="s">
        <v>26</v>
      </c>
      <c r="K2" s="291" t="s">
        <v>31</v>
      </c>
      <c r="L2" s="291" t="s">
        <v>32</v>
      </c>
      <c r="M2" s="291" t="s">
        <v>33</v>
      </c>
      <c r="N2" s="291" t="s">
        <v>34</v>
      </c>
    </row>
    <row r="3" spans="1:14" ht="15" x14ac:dyDescent="0.25">
      <c r="A3" t="s">
        <v>227</v>
      </c>
      <c r="B3" s="286">
        <v>39661</v>
      </c>
      <c r="C3" s="286">
        <v>40178</v>
      </c>
      <c r="D3" s="293">
        <v>51400</v>
      </c>
      <c r="E3" s="293">
        <v>28900</v>
      </c>
      <c r="F3" s="293">
        <v>10000</v>
      </c>
      <c r="G3" s="293">
        <v>5900</v>
      </c>
      <c r="H3" s="293">
        <v>3100</v>
      </c>
      <c r="I3" s="293"/>
      <c r="J3" s="292">
        <v>23130</v>
      </c>
      <c r="K3" s="292">
        <v>13005</v>
      </c>
      <c r="L3" s="292">
        <v>4500</v>
      </c>
      <c r="M3" s="292">
        <v>2655</v>
      </c>
      <c r="N3" s="292">
        <v>0</v>
      </c>
    </row>
    <row r="4" spans="1:14" ht="15" x14ac:dyDescent="0.25">
      <c r="A4" t="s">
        <v>228</v>
      </c>
      <c r="B4" s="286">
        <v>40179</v>
      </c>
      <c r="C4" s="286">
        <v>40724</v>
      </c>
      <c r="D4" s="293">
        <v>51050</v>
      </c>
      <c r="E4" s="293">
        <v>34650</v>
      </c>
      <c r="F4" s="293">
        <v>12800</v>
      </c>
      <c r="G4" s="293">
        <v>7750</v>
      </c>
      <c r="H4" s="293">
        <v>4200</v>
      </c>
      <c r="I4" s="291"/>
      <c r="J4" s="292">
        <v>10720</v>
      </c>
      <c r="K4" s="292">
        <v>7275</v>
      </c>
      <c r="L4" s="292">
        <v>2690</v>
      </c>
      <c r="M4" s="292">
        <v>1630</v>
      </c>
      <c r="N4" s="292">
        <v>0</v>
      </c>
    </row>
    <row r="5" spans="1:14" ht="15" x14ac:dyDescent="0.25">
      <c r="A5" t="s">
        <v>211</v>
      </c>
      <c r="B5" s="286">
        <v>40725</v>
      </c>
      <c r="C5" s="286">
        <v>41547</v>
      </c>
      <c r="D5" s="289">
        <v>50050</v>
      </c>
      <c r="E5" s="289">
        <v>34000</v>
      </c>
      <c r="F5" s="289">
        <v>12550</v>
      </c>
      <c r="G5" s="289">
        <v>7600</v>
      </c>
      <c r="H5" s="289">
        <v>4100</v>
      </c>
      <c r="I5" s="293"/>
      <c r="J5" s="292">
        <v>10510</v>
      </c>
      <c r="K5" s="292">
        <v>7140</v>
      </c>
      <c r="L5" s="292">
        <v>2635</v>
      </c>
      <c r="M5" s="292">
        <v>1595</v>
      </c>
      <c r="N5" s="292">
        <v>0</v>
      </c>
    </row>
    <row r="6" spans="1:14" ht="15" x14ac:dyDescent="0.25">
      <c r="A6" t="s">
        <v>212</v>
      </c>
      <c r="B6" s="286">
        <v>41548</v>
      </c>
      <c r="C6" s="286">
        <v>42185</v>
      </c>
      <c r="D6" s="289">
        <v>52000</v>
      </c>
      <c r="E6" s="289">
        <v>35350</v>
      </c>
      <c r="F6" s="289">
        <v>13050</v>
      </c>
      <c r="G6" s="289">
        <v>7900</v>
      </c>
      <c r="H6" s="289">
        <v>4250</v>
      </c>
      <c r="I6" s="293"/>
      <c r="J6" s="292">
        <v>10920</v>
      </c>
      <c r="K6" s="292">
        <v>7425</v>
      </c>
      <c r="L6" s="292">
        <v>2740</v>
      </c>
      <c r="M6" s="292">
        <v>1660</v>
      </c>
      <c r="N6" s="292">
        <v>0</v>
      </c>
    </row>
    <row r="7" spans="1:14" ht="15" x14ac:dyDescent="0.25">
      <c r="A7" t="s">
        <v>213</v>
      </c>
      <c r="B7" s="286">
        <v>42186</v>
      </c>
      <c r="C7" s="286">
        <v>42369</v>
      </c>
      <c r="D7" s="289">
        <v>76050</v>
      </c>
      <c r="E7" s="289">
        <v>30800</v>
      </c>
      <c r="F7" s="289">
        <v>19300</v>
      </c>
      <c r="G7" s="289">
        <v>13450</v>
      </c>
      <c r="H7" s="289">
        <v>8700</v>
      </c>
      <c r="I7" s="293"/>
      <c r="J7" s="292">
        <v>15970</v>
      </c>
      <c r="K7" s="292">
        <v>6470</v>
      </c>
      <c r="L7" s="292">
        <v>4050</v>
      </c>
      <c r="M7" s="292">
        <v>2820</v>
      </c>
      <c r="N7" s="292">
        <v>0</v>
      </c>
    </row>
    <row r="8" spans="1:14" ht="15" x14ac:dyDescent="0.25">
      <c r="A8" t="s">
        <v>214</v>
      </c>
      <c r="B8" s="286">
        <v>42370</v>
      </c>
      <c r="C8" s="286">
        <v>42460</v>
      </c>
      <c r="D8" s="289">
        <v>76550</v>
      </c>
      <c r="E8" s="289">
        <v>31000</v>
      </c>
      <c r="F8" s="289">
        <v>19450</v>
      </c>
      <c r="G8" s="289">
        <v>13550</v>
      </c>
      <c r="H8" s="289">
        <v>8750</v>
      </c>
      <c r="I8" s="293"/>
      <c r="J8" s="292">
        <v>16080</v>
      </c>
      <c r="K8" s="292">
        <v>6510</v>
      </c>
      <c r="L8" s="292">
        <v>4080</v>
      </c>
      <c r="M8" s="292">
        <v>2850</v>
      </c>
      <c r="N8" s="292">
        <v>0</v>
      </c>
    </row>
    <row r="9" spans="1:14" ht="15" x14ac:dyDescent="0.25">
      <c r="A9" t="s">
        <v>215</v>
      </c>
      <c r="B9" s="286">
        <v>42461</v>
      </c>
      <c r="C9" s="286">
        <v>42735</v>
      </c>
      <c r="D9" s="289">
        <v>78350</v>
      </c>
      <c r="E9" s="289">
        <v>31750</v>
      </c>
      <c r="F9" s="289">
        <v>19900</v>
      </c>
      <c r="G9" s="289">
        <v>13850</v>
      </c>
      <c r="H9" s="289">
        <v>8950</v>
      </c>
      <c r="I9" s="293"/>
      <c r="J9" s="292">
        <v>16450</v>
      </c>
      <c r="K9" s="292">
        <v>6670</v>
      </c>
      <c r="L9" s="292">
        <v>4180</v>
      </c>
      <c r="M9" s="292">
        <v>2910</v>
      </c>
      <c r="N9" s="292">
        <v>0</v>
      </c>
    </row>
    <row r="10" spans="1:14" ht="15" x14ac:dyDescent="0.25">
      <c r="A10" t="s">
        <v>216</v>
      </c>
      <c r="B10" s="286">
        <v>42736</v>
      </c>
      <c r="C10" s="286">
        <v>43100</v>
      </c>
      <c r="D10" s="289">
        <v>80150</v>
      </c>
      <c r="E10" s="289">
        <v>32450</v>
      </c>
      <c r="F10" s="289">
        <v>20350</v>
      </c>
      <c r="G10" s="289">
        <v>14200</v>
      </c>
      <c r="H10" s="289">
        <v>9150</v>
      </c>
      <c r="I10" s="293"/>
      <c r="J10" s="292">
        <v>16830</v>
      </c>
      <c r="K10" s="292">
        <v>6810</v>
      </c>
      <c r="L10" s="292">
        <v>4270</v>
      </c>
      <c r="M10" s="292">
        <v>2980</v>
      </c>
      <c r="N10" s="292">
        <v>0</v>
      </c>
    </row>
    <row r="11" spans="1:14" ht="15" x14ac:dyDescent="0.25">
      <c r="A11" t="s">
        <v>217</v>
      </c>
      <c r="B11" s="286">
        <v>43101</v>
      </c>
      <c r="C11" s="286">
        <v>43465</v>
      </c>
      <c r="D11" s="289">
        <v>78500</v>
      </c>
      <c r="E11" s="289">
        <v>31800</v>
      </c>
      <c r="F11" s="289">
        <v>19900</v>
      </c>
      <c r="G11" s="289">
        <v>13900</v>
      </c>
      <c r="H11" s="289">
        <v>9000</v>
      </c>
      <c r="I11" s="293"/>
      <c r="J11" s="292">
        <v>16480</v>
      </c>
      <c r="K11" s="302">
        <v>6680</v>
      </c>
      <c r="L11" s="292">
        <v>4180</v>
      </c>
      <c r="M11" s="292">
        <v>2920</v>
      </c>
      <c r="N11" s="292">
        <v>0</v>
      </c>
    </row>
    <row r="12" spans="1:14" ht="15" x14ac:dyDescent="0.25">
      <c r="A12" t="s">
        <v>206</v>
      </c>
      <c r="B12" s="286">
        <v>43466</v>
      </c>
      <c r="C12" s="328">
        <v>43921</v>
      </c>
      <c r="D12" s="289">
        <v>79900</v>
      </c>
      <c r="E12" s="289">
        <v>32350</v>
      </c>
      <c r="F12" s="289">
        <v>20250</v>
      </c>
      <c r="G12" s="289">
        <v>14150</v>
      </c>
      <c r="H12" s="289">
        <v>9150</v>
      </c>
      <c r="I12" s="293"/>
      <c r="J12" s="292">
        <v>16780</v>
      </c>
      <c r="K12" s="292">
        <v>6790</v>
      </c>
      <c r="L12" s="292">
        <v>4250</v>
      </c>
      <c r="M12" s="292">
        <v>2970</v>
      </c>
      <c r="N12" s="292">
        <v>0</v>
      </c>
    </row>
    <row r="13" spans="1:14" ht="15" x14ac:dyDescent="0.25">
      <c r="A13" s="329" t="s">
        <v>240</v>
      </c>
      <c r="B13" s="330">
        <v>43922</v>
      </c>
      <c r="C13" s="286">
        <v>44196</v>
      </c>
      <c r="D13" s="331">
        <v>105150</v>
      </c>
      <c r="E13" s="331">
        <v>34600</v>
      </c>
      <c r="F13" s="331">
        <v>20550</v>
      </c>
      <c r="G13" s="331">
        <v>13750</v>
      </c>
      <c r="H13" s="331">
        <v>8450</v>
      </c>
      <c r="I13" s="332"/>
      <c r="J13" s="302">
        <v>22080</v>
      </c>
      <c r="K13" s="302">
        <v>7270</v>
      </c>
      <c r="L13" s="302">
        <v>4320</v>
      </c>
      <c r="M13" s="302">
        <v>2890</v>
      </c>
      <c r="N13" s="302">
        <v>0</v>
      </c>
    </row>
    <row r="14" spans="1:14" ht="15" x14ac:dyDescent="0.25">
      <c r="A14" s="329" t="s">
        <v>253</v>
      </c>
      <c r="B14" s="328">
        <v>44197</v>
      </c>
      <c r="C14" s="333" t="s">
        <v>151</v>
      </c>
      <c r="D14" s="334">
        <v>106850</v>
      </c>
      <c r="E14" s="334">
        <v>35150</v>
      </c>
      <c r="F14" s="334">
        <v>20850</v>
      </c>
      <c r="G14" s="334">
        <v>14000</v>
      </c>
      <c r="H14" s="334">
        <v>8550</v>
      </c>
      <c r="J14" s="335">
        <v>22440</v>
      </c>
      <c r="K14" s="335">
        <v>7380</v>
      </c>
      <c r="L14" s="335">
        <v>4380</v>
      </c>
      <c r="M14" s="335">
        <v>2940</v>
      </c>
      <c r="N14" s="335">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LARA Information Document" ma:contentTypeID="0x010100BC84ACA119491D43B8AEA0C41A758E3B0B040071BA19474634B249B800E7274CE14146" ma:contentTypeVersion="52" ma:contentTypeDescription="" ma:contentTypeScope="" ma:versionID="27a3dfa4d5e76c26aa1e3070d701a9eb">
  <xsd:schema xmlns:xsd="http://www.w3.org/2001/XMLSchema" xmlns:xs="http://www.w3.org/2001/XMLSchema" xmlns:p="http://schemas.microsoft.com/office/2006/metadata/properties" xmlns:ns1="http://schemas.microsoft.com/sharepoint/v3" xmlns:ns2="bfc2574c-8110-4e43-9784-1ee86de75c6c" xmlns:ns4="650fffc6-a86a-4844-afad-966e4497fd3d" targetNamespace="http://schemas.microsoft.com/office/2006/metadata/properties" ma:root="true" ma:fieldsID="979e84eb11b201559bb34bcf366cde74" ns1:_="" ns2:_="" ns4:_="">
    <xsd:import namespace="http://schemas.microsoft.com/sharepoint/v3"/>
    <xsd:import namespace="bfc2574c-8110-4e43-9784-1ee86de75c6c"/>
    <xsd:import namespace="650fffc6-a86a-4844-afad-966e4497fd3d"/>
    <xsd:element name="properties">
      <xsd:complexType>
        <xsd:sequence>
          <xsd:element name="documentManagement">
            <xsd:complexType>
              <xsd:all>
                <xsd:element ref="ns2:Activity_x0020_Complete_x0020_Date" minOccurs="0"/>
                <xsd:element ref="ns4:CWRMItemUniqueId" minOccurs="0"/>
                <xsd:element ref="ns4:CWRMItemRecordState" minOccurs="0"/>
                <xsd:element ref="ns4:CWRMItemRecordCategory" minOccurs="0"/>
                <xsd:element ref="ns4:e94be97ffb024deb9c3d6d978a059d35" minOccurs="0"/>
                <xsd:element ref="ns2:TaxCatchAll" minOccurs="0"/>
                <xsd:element ref="ns2:TaxCatchAllLabel" minOccurs="0"/>
                <xsd:element ref="ns4:CWRMItemRecordStatus" minOccurs="0"/>
                <xsd:element ref="ns4:CWRMItemRecordDeclaredDate" minOccurs="0"/>
                <xsd:element ref="ns4:CWRMItemRecordVital" minOccurs="0"/>
                <xsd:element ref="ns4:CWRMItemRecordData" minOccurs="0"/>
                <xsd:element ref="ns2:fdc7710463144dc19a8992998d0907da" minOccurs="0"/>
                <xsd:element ref="ns2:_dlc_DocId" minOccurs="0"/>
                <xsd:element ref="ns2:_dlc_DocIdUrl" minOccurs="0"/>
                <xsd:element ref="ns2:_dlc_DocIdPersistId" minOccurs="0"/>
                <xsd:element ref="ns2:nc9abd60d2924b6a80e31aa92886dd82" minOccurs="0"/>
                <xsd:element ref="ns2:k64467115e4948f8a6ae90544ba894f6" minOccurs="0"/>
                <xsd:element ref="ns2:LARA_x0020_Status" minOccurs="0"/>
                <xsd:element ref="ns2:b946e2da1d29488e816d294143d8cab5" minOccurs="0"/>
                <xsd:element ref="ns1:Email_x0020_Subject" minOccurs="0"/>
                <xsd:element ref="ns1:Email_x0020_From" minOccurs="0"/>
                <xsd:element ref="ns1:Email_x0020_To" minOccurs="0"/>
                <xsd:element ref="ns1:Email_x0020_CC" minOccurs="0"/>
                <xsd:element ref="ns1:Email_x0020_Importance" minOccurs="0"/>
                <xsd:element ref="ns1:Email_x0020_Received_x0020_Date" minOccurs="0"/>
                <xsd:element ref="ns1:Email_x0020_S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_x0020_Subject" ma:index="32" nillable="true" ma:displayName="Email Subject" ma:internalName="Email_x0020_Subject" ma:readOnly="true">
      <xsd:simpleType>
        <xsd:restriction base="dms:Text"/>
      </xsd:simpleType>
    </xsd:element>
    <xsd:element name="Email_x0020_From" ma:index="33" nillable="true" ma:displayName="Email From" ma:internalName="Email_x0020_From" ma:readOnly="true">
      <xsd:simpleType>
        <xsd:restriction base="dms:Text"/>
      </xsd:simpleType>
    </xsd:element>
    <xsd:element name="Email_x0020_To" ma:index="34" nillable="true" ma:displayName="Email To" ma:internalName="Email_x0020_To" ma:readOnly="true">
      <xsd:simpleType>
        <xsd:restriction base="dms:Note">
          <xsd:maxLength value="255"/>
        </xsd:restriction>
      </xsd:simpleType>
    </xsd:element>
    <xsd:element name="Email_x0020_CC" ma:index="35" nillable="true" ma:displayName="Email CC" ma:internalName="Email_x0020_CC" ma:readOnly="true">
      <xsd:simpleType>
        <xsd:restriction base="dms:Note">
          <xsd:maxLength value="255"/>
        </xsd:restriction>
      </xsd:simpleType>
    </xsd:element>
    <xsd:element name="Email_x0020_Importance" ma:index="36" nillable="true" ma:displayName="Email Importance" ma:internalName="Email_x0020_Importance" ma:readOnly="true">
      <xsd:simpleType>
        <xsd:restriction base="dms:Text"/>
      </xsd:simpleType>
    </xsd:element>
    <xsd:element name="Email_x0020_Received_x0020_Date" ma:index="37" nillable="true" ma:displayName="Email Received Date" ma:internalName="Email_x0020_Received_x0020_Date" ma:readOnly="true">
      <xsd:simpleType>
        <xsd:restriction base="dms:DateTime"/>
      </xsd:simpleType>
    </xsd:element>
    <xsd:element name="Email_x0020_Sent_x0020_Date" ma:index="38" nillable="true" ma:displayName="Email Sent Date" ma:internalName="Email_x0020_Sent_x0020_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c2574c-8110-4e43-9784-1ee86de75c6c" elementFormDefault="qualified">
    <xsd:import namespace="http://schemas.microsoft.com/office/2006/documentManagement/types"/>
    <xsd:import namespace="http://schemas.microsoft.com/office/infopath/2007/PartnerControls"/>
    <xsd:element name="Activity_x0020_Complete_x0020_Date" ma:index="2" nillable="true" ma:displayName="Activity Complete Date" ma:description="Example: 02/23/2020" ma:format="DateOnly" ma:internalName="Activity_x0020_Complete_x0020_Date">
      <xsd:simpleType>
        <xsd:restriction base="dms:DateTime"/>
      </xsd:simpleType>
    </xsd:element>
    <xsd:element name="TaxCatchAll" ma:index="12" nillable="true" ma:displayName="Taxonomy Catch All Column" ma:hidden="true" ma:list="4eea8045-af52-47fb-8910-5a8a46b38f49" ma:internalName="TaxCatchAll" ma:showField="CatchAllData" ma:web="650fffc6-a86a-4844-afad-966e4497fd3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eea8045-af52-47fb-8910-5a8a46b38f49" ma:internalName="TaxCatchAllLabel" ma:readOnly="true" ma:showField="CatchAllDataLabel" ma:web="650fffc6-a86a-4844-afad-966e4497fd3d">
      <xsd:complexType>
        <xsd:complexContent>
          <xsd:extension base="dms:MultiChoiceLookup">
            <xsd:sequence>
              <xsd:element name="Value" type="dms:Lookup" maxOccurs="unbounded" minOccurs="0" nillable="true"/>
            </xsd:sequence>
          </xsd:extension>
        </xsd:complexContent>
      </xsd:complexType>
    </xsd:element>
    <xsd:element name="fdc7710463144dc19a8992998d0907da" ma:index="20" nillable="true" ma:taxonomy="true" ma:internalName="fdc7710463144dc19a8992998d0907da" ma:taxonomyFieldName="Confidentiality_x0020_Classification" ma:displayName="Confidentiality Classification" ma:default="1;#AESO Protected|67c4d7a0-4f5b-44e1-8816-0d4e4f2129b8" ma:fieldId="{fdc77104-6314-4dc1-9a89-92998d0907da}" ma:sspId="93371fdb-7bec-4d52-adeb-1166efac0023" ma:termSetId="86da2f9e-e637-434c-a22c-d8de590d1e93"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nc9abd60d2924b6a80e31aa92886dd82" ma:index="25" nillable="true" ma:taxonomy="true" ma:internalName="nc9abd60d2924b6a80e31aa92886dd82" ma:taxonomyFieldName="Business_x0020_Unit_x0028_s_x0029_" ma:displayName="Business Unit(s)" ma:default="" ma:fieldId="{7c9abd60-d292-4b6a-80e3-1aa92886dd82}" ma:taxonomyMulti="true" ma:sspId="93371fdb-7bec-4d52-adeb-1166efac0023" ma:termSetId="3d412721-2c26-4086-a4aa-f3bd35cef3bd" ma:anchorId="00000000-0000-0000-0000-000000000000" ma:open="false" ma:isKeyword="false">
      <xsd:complexType>
        <xsd:sequence>
          <xsd:element ref="pc:Terms" minOccurs="0" maxOccurs="1"/>
        </xsd:sequence>
      </xsd:complexType>
    </xsd:element>
    <xsd:element name="k64467115e4948f8a6ae90544ba894f6" ma:index="27" nillable="true" ma:taxonomy="true" ma:internalName="k64467115e4948f8a6ae90544ba894f6" ma:taxonomyFieldName="Related_x0020_ADs" ma:displayName="Related ADs" ma:default="" ma:fieldId="{46446711-5e49-48f8-a6ae-90544ba894f6}" ma:taxonomyMulti="true" ma:sspId="93371fdb-7bec-4d52-adeb-1166efac0023" ma:termSetId="a53a396f-088e-46cc-82dd-f28275a65df7" ma:anchorId="00000000-0000-0000-0000-000000000000" ma:open="true" ma:isKeyword="false">
      <xsd:complexType>
        <xsd:sequence>
          <xsd:element ref="pc:Terms" minOccurs="0" maxOccurs="1"/>
        </xsd:sequence>
      </xsd:complexType>
    </xsd:element>
    <xsd:element name="LARA_x0020_Status" ma:index="29" nillable="true" ma:displayName="LARA Status" ma:default="Active" ma:format="Dropdown" ma:internalName="LARA_x0020_Status">
      <xsd:simpleType>
        <xsd:restriction base="dms:Choice">
          <xsd:enumeration value="Active"/>
          <xsd:enumeration value="Inactive"/>
        </xsd:restriction>
      </xsd:simpleType>
    </xsd:element>
    <xsd:element name="b946e2da1d29488e816d294143d8cab5" ma:index="30" nillable="true" ma:taxonomy="true" ma:internalName="b946e2da1d29488e816d294143d8cab5" ma:taxonomyFieldName="ID_x0020_Category" ma:displayName="ID Category" ma:default="" ma:fieldId="{b946e2da-1d29-488e-816d-294143d8cab5}" ma:taxonomyMulti="true" ma:sspId="93371fdb-7bec-4d52-adeb-1166efac0023" ma:termSetId="88aaa5d0-0571-48f9-a57b-cb84c5c6e36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50fffc6-a86a-4844-afad-966e4497fd3d" elementFormDefault="qualified">
    <xsd:import namespace="http://schemas.microsoft.com/office/2006/documentManagement/types"/>
    <xsd:import namespace="http://schemas.microsoft.com/office/infopath/2007/PartnerControls"/>
    <xsd:element name="CWRMItemUniqueId" ma:index="8" nillable="true" ma:displayName="Content ID" ma:description="A universally unique identifier assigned to the item." ma:hidden="true" ma:internalName="CWRMItemUniqueId" ma:readOnly="true">
      <xsd:simpleType>
        <xsd:restriction base="dms:Text"/>
      </xsd:simpleType>
    </xsd:element>
    <xsd:element name="CWRMItemRecordState" ma:index="9" nillable="true" ma:displayName="Record State" ma:description="The current state of this item as it pertains to records management." ma:hidden="true" ma:internalName="CWRMItemRecordState" ma:readOnly="true">
      <xsd:simpleType>
        <xsd:restriction base="dms:Text"/>
      </xsd:simpleType>
    </xsd:element>
    <xsd:element name="CWRMItemRecordCategory" ma:index="10" nillable="true" ma:displayName="Record Category" ma:description="Identifies the current record category for the item." ma:hidden="true" ma:internalName="CWRMItemRecordCategory" ma:readOnly="true">
      <xsd:simpleType>
        <xsd:restriction base="dms:Text"/>
      </xsd:simpleType>
    </xsd:element>
    <xsd:element name="e94be97ffb024deb9c3d6d978a059d35" ma:index="11" nillable="true" ma:taxonomy="true" ma:internalName="CWRMItemRecordClassificationTaxHTField0" ma:taxonomyFieldName="CWRMItemRecordClassification" ma:displayName="Record Classification" ma:fieldId="{e94be97f-fb02-4deb-9c3d-6d978a059d35}" ma:sspId="93371fdb-7bec-4d52-adeb-1166efac0023" ma:termSetId="cdfcbdf3-8cad-4f84-bedc-a05c42b6c044" ma:anchorId="00000000-0000-0000-0000-000000000000" ma:open="false" ma:isKeyword="false">
      <xsd:complexType>
        <xsd:sequence>
          <xsd:element ref="pc:Terms" minOccurs="0" maxOccurs="1"/>
        </xsd:sequence>
      </xsd:complexType>
    </xsd:element>
    <xsd:element name="CWRMItemRecordStatus" ma:index="15" nillable="true" ma:displayName="Record Status" ma:description="The current status of this item as it pertains to records management." ma:hidden="true" ma:internalName="CWRMItemRecordStatus" ma:readOnly="true">
      <xsd:simpleType>
        <xsd:restriction base="dms:Text"/>
      </xsd:simpleType>
    </xsd:element>
    <xsd:element name="CWRMItemRecordDeclaredDate" ma:index="16" nillable="true" ma:displayName="Record Declared Date" ma:description="The date and time that the item was declared a record." ma:hidden="true" ma:internalName="CWRMItemRecordDeclaredDate" ma:readOnly="true">
      <xsd:simpleType>
        <xsd:restriction base="dms:DateTime"/>
      </xsd:simpleType>
    </xsd:element>
    <xsd:element name="CWRMItemRecordVital" ma:index="17" nillable="true" ma:displayName="Record Vital" ma:description="Indicates if this item is considered vital to the organization." ma:hidden="true" ma:internalName="CWRMItemRecordVital" ma:readOnly="true">
      <xsd:simpleType>
        <xsd:restriction base="dms:Boolean"/>
      </xsd:simpleType>
    </xsd:element>
    <xsd:element name="CWRMItemRecordData" ma:index="18" nillable="true" ma:displayName="Record Data" ma:description="Contains system specific record data for the item." ma:hidden="true" ma:internalName="CWRMItemRecordData">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Collabware CLM Item Unique ID</Name>
    <Synchronization>Synchronous</Synchronization>
    <Type>1</Type>
    <SequenceNumber>1</SequenceNumber>
    <Url/>
    <Assembly>Collabware.SharePoint.RecordsManagement, Version=1.0.0.0, Culture=neutral, PublicKeyToken=801662d3f2b71412</Assembly>
    <Class>Collabware.SharePoint.RecordsManagement.ItemUniqueIdContentTypeReceiver</Class>
    <Data/>
    <Filter/>
  </Receiver>
  <Receiver>
    <Name>Collabware CLM Item Unique ID</Name>
    <Synchronization>Synchronous</Synchronization>
    <Type>10002</Type>
    <SequenceNumber>10500</SequenceNumber>
    <Url/>
    <Assembly>Collabware.SharePoint.RecordsManagement, Version=1.0.0.0, Culture=neutral, PublicKeyToken=801662d3f2b71412</Assembly>
    <Class>Collabware.SharePoint.RecordsManagement.ItemUniqueIdContentTypeReceiver</Class>
    <Data/>
    <Filter/>
  </Receiver>
  <Receiver>
    <Name>Collabware CLM Item Unique ID</Name>
    <Synchronization>Synchronous</Synchronization>
    <Type>10004</Type>
    <SequenceNumber>10501</SequenceNumber>
    <Url/>
    <Assembly>Collabware.SharePoint.RecordsManagement, Version=1.0.0.0, Culture=neutral, PublicKeyToken=801662d3f2b71412</Assembly>
    <Class>Collabware.SharePoint.RecordsManagement.ItemUniqueIdContentTypeReceiver</Class>
    <Data/>
    <Filter/>
  </Receiver>
  <Receiver>
    <Name>Collabware CLM Item Unique ID</Name>
    <Synchronization>Synchronous</Synchronization>
    <Type>10006</Type>
    <SequenceNumber>10502</SequenceNumber>
    <Url/>
    <Assembly>Collabware.SharePoint.RecordsManagement, Version=1.0.0.0, Culture=neutral, PublicKeyToken=801662d3f2b71412</Assembly>
    <Class>Collabware.SharePoint.RecordsManagement.ItemUniqueIdContentTypeReceiver</Class>
    <Data/>
    <Filter/>
  </Receiver>
  <Receiver>
    <Name>Collabware CLM Item Processing</Name>
    <Synchronization>Synchronous</Synchronization>
    <Type>10001</Type>
    <SequenceNumber>12000</SequenceNumber>
    <Url/>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10002</Type>
    <SequenceNumber>12001</SequenceNumber>
    <Url/>
    <Assembly>Collabware.SharePoint.RecordsManagement, Version=1.0.0.0, Culture=neutral, PublicKeyToken=801662d3f2b71412</Assembly>
    <Class>Collabware.SharePoint.RecordsManagement.ItemProcessingContentTypeReceiver</Class>
    <Data/>
    <Filter/>
  </Receiver>
  <Receiver>
    <Name>Collabware CLM Item Processing</Name>
    <Synchronization>Asynchronous</Synchronization>
    <Type>10004</Type>
    <SequenceNumber>12002</SequenceNumber>
    <Url/>
    <Assembly>Collabware.SharePoint.RecordsManagement, Version=1.0.0.0, Culture=neutral, PublicKeyToken=801662d3f2b71412</Assembly>
    <Class>Collabware.SharePoint.RecordsManagement.ItemProcessingContentTypeReceiver</Class>
    <Data/>
    <Filter/>
  </Receiver>
  <Receiver>
    <Name>Collabware CLM Item Processing</Name>
    <Synchronization>Synchronous</Synchronization>
    <Type>3</Type>
    <SequenceNumber>10003</SequenceNumber>
    <Url/>
    <Assembly>Collabware.SharePoint.RecordsManagement, Version=1.0.0.0, Culture=neutral, PublicKeyToken=801662d3f2b71412</Assembly>
    <Class>Collabware.SharePoint.RecordsManagement.ItemProcessingContentTypeReceiver</Class>
    <Data/>
    <Filter/>
  </Receiver>
  <Receiver>
    <Name>Collabware CLM Item Audit</Name>
    <Synchronization>Asynchronous</Synchronization>
    <Type>10001</Type>
    <SequenceNumber>11000</SequenceNumber>
    <Url/>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10002</Type>
    <SequenceNumber>11001</SequenceNumber>
    <Url/>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10005</Type>
    <SequenceNumber>11002</SequenceNumber>
    <Url/>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10006</Type>
    <SequenceNumber>11003</SequenceNumber>
    <Url/>
    <Assembly>Collabware.SharePoint.RecordsManagement, Version=1.0.0.0, Culture=neutral, PublicKeyToken=801662d3f2b71412</Assembly>
    <Class>Collabware.SharePoint.RecordsManagement.ItemAuditContentTypeReceiver</Class>
    <Data/>
    <Filter/>
  </Receiver>
  <Receiver>
    <Name>Collabware CLM Item Audit</Name>
    <Synchronization>Asynchronous</Synchronization>
    <Type>10004</Type>
    <SequenceNumber>11004</SequenceNumber>
    <Url/>
    <Assembly>Collabware.SharePoint.RecordsManagement, Version=1.0.0.0, Culture=neutral, PublicKeyToken=801662d3f2b71412</Assembly>
    <Class>Collabware.SharePoint.RecordsManagement.ItemAuditContentTypeReceiver</Class>
    <Data/>
    <Filter/>
  </Receiver>
  <Receiver>
    <Name>Collabware CLM Item Audit</Name>
    <Synchronization>Synchronous</Synchronization>
    <Type>3</Type>
    <SequenceNumber>11005</SequenceNumber>
    <Url/>
    <Assembly>Collabware.SharePoint.RecordsManagement, Version=1.0.0.0, Culture=neutral, PublicKeyToken=801662d3f2b71412</Assembly>
    <Class>Collabware.SharePoint.RecordsManagement.ItemAuditContentTypeReceiver</Class>
    <Data/>
    <Filter/>
  </Receiver>
  <Receiver>
    <Name>Collabware CLM Item Security</Name>
    <Synchronization>Asynchronous</Synchronization>
    <Type>10002</Type>
    <SequenceNumber>13000</SequenceNumber>
    <Url/>
    <Assembly>Collabware.SharePoint.RecordsManagement, Version=1.0.0.0, Culture=neutral, PublicKeyToken=801662d3f2b71412</Assembly>
    <Class>Collabware.SharePoint.RecordsManagement.ItemSecurityContentTypeReceiver</Class>
    <Data/>
    <Filter/>
  </Receiver>
  <Receiver>
    <Name/>
    <Synchronization>Synchronous</Synchronization>
    <Type>10001</Type>
    <SequenceNumber>1</SequenceNumber>
    <Url/>
    <Assembly>Collabware.SharePoint.RecordsManagement, Version=1.0.0.0, Culture=neutral, PublicKeyToken=801662d3f2b71412</Assembly>
    <Class>Collabware.SharePoint.RecordsManagement.BeforeVerifyItemAddedReceiver</Class>
    <Data/>
    <Filter/>
  </Receiver>
  <Receiver>
    <Name/>
    <Synchronization>Synchronous</Synchronization>
    <Type>10001</Type>
    <SequenceNumber>9000</SequenceNumber>
    <Url/>
    <Assembly>Collabware.SharePoint.RecordsManagement, Version=1.0.0.0, Culture=neutral, PublicKeyToken=801662d3f2b71412</Assembly>
    <Class>Collabware.SharePoint.RecordsManagement.VerifyItemAddedReceiver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93371fdb-7bec-4d52-adeb-1166efac0023" ContentTypeId="0x010100BC84ACA119491D43B8AEA0C41A758E3B0B04" PreviousValue="false"/>
</file>

<file path=customXml/item5.xml><?xml version="1.0" encoding="utf-8"?>
<p:properties xmlns:p="http://schemas.microsoft.com/office/2006/metadata/properties" xmlns:xsi="http://www.w3.org/2001/XMLSchema-instance" xmlns:pc="http://schemas.microsoft.com/office/infopath/2007/PartnerControls">
  <documentManagement>
    <LARA_x0020_Status xmlns="bfc2574c-8110-4e43-9784-1ee86de75c6c">Active</LARA_x0020_Status>
    <CWRMItemUniqueId xmlns="650fffc6-a86a-4844-afad-966e4497fd3d">000000LUQO</CWRMItemUniqueId>
    <_dlc_DocId xmlns="bfc2574c-8110-4e43-9784-1ee86de75c6c">000000LUQO</_dlc_DocId>
    <e94be97ffb024deb9c3d6d978a059d35 xmlns="650fffc6-a86a-4844-afad-966e4497fd3d">
      <Terms xmlns="http://schemas.microsoft.com/office/infopath/2007/PartnerControls"/>
    </e94be97ffb024deb9c3d6d978a059d35>
    <TaxCatchAll xmlns="bfc2574c-8110-4e43-9784-1ee86de75c6c">
      <Value>1524</Value>
      <Value>1271</Value>
      <Value>1816</Value>
    </TaxCatchAll>
    <b946e2da1d29488e816d294143d8cab5 xmlns="bfc2574c-8110-4e43-9784-1ee86de75c6c">
      <Terms xmlns="http://schemas.microsoft.com/office/infopath/2007/PartnerControls">
        <TermInfo xmlns="http://schemas.microsoft.com/office/infopath/2007/PartnerControls">
          <TermName xmlns="http://schemas.microsoft.com/office/infopath/2007/PartnerControls">Tariff</TermName>
          <TermId xmlns="http://schemas.microsoft.com/office/infopath/2007/PartnerControls">9d7a0996-ad5f-409c-802b-558da982e99b</TermId>
        </TermInfo>
      </Terms>
    </b946e2da1d29488e816d294143d8cab5>
    <CWRMItemRecordData xmlns="650fffc6-a86a-4844-afad-966e4497fd3d" xsi:nil="true"/>
    <k64467115e4948f8a6ae90544ba894f6 xmlns="bfc2574c-8110-4e43-9784-1ee86de75c6c">
      <Terms xmlns="http://schemas.microsoft.com/office/infopath/2007/PartnerControls">
        <TermInfo xmlns="http://schemas.microsoft.com/office/infopath/2007/PartnerControls">
          <TermName xmlns="http://schemas.microsoft.com/office/infopath/2007/PartnerControls">ISO Tariff</TermName>
          <TermId xmlns="http://schemas.microsoft.com/office/infopath/2007/PartnerControls">d382ca91-b226-4555-b6b0-bf5721fda386</TermId>
        </TermInfo>
      </Terms>
    </k64467115e4948f8a6ae90544ba894f6>
    <nc9abd60d2924b6a80e31aa92886dd82 xmlns="bfc2574c-8110-4e43-9784-1ee86de75c6c">
      <Terms xmlns="http://schemas.microsoft.com/office/infopath/2007/PartnerControls"/>
    </nc9abd60d2924b6a80e31aa92886dd82>
    <Activity_x0020_Complete_x0020_Date xmlns="bfc2574c-8110-4e43-9784-1ee86de75c6c" xsi:nil="true"/>
    <_dlc_DocIdUrl xmlns="bfc2574c-8110-4e43-9784-1ee86de75c6c">
      <Url>https://share.aeso.ca/sites/records-law/LARA/_layouts/15/DocIdRedir.aspx?ID=000000LUQO</Url>
      <Description>000000LUQO</Description>
    </_dlc_DocIdUrl>
    <fdc7710463144dc19a8992998d0907da xmlns="bfc2574c-8110-4e43-9784-1ee86de75c6c">
      <Terms xmlns="http://schemas.microsoft.com/office/infopath/2007/PartnerControls">
        <TermInfo xmlns="http://schemas.microsoft.com/office/infopath/2007/PartnerControls">
          <TermName xmlns="http://schemas.microsoft.com/office/infopath/2007/PartnerControls">AESO Internal</TermName>
          <TermId xmlns="http://schemas.microsoft.com/office/infopath/2007/PartnerControls">fe2129cc-e616-4c1e-9a39-b6921e014562</TermId>
        </TermInfo>
      </Terms>
    </fdc7710463144dc19a8992998d0907da>
  </documentManagement>
</p:properties>
</file>

<file path=customXml/itemProps1.xml><?xml version="1.0" encoding="utf-8"?>
<ds:datastoreItem xmlns:ds="http://schemas.openxmlformats.org/officeDocument/2006/customXml" ds:itemID="{99C7F053-828C-438B-BA55-E72829300CEF}"/>
</file>

<file path=customXml/itemProps2.xml><?xml version="1.0" encoding="utf-8"?>
<ds:datastoreItem xmlns:ds="http://schemas.openxmlformats.org/officeDocument/2006/customXml" ds:itemID="{69B58F66-2887-469C-B6D4-7F3B676341AC}"/>
</file>

<file path=customXml/itemProps3.xml><?xml version="1.0" encoding="utf-8"?>
<ds:datastoreItem xmlns:ds="http://schemas.openxmlformats.org/officeDocument/2006/customXml" ds:itemID="{8635C80E-46EB-4288-9C3A-93379FE0A2A0}"/>
</file>

<file path=customXml/itemProps4.xml><?xml version="1.0" encoding="utf-8"?>
<ds:datastoreItem xmlns:ds="http://schemas.openxmlformats.org/officeDocument/2006/customXml" ds:itemID="{EB18D9AF-C3CA-47BA-8C70-BCAA4130D9E1}"/>
</file>

<file path=customXml/itemProps5.xml><?xml version="1.0" encoding="utf-8"?>
<ds:datastoreItem xmlns:ds="http://schemas.openxmlformats.org/officeDocument/2006/customXml" ds:itemID="{754B30AD-E1AC-47F7-AC38-15DEAD4EB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39</vt:i4>
      </vt:variant>
    </vt:vector>
  </HeadingPairs>
  <TitlesOfParts>
    <vt:vector size="60" baseType="lpstr">
      <vt:lpstr>Information Page 1</vt:lpstr>
      <vt:lpstr>Information Page 2</vt:lpstr>
      <vt:lpstr>Information Page 3</vt:lpstr>
      <vt:lpstr>Information Page 4</vt:lpstr>
      <vt:lpstr>A1 Costs and Contract</vt:lpstr>
      <vt:lpstr>A2 Contribution</vt:lpstr>
      <vt:lpstr>A3 Allocation and Fractions</vt:lpstr>
      <vt:lpstr>A4 Investment</vt:lpstr>
      <vt:lpstr>Investment Lookup</vt:lpstr>
      <vt:lpstr>Discounted Increments</vt:lpstr>
      <vt:lpstr>Nominal Increments</vt:lpstr>
      <vt:lpstr>Stage (1) Investment</vt:lpstr>
      <vt:lpstr>Stage (2) Investment</vt:lpstr>
      <vt:lpstr>Stage (3) Investment</vt:lpstr>
      <vt:lpstr>Stage (4) Investment</vt:lpstr>
      <vt:lpstr>Stage (5) Investment</vt:lpstr>
      <vt:lpstr>Stage (6) Investment</vt:lpstr>
      <vt:lpstr>Stage (7) Investment</vt:lpstr>
      <vt:lpstr>Stage (8) Investment</vt:lpstr>
      <vt:lpstr>Stage (9) Investment</vt:lpstr>
      <vt:lpstr>Stage (10) Investment</vt:lpstr>
      <vt:lpstr>AESOTariffs</vt:lpstr>
      <vt:lpstr>CommOperDate</vt:lpstr>
      <vt:lpstr>DiscountRate</vt:lpstr>
      <vt:lpstr>InvestmentColumnB</vt:lpstr>
      <vt:lpstr>InvestmentColumnC</vt:lpstr>
      <vt:lpstr>InvestmentTiers</vt:lpstr>
      <vt:lpstr>MaxInvestTerm</vt:lpstr>
      <vt:lpstr>NewOrExistingSub</vt:lpstr>
      <vt:lpstr>NewOrExpansion</vt:lpstr>
      <vt:lpstr>OtherParticipant</vt:lpstr>
      <vt:lpstr>ParticipantName</vt:lpstr>
      <vt:lpstr>PreparationDate</vt:lpstr>
      <vt:lpstr>PreparerName</vt:lpstr>
      <vt:lpstr>'A1 Costs and Contract'!Print_Area</vt:lpstr>
      <vt:lpstr>'A2 Contribution'!Print_Area</vt:lpstr>
      <vt:lpstr>'A3 Allocation and Fractions'!Print_Area</vt:lpstr>
      <vt:lpstr>'A4 Investment'!Print_Area</vt:lpstr>
      <vt:lpstr>'Discounted Increments'!Print_Area</vt:lpstr>
      <vt:lpstr>'Information Page 1'!Print_Area</vt:lpstr>
      <vt:lpstr>'Information Page 2'!Print_Area</vt:lpstr>
      <vt:lpstr>'Information Page 3'!Print_Area</vt:lpstr>
      <vt:lpstr>'Information Page 4'!Print_Area</vt:lpstr>
      <vt:lpstr>'Nominal Increments'!Print_Area</vt:lpstr>
      <vt:lpstr>'Discounted Increments'!Print_Titles</vt:lpstr>
      <vt:lpstr>'Nominal Increments'!Print_Titles</vt:lpstr>
      <vt:lpstr>'Stage (1) Investment'!Print_Titles</vt:lpstr>
      <vt:lpstr>'Stage (10) Investment'!Print_Titles</vt:lpstr>
      <vt:lpstr>'Stage (2) Investment'!Print_Titles</vt:lpstr>
      <vt:lpstr>'Stage (3) Investment'!Print_Titles</vt:lpstr>
      <vt:lpstr>'Stage (4) Investment'!Print_Titles</vt:lpstr>
      <vt:lpstr>'Stage (5) Investment'!Print_Titles</vt:lpstr>
      <vt:lpstr>'Stage (6) Investment'!Print_Titles</vt:lpstr>
      <vt:lpstr>'Stage (7) Investment'!Print_Titles</vt:lpstr>
      <vt:lpstr>'Stage (8) Investment'!Print_Titles</vt:lpstr>
      <vt:lpstr>'Stage (9) Investment'!Print_Titles</vt:lpstr>
      <vt:lpstr>ProjectName</vt:lpstr>
      <vt:lpstr>ProjectNumber</vt:lpstr>
      <vt:lpstr>ProjectType</vt:lpstr>
      <vt:lpstr>ReceivePSC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2021-01-09T00:32:36Z</dcterms:created>
  <dcterms:modified xsi:type="dcterms:W3CDTF">2021-01-09T00:32:40Z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ed ADs">
    <vt:lpwstr>1524;#ISO Tariff|d382ca91-b226-4555-b6b0-bf5721fda386</vt:lpwstr>
  </property>
  <property fmtid="{D5CDD505-2E9C-101B-9397-08002B2CF9AE}" pid="3" name="ContentTypeId">
    <vt:lpwstr>0x010100BC84ACA119491D43B8AEA0C41A758E3B0B040071BA19474634B249B800E7274CE14146</vt:lpwstr>
  </property>
  <property fmtid="{D5CDD505-2E9C-101B-9397-08002B2CF9AE}" pid="4" name="Confidentiality Classification">
    <vt:lpwstr>1271;#AESO Internal|fe2129cc-e616-4c1e-9a39-b6921e014562</vt:lpwstr>
  </property>
  <property fmtid="{D5CDD505-2E9C-101B-9397-08002B2CF9AE}" pid="5" name="ID Category">
    <vt:lpwstr>1816;#Tariff|9d7a0996-ad5f-409c-802b-558da982e99b</vt:lpwstr>
  </property>
  <property fmtid="{D5CDD505-2E9C-101B-9397-08002B2CF9AE}" pid="6" name="_dlc_DocIdItemGuid">
    <vt:lpwstr>c8292a67-9301-4b6b-b4fd-a7c5a9a8d9bc</vt:lpwstr>
  </property>
  <property fmtid="{D5CDD505-2E9C-101B-9397-08002B2CF9AE}" pid="7" name="CWRMItemRecordClassification">
    <vt:lpwstr/>
  </property>
  <property fmtid="{D5CDD505-2E9C-101B-9397-08002B2CF9AE}" pid="8" name="Business Unit(s)">
    <vt:lpwstr/>
  </property>
</Properties>
</file>