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workbookPr showInkAnnotation="0" defaultThemeVersion="124226"/>
  <workbookProtection lockStructure="1"/>
  <bookViews>
    <workbookView xWindow="-12" yWindow="4488" windowWidth="12300" windowHeight="2748"/>
  </bookViews>
  <sheets>
    <sheet name="Information Page 1" sheetId="32" r:id="rId1"/>
    <sheet name="Information Page 2" sheetId="44" r:id="rId2"/>
    <sheet name="Information Page 3" sheetId="45" r:id="rId3"/>
    <sheet name="Information Page 4" sheetId="38" r:id="rId4"/>
    <sheet name="A1 Contract" sheetId="1" r:id="rId5"/>
    <sheet name="A2 History" sheetId="39" r:id="rId6"/>
    <sheet name="A3 PILON" sheetId="42" r:id="rId7"/>
    <sheet name="A4 Demands" sheetId="40" r:id="rId8"/>
    <sheet name="Rate DTS Charges" sheetId="43" r:id="rId9"/>
  </sheets>
  <definedNames>
    <definedName name="AverageCF">'A2 History'!$J$39</definedName>
    <definedName name="AverageCoincident">'A2 History'!$I$39</definedName>
    <definedName name="AverageContract">'A2 History'!$F$39</definedName>
    <definedName name="AverageDemand">'A2 History'!$H$39</definedName>
    <definedName name="AverageEnergy">'A2 History'!$G$39</definedName>
    <definedName name="AverageLF">'A2 History'!$K$39</definedName>
    <definedName name="ContractLookup">'A1 Contract'!$A$25:$I$34</definedName>
    <definedName name="DiscountRate">'A1 Contract'!$F$19</definedName>
    <definedName name="EffectiveWithoutPILON">'A1 Contract'!$F$18</definedName>
    <definedName name="EffectiveWithPILON">'A1 Contract'!$F$17</definedName>
    <definedName name="HistoryLookup">'A2 History'!$A$15:$K$38</definedName>
    <definedName name="MaxInvestTerm">'A1 Contract'!$F$28</definedName>
    <definedName name="NoticeStartDate">'A1 Contract'!$F$15</definedName>
    <definedName name="OtherParticipant">'A1 Contract'!$F$10</definedName>
    <definedName name="OverrideCF">'A2 History'!$J$40</definedName>
    <definedName name="OverrideLF">'A2 History'!$K$40</definedName>
    <definedName name="ParticipantName">'A1 Contract'!$C$3</definedName>
    <definedName name="PILONDate">'A1 Contract'!$F$16</definedName>
    <definedName name="PreparationDate">'A1 Contract'!$F$6</definedName>
    <definedName name="PreparerName">'A1 Contract'!$C$6</definedName>
    <definedName name="_xlnm.Print_Area" localSheetId="4">'A1 Contract'!$A$1:$I$55</definedName>
    <definedName name="_xlnm.Print_Area" localSheetId="5">'A2 History'!$A$1:$K$41</definedName>
    <definedName name="_xlnm.Print_Area" localSheetId="6">'A3 PILON'!$A$1:$J$96</definedName>
    <definedName name="_xlnm.Print_Area" localSheetId="7">'A4 Demands'!$A$1:$K$97</definedName>
    <definedName name="_xlnm.Print_Area" localSheetId="0">'Information Page 1'!$A$1:$G$61</definedName>
    <definedName name="_xlnm.Print_Area" localSheetId="1">'Information Page 2'!$A$1:$G$60</definedName>
    <definedName name="_xlnm.Print_Area" localSheetId="2">'Information Page 3'!$A$1:$G$60</definedName>
    <definedName name="_xlnm.Print_Area" localSheetId="3">'Information Page 4'!$A$1:$G$58</definedName>
    <definedName name="_xlnm.Print_Titles" localSheetId="6">'A3 PILON'!$31:$34</definedName>
    <definedName name="_xlnm.Print_Titles" localSheetId="7">'A4 Demands'!$10:$12</definedName>
    <definedName name="_xlnm.Print_Titles" localSheetId="8">'Rate DTS Charges'!$45:$49</definedName>
    <definedName name="ProjectName">'A1 Contract'!$C$4</definedName>
    <definedName name="ProjectNumber">'A1 Contract'!$C$5</definedName>
    <definedName name="ProjectType">'A1 Contract'!$F$5</definedName>
    <definedName name="ReceivePSC">'A1 Contract'!$F$9</definedName>
    <definedName name="ReducedOrTerminated">'A1 Contract'!$F$13</definedName>
    <definedName name="RequestDate">'A1 Contract'!$F$14</definedName>
  </definedNames>
  <calcPr calcId="145621"/>
</workbook>
</file>

<file path=xl/calcChain.xml><?xml version="1.0" encoding="utf-8"?>
<calcChain xmlns="http://schemas.openxmlformats.org/spreadsheetml/2006/main">
  <c r="F31" i="43" l="1"/>
  <c r="J18" i="1" l="1"/>
  <c r="J17" i="1"/>
  <c r="J25" i="1"/>
  <c r="B18" i="1" l="1"/>
  <c r="B17" i="1"/>
  <c r="F43" i="43" l="1"/>
  <c r="F23" i="42"/>
  <c r="F22" i="42"/>
  <c r="F20" i="42"/>
  <c r="F19" i="42"/>
  <c r="F16" i="1" l="1"/>
  <c r="B117" i="43" l="1"/>
  <c r="B50" i="43"/>
  <c r="B38" i="39"/>
  <c r="K38" i="39" s="1"/>
  <c r="B37" i="39"/>
  <c r="K37" i="39" s="1"/>
  <c r="B36" i="39"/>
  <c r="K36" i="39" s="1"/>
  <c r="B35" i="39"/>
  <c r="K35" i="39" s="1"/>
  <c r="B34" i="39"/>
  <c r="B33" i="39"/>
  <c r="K33" i="39" s="1"/>
  <c r="B32" i="39"/>
  <c r="K32" i="39" s="1"/>
  <c r="B31" i="39"/>
  <c r="K31" i="39" s="1"/>
  <c r="B30" i="39"/>
  <c r="B29" i="39"/>
  <c r="K29" i="39" s="1"/>
  <c r="B28" i="39"/>
  <c r="K28" i="39" s="1"/>
  <c r="B27" i="39"/>
  <c r="K27" i="39" s="1"/>
  <c r="B26" i="39"/>
  <c r="B25" i="39"/>
  <c r="K25" i="39" s="1"/>
  <c r="B24" i="39"/>
  <c r="K24" i="39" s="1"/>
  <c r="B23" i="39"/>
  <c r="K23" i="39" s="1"/>
  <c r="B22" i="39"/>
  <c r="B21" i="39"/>
  <c r="K21" i="39" s="1"/>
  <c r="B20" i="39"/>
  <c r="K20" i="39" s="1"/>
  <c r="B19" i="39"/>
  <c r="K19" i="39" s="1"/>
  <c r="B18" i="39"/>
  <c r="B17" i="39"/>
  <c r="K17" i="39" s="1"/>
  <c r="B16" i="39"/>
  <c r="K16" i="39" s="1"/>
  <c r="B15" i="39"/>
  <c r="K15" i="39" s="1"/>
  <c r="A38" i="39"/>
  <c r="A37" i="39"/>
  <c r="A36" i="39"/>
  <c r="A35" i="39"/>
  <c r="A34" i="39"/>
  <c r="A33" i="39"/>
  <c r="A32" i="39"/>
  <c r="A31" i="39"/>
  <c r="A30" i="39"/>
  <c r="A29" i="39"/>
  <c r="A28" i="39"/>
  <c r="A27" i="39"/>
  <c r="A26" i="39"/>
  <c r="A25" i="39"/>
  <c r="A24" i="39"/>
  <c r="A23" i="39"/>
  <c r="A22" i="39"/>
  <c r="A21" i="39"/>
  <c r="A20" i="39"/>
  <c r="A19" i="39"/>
  <c r="A18" i="39"/>
  <c r="A17" i="39"/>
  <c r="A16" i="39"/>
  <c r="A15" i="39"/>
  <c r="I6" i="43"/>
  <c r="F6" i="43"/>
  <c r="C6" i="43"/>
  <c r="I5" i="43"/>
  <c r="F5" i="43"/>
  <c r="C5" i="43"/>
  <c r="I4" i="43"/>
  <c r="C4" i="43"/>
  <c r="I3" i="43"/>
  <c r="C3" i="43"/>
  <c r="G28" i="42"/>
  <c r="J38" i="39"/>
  <c r="J37" i="39"/>
  <c r="J36" i="39"/>
  <c r="J35" i="39"/>
  <c r="K34" i="39"/>
  <c r="J34" i="39"/>
  <c r="J33" i="39"/>
  <c r="J32" i="39"/>
  <c r="J31" i="39"/>
  <c r="K30" i="39"/>
  <c r="J30" i="39"/>
  <c r="J29" i="39"/>
  <c r="J28" i="39"/>
  <c r="J27" i="39"/>
  <c r="K26" i="39"/>
  <c r="J26" i="39"/>
  <c r="J25" i="39"/>
  <c r="J24" i="39"/>
  <c r="J23" i="39"/>
  <c r="K22" i="39"/>
  <c r="J22" i="39"/>
  <c r="J21" i="39"/>
  <c r="J20" i="39"/>
  <c r="J19" i="39"/>
  <c r="K18" i="39"/>
  <c r="J18" i="39"/>
  <c r="J17" i="39"/>
  <c r="J16" i="39"/>
  <c r="J15" i="39"/>
  <c r="K39" i="39" l="1"/>
  <c r="J39" i="39"/>
  <c r="I39" i="39"/>
  <c r="G39" i="39"/>
  <c r="H39" i="39"/>
  <c r="F39" i="39"/>
  <c r="G27" i="42" l="1"/>
  <c r="F42" i="43"/>
  <c r="G26" i="42"/>
  <c r="F41" i="43"/>
  <c r="J6" i="42"/>
  <c r="G6" i="42"/>
  <c r="C6" i="42"/>
  <c r="J5" i="42"/>
  <c r="G5" i="42"/>
  <c r="C5" i="42"/>
  <c r="J4" i="42"/>
  <c r="C4" i="42"/>
  <c r="J3" i="42"/>
  <c r="C3" i="42"/>
  <c r="C6" i="40"/>
  <c r="C5" i="40"/>
  <c r="C4" i="40"/>
  <c r="C3" i="40"/>
  <c r="F15" i="1" l="1"/>
  <c r="B13" i="40" l="1"/>
  <c r="F18" i="1"/>
  <c r="B25" i="1"/>
  <c r="J6" i="40"/>
  <c r="F6" i="40"/>
  <c r="J5" i="40"/>
  <c r="F5" i="40"/>
  <c r="J4" i="40"/>
  <c r="J3" i="40"/>
  <c r="D53" i="1"/>
  <c r="E49" i="1"/>
  <c r="F44" i="1"/>
  <c r="E44" i="1"/>
  <c r="D44" i="1"/>
  <c r="H53" i="1"/>
  <c r="I44" i="1"/>
  <c r="H44" i="1"/>
  <c r="G44" i="1"/>
  <c r="B53" i="1"/>
  <c r="F53" i="1" s="1"/>
  <c r="B52" i="1"/>
  <c r="D52" i="1" s="1"/>
  <c r="B51" i="1"/>
  <c r="H51" i="1" s="1"/>
  <c r="B50" i="1"/>
  <c r="E50" i="1" s="1"/>
  <c r="B49" i="1"/>
  <c r="F49" i="1" s="1"/>
  <c r="B48" i="1"/>
  <c r="D48" i="1" s="1"/>
  <c r="B47" i="1"/>
  <c r="F47" i="1" s="1"/>
  <c r="B46" i="1"/>
  <c r="G46" i="1" s="1"/>
  <c r="A44" i="1"/>
  <c r="B45" i="1"/>
  <c r="F45" i="1" s="1"/>
  <c r="H43" i="1"/>
  <c r="G43" i="1"/>
  <c r="E43" i="1"/>
  <c r="D43" i="1"/>
  <c r="J13" i="40" l="1"/>
  <c r="G13" i="40"/>
  <c r="A9" i="42"/>
  <c r="A9" i="43"/>
  <c r="I13" i="40"/>
  <c r="H48" i="1"/>
  <c r="F48" i="1"/>
  <c r="H49" i="1"/>
  <c r="D49" i="1"/>
  <c r="E53" i="1"/>
  <c r="G52" i="1"/>
  <c r="G48" i="1"/>
  <c r="H52" i="1"/>
  <c r="F52" i="1"/>
  <c r="I49" i="1"/>
  <c r="I53" i="1"/>
  <c r="E47" i="1"/>
  <c r="E51" i="1"/>
  <c r="H45" i="1"/>
  <c r="I45" i="1"/>
  <c r="D45" i="1"/>
  <c r="I50" i="1"/>
  <c r="G47" i="1"/>
  <c r="H47" i="1"/>
  <c r="G50" i="1"/>
  <c r="E45" i="1"/>
  <c r="F46" i="1"/>
  <c r="F50" i="1"/>
  <c r="G45" i="1"/>
  <c r="H46" i="1"/>
  <c r="I47" i="1"/>
  <c r="G49" i="1"/>
  <c r="H50" i="1"/>
  <c r="I51" i="1"/>
  <c r="G53" i="1"/>
  <c r="D47" i="1"/>
  <c r="E48" i="1"/>
  <c r="D51" i="1"/>
  <c r="E52" i="1"/>
  <c r="I46" i="1"/>
  <c r="D46" i="1"/>
  <c r="D50" i="1"/>
  <c r="F51" i="1"/>
  <c r="G51" i="1"/>
  <c r="E46" i="1"/>
  <c r="I48" i="1"/>
  <c r="I52" i="1"/>
  <c r="C6" i="39"/>
  <c r="C5" i="39"/>
  <c r="C4" i="39"/>
  <c r="C3" i="39"/>
  <c r="K6" i="39"/>
  <c r="K5" i="39"/>
  <c r="K4" i="39"/>
  <c r="K3" i="39"/>
  <c r="G6" i="39"/>
  <c r="G5" i="39"/>
  <c r="C25" i="1" l="1"/>
  <c r="C44" i="1" s="1"/>
  <c r="B44" i="1"/>
  <c r="H24" i="1"/>
  <c r="G24" i="1"/>
  <c r="A13" i="40" l="1"/>
  <c r="H13" i="40" s="1"/>
  <c r="B14" i="40"/>
  <c r="J14" i="40" l="1"/>
  <c r="G14" i="40"/>
  <c r="I14" i="40"/>
  <c r="E13" i="40"/>
  <c r="F13" i="40"/>
  <c r="D13" i="40"/>
  <c r="C13" i="40"/>
  <c r="K13" i="40"/>
  <c r="A14" i="40"/>
  <c r="C14" i="40" s="1"/>
  <c r="B15" i="40"/>
  <c r="J27" i="1"/>
  <c r="J26" i="1"/>
  <c r="A26" i="1"/>
  <c r="A33" i="1"/>
  <c r="A34" i="1"/>
  <c r="J9" i="1"/>
  <c r="E24" i="1"/>
  <c r="D24" i="1"/>
  <c r="G15" i="40" l="1"/>
  <c r="J15" i="40"/>
  <c r="H14" i="40"/>
  <c r="K14" i="40"/>
  <c r="E14" i="40"/>
  <c r="F14" i="40"/>
  <c r="D14" i="40"/>
  <c r="I15" i="40"/>
  <c r="B16" i="40"/>
  <c r="A15" i="40"/>
  <c r="C15" i="40" s="1"/>
  <c r="A53" i="1"/>
  <c r="A27" i="1"/>
  <c r="A45" i="1"/>
  <c r="A52" i="1"/>
  <c r="A29" i="1"/>
  <c r="J16" i="40" l="1"/>
  <c r="G16" i="40"/>
  <c r="H15" i="40"/>
  <c r="I16" i="40"/>
  <c r="K15" i="40"/>
  <c r="E15" i="40"/>
  <c r="F15" i="40"/>
  <c r="D15" i="40"/>
  <c r="B17" i="40"/>
  <c r="A16" i="40"/>
  <c r="H16" i="40" s="1"/>
  <c r="A28" i="1"/>
  <c r="A46" i="1"/>
  <c r="A48" i="1"/>
  <c r="A30" i="1"/>
  <c r="A49" i="1" s="1"/>
  <c r="J17" i="40" l="1"/>
  <c r="G17" i="40"/>
  <c r="K16" i="40"/>
  <c r="E16" i="40"/>
  <c r="F16" i="40"/>
  <c r="D16" i="40"/>
  <c r="C16" i="40"/>
  <c r="I17" i="40"/>
  <c r="B18" i="40"/>
  <c r="A17" i="40"/>
  <c r="H17" i="40" s="1"/>
  <c r="A47" i="1"/>
  <c r="A31" i="1"/>
  <c r="A50" i="1" s="1"/>
  <c r="C17" i="40" l="1"/>
  <c r="J18" i="40"/>
  <c r="G18" i="40"/>
  <c r="K17" i="40"/>
  <c r="E17" i="40"/>
  <c r="F17" i="40"/>
  <c r="D17" i="40"/>
  <c r="I18" i="40"/>
  <c r="B19" i="40"/>
  <c r="A18" i="40"/>
  <c r="C18" i="40" s="1"/>
  <c r="A32" i="1"/>
  <c r="A51" i="1" s="1"/>
  <c r="J19" i="40" l="1"/>
  <c r="G19" i="40"/>
  <c r="H18" i="40"/>
  <c r="I19" i="40"/>
  <c r="K18" i="40"/>
  <c r="E18" i="40"/>
  <c r="F18" i="40"/>
  <c r="D18" i="40"/>
  <c r="B20" i="40"/>
  <c r="A19" i="40"/>
  <c r="C19" i="40" s="1"/>
  <c r="H19" i="40" l="1"/>
  <c r="J20" i="40"/>
  <c r="G20" i="40"/>
  <c r="I20" i="40"/>
  <c r="K19" i="40"/>
  <c r="E19" i="40"/>
  <c r="F19" i="40"/>
  <c r="D19" i="40"/>
  <c r="B21" i="40"/>
  <c r="A20" i="40"/>
  <c r="H20" i="40" s="1"/>
  <c r="J21" i="40" l="1"/>
  <c r="G21" i="40"/>
  <c r="K20" i="40"/>
  <c r="E20" i="40"/>
  <c r="F20" i="40"/>
  <c r="D20" i="40"/>
  <c r="C20" i="40"/>
  <c r="I21" i="40"/>
  <c r="B22" i="40"/>
  <c r="A21" i="40"/>
  <c r="C21" i="40" s="1"/>
  <c r="J22" i="40" l="1"/>
  <c r="G22" i="40"/>
  <c r="H21" i="40"/>
  <c r="K21" i="40"/>
  <c r="E21" i="40"/>
  <c r="F21" i="40"/>
  <c r="D21" i="40"/>
  <c r="I22" i="40"/>
  <c r="B23" i="40"/>
  <c r="A22" i="40"/>
  <c r="C22" i="40" s="1"/>
  <c r="H22" i="40" l="1"/>
  <c r="J23" i="40"/>
  <c r="G23" i="40"/>
  <c r="K22" i="40"/>
  <c r="E22" i="40"/>
  <c r="F22" i="40"/>
  <c r="D22" i="40"/>
  <c r="I23" i="40"/>
  <c r="B24" i="40"/>
  <c r="A23" i="40"/>
  <c r="C23" i="40" s="1"/>
  <c r="H23" i="40" l="1"/>
  <c r="J24" i="40"/>
  <c r="G24" i="40"/>
  <c r="K23" i="40"/>
  <c r="E23" i="40"/>
  <c r="F23" i="40"/>
  <c r="D23" i="40"/>
  <c r="I24" i="40"/>
  <c r="B25" i="40"/>
  <c r="A24" i="40"/>
  <c r="C24" i="40" s="1"/>
  <c r="J25" i="40" l="1"/>
  <c r="G25" i="40"/>
  <c r="H24" i="40"/>
  <c r="K24" i="40"/>
  <c r="E24" i="40"/>
  <c r="D24" i="40"/>
  <c r="F24" i="40"/>
  <c r="I25" i="40"/>
  <c r="B26" i="40"/>
  <c r="A25" i="40"/>
  <c r="C25" i="40" s="1"/>
  <c r="J26" i="40" l="1"/>
  <c r="G26" i="40"/>
  <c r="H25" i="40"/>
  <c r="K25" i="40"/>
  <c r="E25" i="40"/>
  <c r="F25" i="40"/>
  <c r="D25" i="40"/>
  <c r="I26" i="40"/>
  <c r="B27" i="40"/>
  <c r="A26" i="40"/>
  <c r="H26" i="40" s="1"/>
  <c r="C26" i="40" l="1"/>
  <c r="J27" i="40"/>
  <c r="G27" i="40"/>
  <c r="K26" i="40"/>
  <c r="E26" i="40"/>
  <c r="F26" i="40"/>
  <c r="D26" i="40"/>
  <c r="I27" i="40"/>
  <c r="B28" i="40"/>
  <c r="A27" i="40"/>
  <c r="C27" i="40" s="1"/>
  <c r="J28" i="40" l="1"/>
  <c r="G28" i="40"/>
  <c r="H27" i="40"/>
  <c r="K27" i="40"/>
  <c r="E27" i="40"/>
  <c r="F27" i="40"/>
  <c r="D27" i="40"/>
  <c r="I28" i="40"/>
  <c r="B29" i="40"/>
  <c r="A28" i="40"/>
  <c r="H28" i="40" s="1"/>
  <c r="C28" i="40" l="1"/>
  <c r="J29" i="40"/>
  <c r="G29" i="40"/>
  <c r="K28" i="40"/>
  <c r="E28" i="40"/>
  <c r="F28" i="40"/>
  <c r="D28" i="40"/>
  <c r="I29" i="40"/>
  <c r="B30" i="40"/>
  <c r="A29" i="40"/>
  <c r="C29" i="40" s="1"/>
  <c r="J30" i="40" l="1"/>
  <c r="G30" i="40"/>
  <c r="H29" i="40"/>
  <c r="K29" i="40"/>
  <c r="E29" i="40"/>
  <c r="F29" i="40"/>
  <c r="D29" i="40"/>
  <c r="I30" i="40"/>
  <c r="B31" i="40"/>
  <c r="A30" i="40"/>
  <c r="H30" i="40" s="1"/>
  <c r="C30" i="40" l="1"/>
  <c r="G31" i="40"/>
  <c r="J31" i="40"/>
  <c r="K30" i="40"/>
  <c r="E30" i="40"/>
  <c r="F30" i="40"/>
  <c r="D30" i="40"/>
  <c r="I31" i="40"/>
  <c r="B32" i="40"/>
  <c r="A31" i="40"/>
  <c r="C31" i="40" s="1"/>
  <c r="J32" i="40" l="1"/>
  <c r="G32" i="40"/>
  <c r="H31" i="40"/>
  <c r="K31" i="40"/>
  <c r="E31" i="40"/>
  <c r="F31" i="40"/>
  <c r="D31" i="40"/>
  <c r="I32" i="40"/>
  <c r="B33" i="40"/>
  <c r="A32" i="40"/>
  <c r="C32" i="40" s="1"/>
  <c r="H32" i="40" l="1"/>
  <c r="K32" i="40"/>
  <c r="E32" i="40"/>
  <c r="F32" i="40"/>
  <c r="D32" i="40"/>
  <c r="I33" i="40"/>
  <c r="B34" i="40"/>
  <c r="A33" i="40"/>
  <c r="C33" i="40" s="1"/>
  <c r="H33" i="40" l="1"/>
  <c r="J33" i="40" s="1"/>
  <c r="K33" i="40"/>
  <c r="E33" i="40"/>
  <c r="F33" i="40"/>
  <c r="D33" i="40"/>
  <c r="G33" i="40" s="1"/>
  <c r="I34" i="40"/>
  <c r="B35" i="40"/>
  <c r="A34" i="40"/>
  <c r="C34" i="40" s="1"/>
  <c r="H34" i="40" l="1"/>
  <c r="J34" i="40" s="1"/>
  <c r="K34" i="40"/>
  <c r="E34" i="40"/>
  <c r="F34" i="40"/>
  <c r="D34" i="40"/>
  <c r="G34" i="40" s="1"/>
  <c r="I35" i="40"/>
  <c r="B36" i="40"/>
  <c r="A35" i="40"/>
  <c r="C35" i="40" s="1"/>
  <c r="H35" i="40" l="1"/>
  <c r="J35" i="40" s="1"/>
  <c r="K35" i="40"/>
  <c r="E35" i="40"/>
  <c r="F35" i="40"/>
  <c r="D35" i="40"/>
  <c r="G35" i="40" s="1"/>
  <c r="I36" i="40"/>
  <c r="B37" i="40"/>
  <c r="A36" i="40"/>
  <c r="C36" i="40" s="1"/>
  <c r="H36" i="40" l="1"/>
  <c r="J36" i="40" s="1"/>
  <c r="K36" i="40"/>
  <c r="E36" i="40"/>
  <c r="F36" i="40"/>
  <c r="D36" i="40"/>
  <c r="B51" i="43"/>
  <c r="A36" i="42"/>
  <c r="B38" i="40"/>
  <c r="A37" i="40"/>
  <c r="H37" i="40" s="1"/>
  <c r="G36" i="40" l="1"/>
  <c r="O51" i="43"/>
  <c r="O118" i="43"/>
  <c r="E37" i="40"/>
  <c r="A51" i="43"/>
  <c r="B52" i="43"/>
  <c r="C37" i="40"/>
  <c r="B36" i="42" s="1"/>
  <c r="D36" i="42" s="1"/>
  <c r="B118" i="43"/>
  <c r="A37" i="42"/>
  <c r="B39" i="40"/>
  <c r="A38" i="40"/>
  <c r="C38" i="40" s="1"/>
  <c r="H36" i="42" l="1"/>
  <c r="O119" i="43"/>
  <c r="O52" i="43"/>
  <c r="H38" i="40"/>
  <c r="D37" i="40"/>
  <c r="B53" i="43"/>
  <c r="C52" i="43"/>
  <c r="N52" i="43" s="1"/>
  <c r="C119" i="43"/>
  <c r="N119" i="43" s="1"/>
  <c r="A118" i="43"/>
  <c r="G118" i="43" s="1"/>
  <c r="G51" i="43"/>
  <c r="C51" i="43"/>
  <c r="N51" i="43" s="1"/>
  <c r="C118" i="43"/>
  <c r="N118" i="43" s="1"/>
  <c r="I37" i="40"/>
  <c r="J37" i="40" s="1"/>
  <c r="B119" i="43"/>
  <c r="E38" i="40"/>
  <c r="I38" i="40" s="1"/>
  <c r="A52" i="43"/>
  <c r="D38" i="40"/>
  <c r="A38" i="42"/>
  <c r="B37" i="42"/>
  <c r="H37" i="42" s="1"/>
  <c r="B40" i="40"/>
  <c r="A39" i="40"/>
  <c r="H39" i="40" s="1"/>
  <c r="J38" i="40" l="1"/>
  <c r="G38" i="40" s="1"/>
  <c r="D37" i="42"/>
  <c r="F37" i="40"/>
  <c r="D51" i="43" s="1"/>
  <c r="G37" i="40"/>
  <c r="K37" i="40" s="1"/>
  <c r="O120" i="43"/>
  <c r="O53" i="43"/>
  <c r="E39" i="40"/>
  <c r="A53" i="43"/>
  <c r="A119" i="43"/>
  <c r="G119" i="43" s="1"/>
  <c r="G52" i="43"/>
  <c r="B54" i="43"/>
  <c r="E118" i="43"/>
  <c r="L118" i="43" s="1"/>
  <c r="F118" i="43"/>
  <c r="E119" i="43"/>
  <c r="L119" i="43" s="1"/>
  <c r="F119" i="43"/>
  <c r="F38" i="40"/>
  <c r="F51" i="43"/>
  <c r="E51" i="43"/>
  <c r="L51" i="43" s="1"/>
  <c r="E52" i="43"/>
  <c r="L52" i="43" s="1"/>
  <c r="F52" i="43"/>
  <c r="C39" i="40"/>
  <c r="D39" i="40" s="1"/>
  <c r="B120" i="43"/>
  <c r="A39" i="42"/>
  <c r="B41" i="40"/>
  <c r="A40" i="40"/>
  <c r="H40" i="40" s="1"/>
  <c r="K118" i="43" l="1"/>
  <c r="M118" i="43"/>
  <c r="I51" i="43"/>
  <c r="J51" i="43"/>
  <c r="M51" i="43"/>
  <c r="K51" i="43"/>
  <c r="H51" i="43"/>
  <c r="H118" i="43"/>
  <c r="H52" i="43"/>
  <c r="C36" i="42"/>
  <c r="E36" i="42" s="1"/>
  <c r="F36" i="42" s="1"/>
  <c r="H119" i="43"/>
  <c r="O121" i="43"/>
  <c r="O54" i="43"/>
  <c r="M52" i="43"/>
  <c r="K52" i="43"/>
  <c r="M119" i="43"/>
  <c r="K119" i="43"/>
  <c r="G36" i="42"/>
  <c r="I36" i="42" s="1"/>
  <c r="J36" i="42" s="1"/>
  <c r="D118" i="43"/>
  <c r="K38" i="40"/>
  <c r="B38" i="42"/>
  <c r="B55" i="43"/>
  <c r="B121" i="43"/>
  <c r="C53" i="43"/>
  <c r="N53" i="43" s="1"/>
  <c r="C120" i="43"/>
  <c r="N120" i="43" s="1"/>
  <c r="I39" i="40"/>
  <c r="J39" i="40" s="1"/>
  <c r="G39" i="40" s="1"/>
  <c r="A120" i="43"/>
  <c r="G120" i="43" s="1"/>
  <c r="G53" i="43"/>
  <c r="D52" i="43"/>
  <c r="J52" i="43" s="1"/>
  <c r="C37" i="42"/>
  <c r="E37" i="42" s="1"/>
  <c r="F37" i="42" s="1"/>
  <c r="E40" i="40"/>
  <c r="A54" i="43"/>
  <c r="C40" i="40"/>
  <c r="D40" i="40" s="1"/>
  <c r="F39" i="40"/>
  <c r="A40" i="42"/>
  <c r="B42" i="40"/>
  <c r="A41" i="40"/>
  <c r="C41" i="40" s="1"/>
  <c r="P51" i="43" l="1"/>
  <c r="I118" i="43"/>
  <c r="J118" i="43"/>
  <c r="P118" i="43"/>
  <c r="O122" i="43"/>
  <c r="O55" i="43"/>
  <c r="D38" i="42"/>
  <c r="H38" i="42"/>
  <c r="H41" i="40"/>
  <c r="I52" i="43"/>
  <c r="P52" i="43" s="1"/>
  <c r="G37" i="42"/>
  <c r="I37" i="42" s="1"/>
  <c r="J37" i="42" s="1"/>
  <c r="D119" i="43"/>
  <c r="K39" i="40"/>
  <c r="B39" i="42"/>
  <c r="C122" i="43"/>
  <c r="N122" i="43" s="1"/>
  <c r="C55" i="43"/>
  <c r="N55" i="43" s="1"/>
  <c r="F40" i="40"/>
  <c r="B56" i="43"/>
  <c r="C38" i="42"/>
  <c r="E38" i="42" s="1"/>
  <c r="F38" i="42" s="1"/>
  <c r="D53" i="43"/>
  <c r="J53" i="43" s="1"/>
  <c r="F53" i="43"/>
  <c r="E53" i="43"/>
  <c r="L53" i="43" s="1"/>
  <c r="C121" i="43"/>
  <c r="N121" i="43" s="1"/>
  <c r="C54" i="43"/>
  <c r="N54" i="43" s="1"/>
  <c r="I40" i="40"/>
  <c r="J40" i="40" s="1"/>
  <c r="G40" i="40" s="1"/>
  <c r="B122" i="43"/>
  <c r="E41" i="40"/>
  <c r="I41" i="40" s="1"/>
  <c r="A55" i="43"/>
  <c r="D41" i="40"/>
  <c r="A121" i="43"/>
  <c r="G121" i="43" s="1"/>
  <c r="G54" i="43"/>
  <c r="F120" i="43"/>
  <c r="E120" i="43"/>
  <c r="L120" i="43" s="1"/>
  <c r="B40" i="42"/>
  <c r="D40" i="42" s="1"/>
  <c r="A41" i="42"/>
  <c r="B43" i="40"/>
  <c r="A42" i="40"/>
  <c r="H42" i="40" s="1"/>
  <c r="H40" i="42" l="1"/>
  <c r="H53" i="43"/>
  <c r="H120" i="43"/>
  <c r="J41" i="40"/>
  <c r="G41" i="40" s="1"/>
  <c r="M53" i="43"/>
  <c r="K53" i="43"/>
  <c r="O123" i="43"/>
  <c r="O56" i="43"/>
  <c r="D39" i="42"/>
  <c r="H39" i="42"/>
  <c r="I53" i="43"/>
  <c r="M120" i="43"/>
  <c r="K120" i="43"/>
  <c r="J119" i="43"/>
  <c r="I119" i="43"/>
  <c r="G38" i="42"/>
  <c r="I38" i="42" s="1"/>
  <c r="J38" i="42" s="1"/>
  <c r="D120" i="43"/>
  <c r="K40" i="40"/>
  <c r="B57" i="43"/>
  <c r="E54" i="43"/>
  <c r="L54" i="43" s="1"/>
  <c r="F54" i="43"/>
  <c r="D54" i="43"/>
  <c r="J54" i="43" s="1"/>
  <c r="C39" i="42"/>
  <c r="E39" i="42" s="1"/>
  <c r="E42" i="40"/>
  <c r="A56" i="43"/>
  <c r="E121" i="43"/>
  <c r="L121" i="43" s="1"/>
  <c r="F121" i="43"/>
  <c r="C42" i="40"/>
  <c r="B41" i="42" s="1"/>
  <c r="H41" i="42" s="1"/>
  <c r="F41" i="40"/>
  <c r="B123" i="43"/>
  <c r="E55" i="43"/>
  <c r="L55" i="43" s="1"/>
  <c r="F55" i="43"/>
  <c r="A122" i="43"/>
  <c r="G122" i="43" s="1"/>
  <c r="G55" i="43"/>
  <c r="E122" i="43"/>
  <c r="L122" i="43" s="1"/>
  <c r="F122" i="43"/>
  <c r="A42" i="42"/>
  <c r="B44" i="40"/>
  <c r="A43" i="40"/>
  <c r="H43" i="40" s="1"/>
  <c r="H121" i="43" l="1"/>
  <c r="P119" i="43"/>
  <c r="H122" i="43"/>
  <c r="H55" i="43"/>
  <c r="F39" i="42"/>
  <c r="P53" i="43"/>
  <c r="D41" i="42"/>
  <c r="K122" i="43"/>
  <c r="M122" i="43"/>
  <c r="M55" i="43"/>
  <c r="K55" i="43"/>
  <c r="O124" i="43"/>
  <c r="O57" i="43"/>
  <c r="M121" i="43"/>
  <c r="K121" i="43"/>
  <c r="I54" i="43"/>
  <c r="H54" i="43"/>
  <c r="K54" i="43"/>
  <c r="M54" i="43"/>
  <c r="I120" i="43"/>
  <c r="J120" i="43"/>
  <c r="D42" i="40"/>
  <c r="F42" i="40" s="1"/>
  <c r="G39" i="42"/>
  <c r="I39" i="42" s="1"/>
  <c r="J39" i="42" s="1"/>
  <c r="D121" i="43"/>
  <c r="K41" i="40"/>
  <c r="G40" i="42" s="1"/>
  <c r="I40" i="42" s="1"/>
  <c r="J40" i="42" s="1"/>
  <c r="C40" i="42"/>
  <c r="E40" i="42" s="1"/>
  <c r="F40" i="42" s="1"/>
  <c r="D55" i="43"/>
  <c r="J55" i="43" s="1"/>
  <c r="E43" i="40"/>
  <c r="A57" i="43"/>
  <c r="B58" i="43"/>
  <c r="A123" i="43"/>
  <c r="G123" i="43" s="1"/>
  <c r="G56" i="43"/>
  <c r="C43" i="40"/>
  <c r="D43" i="40" s="1"/>
  <c r="C56" i="43"/>
  <c r="N56" i="43" s="1"/>
  <c r="C123" i="43"/>
  <c r="N123" i="43" s="1"/>
  <c r="I42" i="40"/>
  <c r="J42" i="40" s="1"/>
  <c r="B124" i="43"/>
  <c r="A43" i="42"/>
  <c r="B45" i="40"/>
  <c r="A44" i="40"/>
  <c r="C44" i="40" s="1"/>
  <c r="O125" i="43" l="1"/>
  <c r="O58" i="43"/>
  <c r="G42" i="40"/>
  <c r="K42" i="40" s="1"/>
  <c r="P54" i="43"/>
  <c r="H44" i="40"/>
  <c r="I55" i="43"/>
  <c r="J121" i="43"/>
  <c r="I121" i="43"/>
  <c r="P120" i="43"/>
  <c r="D122" i="43"/>
  <c r="C125" i="43"/>
  <c r="N125" i="43" s="1"/>
  <c r="C58" i="43"/>
  <c r="N58" i="43" s="1"/>
  <c r="F43" i="40"/>
  <c r="B59" i="43"/>
  <c r="C41" i="42"/>
  <c r="E41" i="42" s="1"/>
  <c r="F41" i="42" s="1"/>
  <c r="D56" i="43"/>
  <c r="J56" i="43" s="1"/>
  <c r="E56" i="43"/>
  <c r="L56" i="43" s="1"/>
  <c r="F56" i="43"/>
  <c r="C57" i="43"/>
  <c r="N57" i="43" s="1"/>
  <c r="C124" i="43"/>
  <c r="N124" i="43" s="1"/>
  <c r="I43" i="40"/>
  <c r="J43" i="40" s="1"/>
  <c r="G43" i="40" s="1"/>
  <c r="E44" i="40"/>
  <c r="I44" i="40" s="1"/>
  <c r="A58" i="43"/>
  <c r="D44" i="40"/>
  <c r="B42" i="42"/>
  <c r="E123" i="43"/>
  <c r="L123" i="43" s="1"/>
  <c r="F123" i="43"/>
  <c r="B125" i="43"/>
  <c r="A124" i="43"/>
  <c r="G124" i="43" s="1"/>
  <c r="G57" i="43"/>
  <c r="B43" i="42"/>
  <c r="H43" i="42" s="1"/>
  <c r="A44" i="42"/>
  <c r="B46" i="40"/>
  <c r="A45" i="40"/>
  <c r="C45" i="40" s="1"/>
  <c r="P121" i="43" l="1"/>
  <c r="H123" i="43"/>
  <c r="J44" i="40"/>
  <c r="G44" i="40" s="1"/>
  <c r="H56" i="43"/>
  <c r="I56" i="43"/>
  <c r="M123" i="43"/>
  <c r="K123" i="43"/>
  <c r="O126" i="43"/>
  <c r="O59" i="43"/>
  <c r="D43" i="42"/>
  <c r="H42" i="42"/>
  <c r="D42" i="42"/>
  <c r="K56" i="43"/>
  <c r="M56" i="43"/>
  <c r="P55" i="43"/>
  <c r="H45" i="40"/>
  <c r="J122" i="43"/>
  <c r="I122" i="43"/>
  <c r="C126" i="43"/>
  <c r="N126" i="43" s="1"/>
  <c r="C59" i="43"/>
  <c r="N59" i="43" s="1"/>
  <c r="I45" i="40"/>
  <c r="A125" i="43"/>
  <c r="G125" i="43" s="1"/>
  <c r="G58" i="43"/>
  <c r="F124" i="43"/>
  <c r="E124" i="43"/>
  <c r="L124" i="43" s="1"/>
  <c r="B60" i="43"/>
  <c r="K43" i="40"/>
  <c r="D124" i="43" s="1"/>
  <c r="F57" i="43"/>
  <c r="E57" i="43"/>
  <c r="L57" i="43" s="1"/>
  <c r="F44" i="40"/>
  <c r="B126" i="43"/>
  <c r="F58" i="43"/>
  <c r="E58" i="43"/>
  <c r="L58" i="43" s="1"/>
  <c r="E45" i="40"/>
  <c r="A59" i="43"/>
  <c r="D45" i="40"/>
  <c r="D57" i="43"/>
  <c r="J57" i="43" s="1"/>
  <c r="C42" i="42"/>
  <c r="E42" i="42" s="1"/>
  <c r="E125" i="43"/>
  <c r="L125" i="43" s="1"/>
  <c r="F125" i="43"/>
  <c r="G41" i="42"/>
  <c r="I41" i="42" s="1"/>
  <c r="J41" i="42" s="1"/>
  <c r="D123" i="43"/>
  <c r="B44" i="42"/>
  <c r="H44" i="42" s="1"/>
  <c r="A45" i="42"/>
  <c r="B47" i="40"/>
  <c r="A46" i="40"/>
  <c r="C46" i="40" s="1"/>
  <c r="F42" i="42" l="1"/>
  <c r="P122" i="43"/>
  <c r="P56" i="43"/>
  <c r="M125" i="43"/>
  <c r="K125" i="43"/>
  <c r="O127" i="43"/>
  <c r="O60" i="43"/>
  <c r="H46" i="40"/>
  <c r="I57" i="43"/>
  <c r="M58" i="43"/>
  <c r="K58" i="43"/>
  <c r="M57" i="43"/>
  <c r="K57" i="43"/>
  <c r="K124" i="43"/>
  <c r="M124" i="43"/>
  <c r="D44" i="42"/>
  <c r="H125" i="43"/>
  <c r="H58" i="43"/>
  <c r="H57" i="43"/>
  <c r="H124" i="43"/>
  <c r="J45" i="40"/>
  <c r="G45" i="40" s="1"/>
  <c r="I124" i="43"/>
  <c r="J124" i="43"/>
  <c r="J123" i="43"/>
  <c r="I123" i="43"/>
  <c r="K44" i="40"/>
  <c r="D125" i="43" s="1"/>
  <c r="G42" i="42"/>
  <c r="I42" i="42" s="1"/>
  <c r="J42" i="42" s="1"/>
  <c r="C60" i="43"/>
  <c r="N60" i="43" s="1"/>
  <c r="C127" i="43"/>
  <c r="N127" i="43" s="1"/>
  <c r="I46" i="40"/>
  <c r="A126" i="43"/>
  <c r="G126" i="43" s="1"/>
  <c r="G59" i="43"/>
  <c r="B127" i="43"/>
  <c r="D58" i="43"/>
  <c r="J58" i="43" s="1"/>
  <c r="C43" i="42"/>
  <c r="E43" i="42" s="1"/>
  <c r="F43" i="42" s="1"/>
  <c r="B61" i="43"/>
  <c r="F45" i="40"/>
  <c r="F59" i="43"/>
  <c r="E59" i="43"/>
  <c r="L59" i="43" s="1"/>
  <c r="E46" i="40"/>
  <c r="A60" i="43"/>
  <c r="D46" i="40"/>
  <c r="E126" i="43"/>
  <c r="L126" i="43" s="1"/>
  <c r="F126" i="43"/>
  <c r="B45" i="42"/>
  <c r="D45" i="42" s="1"/>
  <c r="A46" i="42"/>
  <c r="B48" i="40"/>
  <c r="A47" i="40"/>
  <c r="H47" i="40" s="1"/>
  <c r="H126" i="43" l="1"/>
  <c r="P57" i="43"/>
  <c r="J46" i="40"/>
  <c r="H45" i="42"/>
  <c r="O128" i="43"/>
  <c r="O61" i="43"/>
  <c r="M126" i="43"/>
  <c r="K126" i="43"/>
  <c r="K59" i="43"/>
  <c r="M59" i="43"/>
  <c r="G46" i="40"/>
  <c r="H59" i="43"/>
  <c r="I58" i="43"/>
  <c r="P123" i="43"/>
  <c r="J125" i="43"/>
  <c r="I125" i="43"/>
  <c r="P124" i="43"/>
  <c r="G43" i="42"/>
  <c r="I43" i="42" s="1"/>
  <c r="J43" i="42" s="1"/>
  <c r="F46" i="40"/>
  <c r="D60" i="43" s="1"/>
  <c r="K45" i="40"/>
  <c r="E47" i="40"/>
  <c r="A61" i="43"/>
  <c r="A127" i="43"/>
  <c r="G127" i="43" s="1"/>
  <c r="G60" i="43"/>
  <c r="B128" i="43"/>
  <c r="C44" i="42"/>
  <c r="E44" i="42" s="1"/>
  <c r="F44" i="42" s="1"/>
  <c r="D59" i="43"/>
  <c r="J59" i="43" s="1"/>
  <c r="F127" i="43"/>
  <c r="E127" i="43"/>
  <c r="L127" i="43" s="1"/>
  <c r="B62" i="43"/>
  <c r="C47" i="40"/>
  <c r="D47" i="40" s="1"/>
  <c r="F60" i="43"/>
  <c r="E60" i="43"/>
  <c r="L60" i="43" s="1"/>
  <c r="A47" i="42"/>
  <c r="B49" i="40"/>
  <c r="A48" i="40"/>
  <c r="H48" i="40" s="1"/>
  <c r="C45" i="42" l="1"/>
  <c r="E45" i="42" s="1"/>
  <c r="F45" i="42" s="1"/>
  <c r="J60" i="43"/>
  <c r="P58" i="43"/>
  <c r="H60" i="43"/>
  <c r="K127" i="43"/>
  <c r="M127" i="43"/>
  <c r="I60" i="43"/>
  <c r="H127" i="43"/>
  <c r="O129" i="43"/>
  <c r="O62" i="43"/>
  <c r="M60" i="43"/>
  <c r="K60" i="43"/>
  <c r="I59" i="43"/>
  <c r="P125" i="43"/>
  <c r="F47" i="40"/>
  <c r="D61" i="43" s="1"/>
  <c r="G44" i="42"/>
  <c r="I44" i="42" s="1"/>
  <c r="J44" i="42" s="1"/>
  <c r="D126" i="43"/>
  <c r="B46" i="42"/>
  <c r="E48" i="40"/>
  <c r="A62" i="43"/>
  <c r="C48" i="40"/>
  <c r="B63" i="43"/>
  <c r="B129" i="43"/>
  <c r="A128" i="43"/>
  <c r="G128" i="43" s="1"/>
  <c r="G61" i="43"/>
  <c r="C61" i="43"/>
  <c r="N61" i="43" s="1"/>
  <c r="C128" i="43"/>
  <c r="N128" i="43" s="1"/>
  <c r="I47" i="40"/>
  <c r="J47" i="40" s="1"/>
  <c r="G47" i="40" s="1"/>
  <c r="K46" i="40"/>
  <c r="A48" i="42"/>
  <c r="B50" i="40"/>
  <c r="A49" i="40"/>
  <c r="H49" i="40" s="1"/>
  <c r="D48" i="40" l="1"/>
  <c r="I48" i="40"/>
  <c r="C46" i="42"/>
  <c r="E46" i="42" s="1"/>
  <c r="J61" i="43"/>
  <c r="P59" i="43"/>
  <c r="P60" i="43"/>
  <c r="O130" i="43"/>
  <c r="O63" i="43"/>
  <c r="H46" i="42"/>
  <c r="D46" i="42"/>
  <c r="I126" i="43"/>
  <c r="J126" i="43"/>
  <c r="F48" i="40"/>
  <c r="C47" i="42" s="1"/>
  <c r="B47" i="42"/>
  <c r="B130" i="43"/>
  <c r="F128" i="43"/>
  <c r="E128" i="43"/>
  <c r="L128" i="43" s="1"/>
  <c r="C62" i="43"/>
  <c r="N62" i="43" s="1"/>
  <c r="C129" i="43"/>
  <c r="N129" i="43" s="1"/>
  <c r="E49" i="40"/>
  <c r="A63" i="43"/>
  <c r="F61" i="43"/>
  <c r="E61" i="43"/>
  <c r="L61" i="43" s="1"/>
  <c r="C49" i="40"/>
  <c r="D62" i="43"/>
  <c r="B64" i="43"/>
  <c r="A129" i="43"/>
  <c r="G129" i="43" s="1"/>
  <c r="G62" i="43"/>
  <c r="G45" i="42"/>
  <c r="I45" i="42" s="1"/>
  <c r="J45" i="42" s="1"/>
  <c r="D127" i="43"/>
  <c r="K47" i="40"/>
  <c r="A49" i="42"/>
  <c r="B51" i="40"/>
  <c r="A50" i="40"/>
  <c r="C50" i="40" s="1"/>
  <c r="I50" i="40" s="1"/>
  <c r="C26" i="1"/>
  <c r="J48" i="40" l="1"/>
  <c r="G48" i="40" s="1"/>
  <c r="B48" i="42"/>
  <c r="H48" i="42" s="1"/>
  <c r="I49" i="40"/>
  <c r="J49" i="40" s="1"/>
  <c r="H50" i="40"/>
  <c r="J62" i="43"/>
  <c r="F46" i="42"/>
  <c r="E47" i="42"/>
  <c r="O131" i="43"/>
  <c r="O64" i="43"/>
  <c r="K61" i="43"/>
  <c r="M61" i="43"/>
  <c r="H61" i="43"/>
  <c r="H47" i="42"/>
  <c r="D47" i="42"/>
  <c r="K128" i="43"/>
  <c r="M128" i="43"/>
  <c r="H128" i="43"/>
  <c r="I61" i="43"/>
  <c r="J127" i="43"/>
  <c r="I127" i="43"/>
  <c r="P126" i="43"/>
  <c r="A130" i="43"/>
  <c r="G130" i="43" s="1"/>
  <c r="G63" i="43"/>
  <c r="F62" i="43"/>
  <c r="E62" i="43"/>
  <c r="L62" i="43" s="1"/>
  <c r="C64" i="43"/>
  <c r="N64" i="43" s="1"/>
  <c r="C131" i="43"/>
  <c r="N131" i="43" s="1"/>
  <c r="E50" i="40"/>
  <c r="A64" i="43"/>
  <c r="D50" i="40"/>
  <c r="B65" i="43"/>
  <c r="I51" i="40"/>
  <c r="B131" i="43"/>
  <c r="C63" i="43"/>
  <c r="N63" i="43" s="1"/>
  <c r="C130" i="43"/>
  <c r="N130" i="43" s="1"/>
  <c r="D49" i="40"/>
  <c r="F49" i="40" s="1"/>
  <c r="F129" i="43"/>
  <c r="E129" i="43"/>
  <c r="L129" i="43" s="1"/>
  <c r="G46" i="42"/>
  <c r="I46" i="42" s="1"/>
  <c r="J46" i="42" s="1"/>
  <c r="D128" i="43"/>
  <c r="K48" i="40"/>
  <c r="B49" i="42"/>
  <c r="H49" i="42" s="1"/>
  <c r="A50" i="42"/>
  <c r="B52" i="40"/>
  <c r="A51" i="40"/>
  <c r="C51" i="40" s="1"/>
  <c r="C27" i="1"/>
  <c r="C46" i="1" s="1"/>
  <c r="C45" i="1"/>
  <c r="J50" i="40" l="1"/>
  <c r="G50" i="40" s="1"/>
  <c r="D48" i="42"/>
  <c r="F47" i="42"/>
  <c r="H62" i="43"/>
  <c r="P127" i="43"/>
  <c r="G49" i="40"/>
  <c r="K49" i="40" s="1"/>
  <c r="O132" i="43"/>
  <c r="O65" i="43"/>
  <c r="M129" i="43"/>
  <c r="K129" i="43"/>
  <c r="D49" i="42"/>
  <c r="H129" i="43"/>
  <c r="K62" i="43"/>
  <c r="M62" i="43"/>
  <c r="I62" i="43"/>
  <c r="P61" i="43"/>
  <c r="H51" i="40"/>
  <c r="J51" i="40" s="1"/>
  <c r="I128" i="43"/>
  <c r="J128" i="43"/>
  <c r="F50" i="40"/>
  <c r="D64" i="43" s="1"/>
  <c r="C132" i="43"/>
  <c r="N132" i="43" s="1"/>
  <c r="C65" i="43"/>
  <c r="N65" i="43" s="1"/>
  <c r="E64" i="43"/>
  <c r="L64" i="43" s="1"/>
  <c r="F64" i="43"/>
  <c r="C48" i="42"/>
  <c r="E48" i="42" s="1"/>
  <c r="D63" i="43"/>
  <c r="J63" i="43" s="1"/>
  <c r="E51" i="40"/>
  <c r="A65" i="43"/>
  <c r="D51" i="40"/>
  <c r="E130" i="43"/>
  <c r="L130" i="43" s="1"/>
  <c r="F130" i="43"/>
  <c r="B132" i="43"/>
  <c r="A131" i="43"/>
  <c r="G131" i="43" s="1"/>
  <c r="G64" i="43"/>
  <c r="B66" i="43"/>
  <c r="E63" i="43"/>
  <c r="L63" i="43" s="1"/>
  <c r="F63" i="43"/>
  <c r="F131" i="43"/>
  <c r="E131" i="43"/>
  <c r="L131" i="43" s="1"/>
  <c r="G47" i="42"/>
  <c r="I47" i="42" s="1"/>
  <c r="J47" i="42" s="1"/>
  <c r="D129" i="43"/>
  <c r="B50" i="42"/>
  <c r="D50" i="42" s="1"/>
  <c r="A51" i="42"/>
  <c r="C28" i="1"/>
  <c r="C29" i="1" s="1"/>
  <c r="B53" i="40"/>
  <c r="A52" i="40"/>
  <c r="C52" i="40" s="1"/>
  <c r="I52" i="40" s="1"/>
  <c r="F48" i="42" l="1"/>
  <c r="J64" i="43"/>
  <c r="P62" i="43"/>
  <c r="C49" i="42"/>
  <c r="E49" i="42" s="1"/>
  <c r="F49" i="42" s="1"/>
  <c r="H130" i="43"/>
  <c r="K63" i="43"/>
  <c r="M63" i="43"/>
  <c r="I64" i="43"/>
  <c r="K64" i="43"/>
  <c r="M64" i="43"/>
  <c r="K131" i="43"/>
  <c r="M131" i="43"/>
  <c r="I63" i="43"/>
  <c r="H50" i="42"/>
  <c r="H131" i="43"/>
  <c r="O133" i="43"/>
  <c r="O66" i="43"/>
  <c r="G51" i="40"/>
  <c r="H63" i="43"/>
  <c r="K130" i="43"/>
  <c r="M130" i="43"/>
  <c r="H64" i="43"/>
  <c r="H52" i="40"/>
  <c r="J52" i="40" s="1"/>
  <c r="J129" i="43"/>
  <c r="I129" i="43"/>
  <c r="P128" i="43"/>
  <c r="F65" i="43"/>
  <c r="E65" i="43"/>
  <c r="L65" i="43" s="1"/>
  <c r="B51" i="42"/>
  <c r="H51" i="42" s="1"/>
  <c r="E52" i="40"/>
  <c r="A66" i="43"/>
  <c r="D52" i="40"/>
  <c r="B133" i="43"/>
  <c r="F51" i="40"/>
  <c r="F132" i="43"/>
  <c r="E132" i="43"/>
  <c r="L132" i="43" s="1"/>
  <c r="C133" i="43"/>
  <c r="N133" i="43" s="1"/>
  <c r="C66" i="43"/>
  <c r="N66" i="43" s="1"/>
  <c r="B67" i="43"/>
  <c r="A132" i="43"/>
  <c r="G132" i="43" s="1"/>
  <c r="G65" i="43"/>
  <c r="G48" i="42"/>
  <c r="I48" i="42" s="1"/>
  <c r="J48" i="42" s="1"/>
  <c r="D130" i="43"/>
  <c r="K50" i="40"/>
  <c r="A52" i="42"/>
  <c r="C47" i="1"/>
  <c r="C48" i="1"/>
  <c r="C30" i="1"/>
  <c r="C49" i="1" s="1"/>
  <c r="B54" i="40"/>
  <c r="A53" i="40"/>
  <c r="H53" i="40" s="1"/>
  <c r="D51" i="42" l="1"/>
  <c r="M132" i="43"/>
  <c r="K132" i="43"/>
  <c r="K65" i="43"/>
  <c r="M65" i="43"/>
  <c r="O134" i="43"/>
  <c r="O67" i="43"/>
  <c r="H132" i="43"/>
  <c r="H65" i="43"/>
  <c r="G52" i="40"/>
  <c r="P64" i="43"/>
  <c r="P63" i="43"/>
  <c r="P129" i="43"/>
  <c r="I130" i="43"/>
  <c r="J130" i="43"/>
  <c r="E53" i="40"/>
  <c r="A67" i="43"/>
  <c r="C53" i="40"/>
  <c r="F66" i="43"/>
  <c r="E66" i="43"/>
  <c r="L66" i="43" s="1"/>
  <c r="E133" i="43"/>
  <c r="L133" i="43" s="1"/>
  <c r="F133" i="43"/>
  <c r="F52" i="40"/>
  <c r="D65" i="43"/>
  <c r="J65" i="43" s="1"/>
  <c r="C50" i="42"/>
  <c r="E50" i="42" s="1"/>
  <c r="F50" i="42" s="1"/>
  <c r="B68" i="43"/>
  <c r="B134" i="43"/>
  <c r="A133" i="43"/>
  <c r="G133" i="43" s="1"/>
  <c r="G66" i="43"/>
  <c r="G49" i="42"/>
  <c r="I49" i="42" s="1"/>
  <c r="J49" i="42" s="1"/>
  <c r="D131" i="43"/>
  <c r="A53" i="42"/>
  <c r="K51" i="40"/>
  <c r="C31" i="1"/>
  <c r="C50" i="1" s="1"/>
  <c r="B55" i="40"/>
  <c r="A54" i="40"/>
  <c r="C54" i="40" s="1"/>
  <c r="I54" i="40" s="1"/>
  <c r="D53" i="40" l="1"/>
  <c r="F53" i="40" s="1"/>
  <c r="C52" i="42" s="1"/>
  <c r="I53" i="40"/>
  <c r="J53" i="40" s="1"/>
  <c r="H133" i="43"/>
  <c r="O135" i="43"/>
  <c r="O68" i="43"/>
  <c r="K133" i="43"/>
  <c r="M133" i="43"/>
  <c r="I65" i="43"/>
  <c r="K66" i="43"/>
  <c r="M66" i="43"/>
  <c r="H66" i="43"/>
  <c r="H54" i="40"/>
  <c r="J131" i="43"/>
  <c r="I131" i="43"/>
  <c r="P130" i="43"/>
  <c r="B52" i="42"/>
  <c r="C68" i="43"/>
  <c r="N68" i="43" s="1"/>
  <c r="C135" i="43"/>
  <c r="N135" i="43" s="1"/>
  <c r="C67" i="43"/>
  <c r="N67" i="43" s="1"/>
  <c r="C134" i="43"/>
  <c r="N134" i="43" s="1"/>
  <c r="B69" i="43"/>
  <c r="A134" i="43"/>
  <c r="G134" i="43" s="1"/>
  <c r="G67" i="43"/>
  <c r="B53" i="42"/>
  <c r="D53" i="42" s="1"/>
  <c r="E54" i="40"/>
  <c r="A68" i="43"/>
  <c r="D54" i="40"/>
  <c r="B135" i="43"/>
  <c r="C51" i="42"/>
  <c r="E51" i="42" s="1"/>
  <c r="F51" i="42" s="1"/>
  <c r="D66" i="43"/>
  <c r="J66" i="43" s="1"/>
  <c r="G50" i="42"/>
  <c r="I50" i="42" s="1"/>
  <c r="J50" i="42" s="1"/>
  <c r="D132" i="43"/>
  <c r="K52" i="40"/>
  <c r="A54" i="42"/>
  <c r="C32" i="1"/>
  <c r="C51" i="1" s="1"/>
  <c r="B56" i="40"/>
  <c r="A55" i="40"/>
  <c r="H55" i="40" s="1"/>
  <c r="J54" i="40" l="1"/>
  <c r="G53" i="40"/>
  <c r="K53" i="40" s="1"/>
  <c r="E52" i="42"/>
  <c r="H53" i="42"/>
  <c r="P65" i="43"/>
  <c r="D67" i="43"/>
  <c r="J67" i="43" s="1"/>
  <c r="O136" i="43"/>
  <c r="O69" i="43"/>
  <c r="H52" i="42"/>
  <c r="D52" i="42"/>
  <c r="I66" i="43"/>
  <c r="G54" i="40"/>
  <c r="P131" i="43"/>
  <c r="I132" i="43"/>
  <c r="J132" i="43"/>
  <c r="F54" i="40"/>
  <c r="C53" i="42" s="1"/>
  <c r="E53" i="42" s="1"/>
  <c r="F53" i="42" s="1"/>
  <c r="B70" i="43"/>
  <c r="B136" i="43"/>
  <c r="E134" i="43"/>
  <c r="L134" i="43" s="1"/>
  <c r="F134" i="43"/>
  <c r="F135" i="43"/>
  <c r="E135" i="43"/>
  <c r="L135" i="43" s="1"/>
  <c r="E55" i="40"/>
  <c r="A69" i="43"/>
  <c r="A135" i="43"/>
  <c r="G135" i="43" s="1"/>
  <c r="G68" i="43"/>
  <c r="C55" i="40"/>
  <c r="I55" i="40" s="1"/>
  <c r="J55" i="40" s="1"/>
  <c r="E67" i="43"/>
  <c r="L67" i="43" s="1"/>
  <c r="F67" i="43"/>
  <c r="E68" i="43"/>
  <c r="L68" i="43" s="1"/>
  <c r="F68" i="43"/>
  <c r="G51" i="42"/>
  <c r="I51" i="42" s="1"/>
  <c r="J51" i="42" s="1"/>
  <c r="D133" i="43"/>
  <c r="C33" i="1"/>
  <c r="C52" i="1" s="1"/>
  <c r="A55" i="42"/>
  <c r="B57" i="40"/>
  <c r="A56" i="40"/>
  <c r="C56" i="40" s="1"/>
  <c r="I56" i="40" s="1"/>
  <c r="F52" i="42" l="1"/>
  <c r="D68" i="43"/>
  <c r="I68" i="43" s="1"/>
  <c r="I67" i="43"/>
  <c r="H68" i="43"/>
  <c r="P66" i="43"/>
  <c r="M68" i="43"/>
  <c r="K68" i="43"/>
  <c r="M135" i="43"/>
  <c r="K135" i="43"/>
  <c r="H67" i="43"/>
  <c r="H135" i="43"/>
  <c r="K134" i="43"/>
  <c r="M134" i="43"/>
  <c r="O137" i="43"/>
  <c r="O70" i="43"/>
  <c r="H56" i="40"/>
  <c r="J56" i="40" s="1"/>
  <c r="K67" i="43"/>
  <c r="M67" i="43"/>
  <c r="H134" i="43"/>
  <c r="J133" i="43"/>
  <c r="I133" i="43"/>
  <c r="P132" i="43"/>
  <c r="C34" i="1"/>
  <c r="C53" i="1" s="1"/>
  <c r="C54" i="1" s="1"/>
  <c r="C136" i="43"/>
  <c r="N136" i="43" s="1"/>
  <c r="C69" i="43"/>
  <c r="N69" i="43" s="1"/>
  <c r="A136" i="43"/>
  <c r="G136" i="43" s="1"/>
  <c r="G69" i="43"/>
  <c r="C70" i="43"/>
  <c r="N70" i="43" s="1"/>
  <c r="C137" i="43"/>
  <c r="N137" i="43" s="1"/>
  <c r="E56" i="40"/>
  <c r="A70" i="43"/>
  <c r="D56" i="40"/>
  <c r="B71" i="43"/>
  <c r="I57" i="40"/>
  <c r="B54" i="42"/>
  <c r="D55" i="40"/>
  <c r="B137" i="43"/>
  <c r="G52" i="42"/>
  <c r="I52" i="42" s="1"/>
  <c r="J52" i="42" s="1"/>
  <c r="D134" i="43"/>
  <c r="K54" i="40"/>
  <c r="A56" i="42"/>
  <c r="B58" i="40"/>
  <c r="A57" i="40"/>
  <c r="C57" i="40" s="1"/>
  <c r="J68" i="43" l="1"/>
  <c r="P68" i="43" s="1"/>
  <c r="F55" i="40"/>
  <c r="C54" i="42" s="1"/>
  <c r="E54" i="42" s="1"/>
  <c r="G55" i="40"/>
  <c r="K55" i="40" s="1"/>
  <c r="C35" i="1"/>
  <c r="P67" i="43"/>
  <c r="H54" i="42"/>
  <c r="D54" i="42"/>
  <c r="O71" i="43"/>
  <c r="O138" i="43"/>
  <c r="P133" i="43"/>
  <c r="G56" i="40"/>
  <c r="H57" i="40"/>
  <c r="J57" i="40" s="1"/>
  <c r="I134" i="43"/>
  <c r="J134" i="43"/>
  <c r="F56" i="40"/>
  <c r="C55" i="42" s="1"/>
  <c r="B72" i="43"/>
  <c r="C71" i="43"/>
  <c r="N71" i="43" s="1"/>
  <c r="C138" i="43"/>
  <c r="N138" i="43" s="1"/>
  <c r="E137" i="43"/>
  <c r="L137" i="43" s="1"/>
  <c r="F137" i="43"/>
  <c r="A137" i="43"/>
  <c r="G137" i="43" s="1"/>
  <c r="G70" i="43"/>
  <c r="F70" i="43"/>
  <c r="E70" i="43"/>
  <c r="L70" i="43" s="1"/>
  <c r="B138" i="43"/>
  <c r="E69" i="43"/>
  <c r="L69" i="43" s="1"/>
  <c r="F69" i="43"/>
  <c r="E57" i="40"/>
  <c r="A71" i="43"/>
  <c r="D57" i="40"/>
  <c r="F136" i="43"/>
  <c r="E136" i="43"/>
  <c r="L136" i="43" s="1"/>
  <c r="G53" i="42"/>
  <c r="I53" i="42" s="1"/>
  <c r="J53" i="42" s="1"/>
  <c r="D135" i="43"/>
  <c r="B55" i="42"/>
  <c r="B56" i="42"/>
  <c r="D56" i="42" s="1"/>
  <c r="A57" i="42"/>
  <c r="B59" i="40"/>
  <c r="A58" i="40"/>
  <c r="C58" i="40" s="1"/>
  <c r="I58" i="40" s="1"/>
  <c r="D69" i="43" l="1"/>
  <c r="J69" i="43" s="1"/>
  <c r="F54" i="42"/>
  <c r="H136" i="43"/>
  <c r="H56" i="42"/>
  <c r="H137" i="43"/>
  <c r="E55" i="42"/>
  <c r="K70" i="43"/>
  <c r="M70" i="43"/>
  <c r="I69" i="43"/>
  <c r="H69" i="43"/>
  <c r="H70" i="43"/>
  <c r="M137" i="43"/>
  <c r="K137" i="43"/>
  <c r="H55" i="42"/>
  <c r="D55" i="42"/>
  <c r="K136" i="43"/>
  <c r="M136" i="43"/>
  <c r="K69" i="43"/>
  <c r="M69" i="43"/>
  <c r="D70" i="43"/>
  <c r="J70" i="43" s="1"/>
  <c r="O139" i="43"/>
  <c r="O72" i="43"/>
  <c r="G57" i="40"/>
  <c r="H58" i="40"/>
  <c r="J58" i="40" s="1"/>
  <c r="J135" i="43"/>
  <c r="I135" i="43"/>
  <c r="P134" i="43"/>
  <c r="F57" i="40"/>
  <c r="D71" i="43" s="1"/>
  <c r="C72" i="43"/>
  <c r="N72" i="43" s="1"/>
  <c r="C139" i="43"/>
  <c r="N139" i="43" s="1"/>
  <c r="F71" i="43"/>
  <c r="E71" i="43"/>
  <c r="L71" i="43" s="1"/>
  <c r="E58" i="40"/>
  <c r="A72" i="43"/>
  <c r="D58" i="40"/>
  <c r="C56" i="42"/>
  <c r="E56" i="42" s="1"/>
  <c r="F56" i="42" s="1"/>
  <c r="B73" i="43"/>
  <c r="A138" i="43"/>
  <c r="G138" i="43" s="1"/>
  <c r="G71" i="43"/>
  <c r="F138" i="43"/>
  <c r="E138" i="43"/>
  <c r="L138" i="43" s="1"/>
  <c r="B139" i="43"/>
  <c r="G54" i="42"/>
  <c r="I54" i="42" s="1"/>
  <c r="J54" i="42" s="1"/>
  <c r="D136" i="43"/>
  <c r="K56" i="40"/>
  <c r="B57" i="42"/>
  <c r="D57" i="42" s="1"/>
  <c r="A58" i="42"/>
  <c r="B60" i="40"/>
  <c r="A59" i="40"/>
  <c r="C59" i="40" s="1"/>
  <c r="I59" i="40" s="1"/>
  <c r="G58" i="40" l="1"/>
  <c r="J71" i="43"/>
  <c r="P135" i="43"/>
  <c r="F55" i="42"/>
  <c r="H57" i="42"/>
  <c r="M71" i="43"/>
  <c r="K71" i="43"/>
  <c r="I71" i="43"/>
  <c r="M138" i="43"/>
  <c r="K138" i="43"/>
  <c r="I70" i="43"/>
  <c r="H59" i="40"/>
  <c r="J59" i="40" s="1"/>
  <c r="P69" i="43"/>
  <c r="H138" i="43"/>
  <c r="O140" i="43"/>
  <c r="O73" i="43"/>
  <c r="H71" i="43"/>
  <c r="I136" i="43"/>
  <c r="J136" i="43"/>
  <c r="C140" i="43"/>
  <c r="N140" i="43" s="1"/>
  <c r="C73" i="43"/>
  <c r="N73" i="43" s="1"/>
  <c r="B74" i="43"/>
  <c r="A139" i="43"/>
  <c r="G139" i="43" s="1"/>
  <c r="G72" i="43"/>
  <c r="F139" i="43"/>
  <c r="E139" i="43"/>
  <c r="L139" i="43" s="1"/>
  <c r="E59" i="40"/>
  <c r="A73" i="43"/>
  <c r="D59" i="40"/>
  <c r="B140" i="43"/>
  <c r="F58" i="40"/>
  <c r="F72" i="43"/>
  <c r="E72" i="43"/>
  <c r="L72" i="43" s="1"/>
  <c r="G55" i="42"/>
  <c r="I55" i="42" s="1"/>
  <c r="J55" i="42" s="1"/>
  <c r="D137" i="43"/>
  <c r="K57" i="40"/>
  <c r="B58" i="42"/>
  <c r="H58" i="42" s="1"/>
  <c r="A59" i="42"/>
  <c r="B61" i="40"/>
  <c r="A60" i="40"/>
  <c r="H60" i="40" s="1"/>
  <c r="P70" i="43" l="1"/>
  <c r="P71" i="43"/>
  <c r="G59" i="40"/>
  <c r="H72" i="43"/>
  <c r="D58" i="42"/>
  <c r="M139" i="43"/>
  <c r="K139" i="43"/>
  <c r="M72" i="43"/>
  <c r="K72" i="43"/>
  <c r="H139" i="43"/>
  <c r="O141" i="43"/>
  <c r="O74" i="43"/>
  <c r="J137" i="43"/>
  <c r="I137" i="43"/>
  <c r="P136" i="43"/>
  <c r="B141" i="43"/>
  <c r="F59" i="40"/>
  <c r="A140" i="43"/>
  <c r="G140" i="43" s="1"/>
  <c r="G73" i="43"/>
  <c r="E73" i="43"/>
  <c r="L73" i="43" s="1"/>
  <c r="F73" i="43"/>
  <c r="B75" i="43"/>
  <c r="I61" i="40"/>
  <c r="E60" i="40"/>
  <c r="A74" i="43"/>
  <c r="C57" i="42"/>
  <c r="E57" i="42" s="1"/>
  <c r="F57" i="42" s="1"/>
  <c r="D72" i="43"/>
  <c r="J72" i="43" s="1"/>
  <c r="C60" i="40"/>
  <c r="F140" i="43"/>
  <c r="E140" i="43"/>
  <c r="L140" i="43" s="1"/>
  <c r="G56" i="42"/>
  <c r="I56" i="42" s="1"/>
  <c r="J56" i="42" s="1"/>
  <c r="D138" i="43"/>
  <c r="K58" i="40"/>
  <c r="A60" i="42"/>
  <c r="K59" i="40"/>
  <c r="B62" i="40"/>
  <c r="A61" i="40"/>
  <c r="C61" i="40" s="1"/>
  <c r="B59" i="42" l="1"/>
  <c r="H59" i="42" s="1"/>
  <c r="I60" i="40"/>
  <c r="J60" i="40" s="1"/>
  <c r="H140" i="43"/>
  <c r="H73" i="43"/>
  <c r="M73" i="43"/>
  <c r="K73" i="43"/>
  <c r="D59" i="42"/>
  <c r="I72" i="43"/>
  <c r="H61" i="40"/>
  <c r="K140" i="43"/>
  <c r="M140" i="43"/>
  <c r="O142" i="43"/>
  <c r="O75" i="43"/>
  <c r="P137" i="43"/>
  <c r="I138" i="43"/>
  <c r="J138" i="43"/>
  <c r="C142" i="43"/>
  <c r="N142" i="43" s="1"/>
  <c r="C75" i="43"/>
  <c r="N75" i="43" s="1"/>
  <c r="E61" i="40"/>
  <c r="A75" i="43"/>
  <c r="D61" i="40"/>
  <c r="B76" i="43"/>
  <c r="B142" i="43"/>
  <c r="C141" i="43"/>
  <c r="N141" i="43" s="1"/>
  <c r="C74" i="43"/>
  <c r="N74" i="43" s="1"/>
  <c r="A141" i="43"/>
  <c r="G141" i="43" s="1"/>
  <c r="G74" i="43"/>
  <c r="C58" i="42"/>
  <c r="E58" i="42" s="1"/>
  <c r="F58" i="42" s="1"/>
  <c r="D73" i="43"/>
  <c r="J73" i="43" s="1"/>
  <c r="D60" i="40"/>
  <c r="G58" i="42"/>
  <c r="I58" i="42" s="1"/>
  <c r="J58" i="42" s="1"/>
  <c r="D140" i="43"/>
  <c r="G57" i="42"/>
  <c r="I57" i="42" s="1"/>
  <c r="J57" i="42" s="1"/>
  <c r="D139" i="43"/>
  <c r="B60" i="42"/>
  <c r="H60" i="42" s="1"/>
  <c r="A61" i="42"/>
  <c r="B63" i="40"/>
  <c r="A62" i="40"/>
  <c r="H62" i="40" s="1"/>
  <c r="J61" i="40" l="1"/>
  <c r="G61" i="40"/>
  <c r="K61" i="40" s="1"/>
  <c r="I73" i="43"/>
  <c r="O143" i="43"/>
  <c r="O76" i="43"/>
  <c r="D60" i="42"/>
  <c r="P72" i="43"/>
  <c r="F60" i="40"/>
  <c r="C59" i="42" s="1"/>
  <c r="E59" i="42" s="1"/>
  <c r="F59" i="42" s="1"/>
  <c r="G60" i="40"/>
  <c r="K60" i="40" s="1"/>
  <c r="D141" i="43" s="1"/>
  <c r="I140" i="43"/>
  <c r="J140" i="43"/>
  <c r="J139" i="43"/>
  <c r="I139" i="43"/>
  <c r="P138" i="43"/>
  <c r="F74" i="43"/>
  <c r="E74" i="43"/>
  <c r="L74" i="43" s="1"/>
  <c r="F61" i="40"/>
  <c r="E75" i="43"/>
  <c r="L75" i="43" s="1"/>
  <c r="F75" i="43"/>
  <c r="E62" i="40"/>
  <c r="A76" i="43"/>
  <c r="B77" i="43"/>
  <c r="E141" i="43"/>
  <c r="L141" i="43" s="1"/>
  <c r="F141" i="43"/>
  <c r="C62" i="40"/>
  <c r="B143" i="43"/>
  <c r="A142" i="43"/>
  <c r="G142" i="43" s="1"/>
  <c r="G75" i="43"/>
  <c r="E142" i="43"/>
  <c r="L142" i="43" s="1"/>
  <c r="F142" i="43"/>
  <c r="A62" i="42"/>
  <c r="B64" i="40"/>
  <c r="A63" i="40"/>
  <c r="H63" i="40" s="1"/>
  <c r="B61" i="42" l="1"/>
  <c r="H61" i="42" s="1"/>
  <c r="I62" i="40"/>
  <c r="J62" i="40" s="1"/>
  <c r="H74" i="43"/>
  <c r="P73" i="43"/>
  <c r="D74" i="43"/>
  <c r="J74" i="43" s="1"/>
  <c r="P139" i="43"/>
  <c r="K142" i="43"/>
  <c r="M142" i="43"/>
  <c r="O144" i="43"/>
  <c r="O77" i="43"/>
  <c r="K75" i="43"/>
  <c r="M75" i="43"/>
  <c r="D61" i="42"/>
  <c r="H141" i="43"/>
  <c r="K141" i="43"/>
  <c r="M141" i="43"/>
  <c r="I74" i="43"/>
  <c r="H142" i="43"/>
  <c r="H75" i="43"/>
  <c r="K74" i="43"/>
  <c r="M74" i="43"/>
  <c r="J141" i="43"/>
  <c r="I141" i="43"/>
  <c r="P140" i="43"/>
  <c r="G59" i="42"/>
  <c r="I59" i="42" s="1"/>
  <c r="J59" i="42" s="1"/>
  <c r="E63" i="40"/>
  <c r="A77" i="43"/>
  <c r="B144" i="43"/>
  <c r="C60" i="42"/>
  <c r="E60" i="42" s="1"/>
  <c r="F60" i="42" s="1"/>
  <c r="D75" i="43"/>
  <c r="J75" i="43" s="1"/>
  <c r="D62" i="40"/>
  <c r="B78" i="43"/>
  <c r="C143" i="43"/>
  <c r="N143" i="43" s="1"/>
  <c r="C76" i="43"/>
  <c r="N76" i="43" s="1"/>
  <c r="C63" i="40"/>
  <c r="A143" i="43"/>
  <c r="G143" i="43" s="1"/>
  <c r="G76" i="43"/>
  <c r="G60" i="42"/>
  <c r="I60" i="42" s="1"/>
  <c r="J60" i="42" s="1"/>
  <c r="D142" i="43"/>
  <c r="A63" i="42"/>
  <c r="B65" i="40"/>
  <c r="A64" i="40"/>
  <c r="C64" i="40" s="1"/>
  <c r="I64" i="40" s="1"/>
  <c r="B62" i="42" l="1"/>
  <c r="D62" i="42" s="1"/>
  <c r="I63" i="40"/>
  <c r="J63" i="40" s="1"/>
  <c r="P141" i="43"/>
  <c r="P74" i="43"/>
  <c r="H62" i="42"/>
  <c r="O145" i="43"/>
  <c r="O78" i="43"/>
  <c r="F62" i="40"/>
  <c r="C61" i="42" s="1"/>
  <c r="E61" i="42" s="1"/>
  <c r="F61" i="42" s="1"/>
  <c r="G62" i="40"/>
  <c r="K62" i="40" s="1"/>
  <c r="I75" i="43"/>
  <c r="H64" i="40"/>
  <c r="J142" i="43"/>
  <c r="I142" i="43"/>
  <c r="C145" i="43"/>
  <c r="N145" i="43" s="1"/>
  <c r="C78" i="43"/>
  <c r="N78" i="43" s="1"/>
  <c r="C77" i="43"/>
  <c r="N77" i="43" s="1"/>
  <c r="C144" i="43"/>
  <c r="N144" i="43" s="1"/>
  <c r="F76" i="43"/>
  <c r="E76" i="43"/>
  <c r="L76" i="43" s="1"/>
  <c r="D63" i="40"/>
  <c r="E64" i="40"/>
  <c r="A78" i="43"/>
  <c r="D64" i="40"/>
  <c r="B79" i="43"/>
  <c r="F143" i="43"/>
  <c r="E143" i="43"/>
  <c r="L143" i="43" s="1"/>
  <c r="B145" i="43"/>
  <c r="A144" i="43"/>
  <c r="G144" i="43" s="1"/>
  <c r="G77" i="43"/>
  <c r="B63" i="42"/>
  <c r="H63" i="42" s="1"/>
  <c r="A64" i="42"/>
  <c r="B66" i="40"/>
  <c r="A65" i="40"/>
  <c r="H65" i="40" s="1"/>
  <c r="J64" i="40" l="1"/>
  <c r="G64" i="40"/>
  <c r="K64" i="40" s="1"/>
  <c r="D76" i="43"/>
  <c r="J76" i="43" s="1"/>
  <c r="H143" i="43"/>
  <c r="H76" i="43"/>
  <c r="P75" i="43"/>
  <c r="I76" i="43"/>
  <c r="O79" i="43"/>
  <c r="O146" i="43"/>
  <c r="K143" i="43"/>
  <c r="M143" i="43"/>
  <c r="K76" i="43"/>
  <c r="M76" i="43"/>
  <c r="D63" i="42"/>
  <c r="F63" i="40"/>
  <c r="D77" i="43" s="1"/>
  <c r="J77" i="43" s="1"/>
  <c r="G63" i="40"/>
  <c r="K63" i="40" s="1"/>
  <c r="D144" i="43" s="1"/>
  <c r="P142" i="43"/>
  <c r="F64" i="40"/>
  <c r="D78" i="43" s="1"/>
  <c r="E65" i="40"/>
  <c r="A79" i="43"/>
  <c r="C65" i="40"/>
  <c r="A145" i="43"/>
  <c r="G145" i="43" s="1"/>
  <c r="G78" i="43"/>
  <c r="F78" i="43"/>
  <c r="E78" i="43"/>
  <c r="L78" i="43" s="1"/>
  <c r="B80" i="43"/>
  <c r="E144" i="43"/>
  <c r="L144" i="43" s="1"/>
  <c r="F144" i="43"/>
  <c r="F145" i="43"/>
  <c r="E145" i="43"/>
  <c r="L145" i="43" s="1"/>
  <c r="B146" i="43"/>
  <c r="E77" i="43"/>
  <c r="L77" i="43" s="1"/>
  <c r="F77" i="43"/>
  <c r="G61" i="42"/>
  <c r="I61" i="42" s="1"/>
  <c r="J61" i="42" s="1"/>
  <c r="D143" i="43"/>
  <c r="A65" i="42"/>
  <c r="B67" i="40"/>
  <c r="A66" i="40"/>
  <c r="C66" i="40" s="1"/>
  <c r="I66" i="40" s="1"/>
  <c r="D65" i="40" l="1"/>
  <c r="G65" i="40" s="1"/>
  <c r="I65" i="40"/>
  <c r="J65" i="40" s="1"/>
  <c r="H66" i="40"/>
  <c r="J78" i="43"/>
  <c r="P76" i="43"/>
  <c r="H145" i="43"/>
  <c r="C62" i="42"/>
  <c r="E62" i="42" s="1"/>
  <c r="F62" i="42" s="1"/>
  <c r="C63" i="42"/>
  <c r="E63" i="42" s="1"/>
  <c r="F63" i="42" s="1"/>
  <c r="H78" i="43"/>
  <c r="I78" i="43"/>
  <c r="I77" i="43"/>
  <c r="K77" i="43"/>
  <c r="M77" i="43"/>
  <c r="O147" i="43"/>
  <c r="O80" i="43"/>
  <c r="H77" i="43"/>
  <c r="H144" i="43"/>
  <c r="M78" i="43"/>
  <c r="K78" i="43"/>
  <c r="K144" i="43"/>
  <c r="M144" i="43"/>
  <c r="M145" i="43"/>
  <c r="K145" i="43"/>
  <c r="I144" i="43"/>
  <c r="J144" i="43"/>
  <c r="J143" i="43"/>
  <c r="I143" i="43"/>
  <c r="F65" i="40"/>
  <c r="C64" i="42" s="1"/>
  <c r="B64" i="42"/>
  <c r="B81" i="43"/>
  <c r="G62" i="42"/>
  <c r="I62" i="42" s="1"/>
  <c r="J62" i="42" s="1"/>
  <c r="A146" i="43"/>
  <c r="G146" i="43" s="1"/>
  <c r="G79" i="43"/>
  <c r="B147" i="43"/>
  <c r="C80" i="43"/>
  <c r="N80" i="43" s="1"/>
  <c r="C147" i="43"/>
  <c r="N147" i="43" s="1"/>
  <c r="E66" i="40"/>
  <c r="A80" i="43"/>
  <c r="D66" i="40"/>
  <c r="C79" i="43"/>
  <c r="N79" i="43" s="1"/>
  <c r="C146" i="43"/>
  <c r="N146" i="43" s="1"/>
  <c r="G63" i="42"/>
  <c r="I63" i="42" s="1"/>
  <c r="J63" i="42" s="1"/>
  <c r="D145" i="43"/>
  <c r="A66" i="42"/>
  <c r="B65" i="42"/>
  <c r="H65" i="42" s="1"/>
  <c r="B68" i="40"/>
  <c r="A67" i="40"/>
  <c r="C67" i="40" s="1"/>
  <c r="I67" i="40" s="1"/>
  <c r="K65" i="40" l="1"/>
  <c r="J66" i="40"/>
  <c r="H67" i="40"/>
  <c r="J67" i="40" s="1"/>
  <c r="P143" i="43"/>
  <c r="E64" i="42"/>
  <c r="P78" i="43"/>
  <c r="D65" i="42"/>
  <c r="H64" i="42"/>
  <c r="D64" i="42"/>
  <c r="O148" i="43"/>
  <c r="O81" i="43"/>
  <c r="P77" i="43"/>
  <c r="J145" i="43"/>
  <c r="I145" i="43"/>
  <c r="P144" i="43"/>
  <c r="D79" i="43"/>
  <c r="J79" i="43" s="1"/>
  <c r="B82" i="43"/>
  <c r="A147" i="43"/>
  <c r="G147" i="43" s="1"/>
  <c r="G80" i="43"/>
  <c r="C81" i="43"/>
  <c r="N81" i="43" s="1"/>
  <c r="C148" i="43"/>
  <c r="N148" i="43" s="1"/>
  <c r="F79" i="43"/>
  <c r="E79" i="43"/>
  <c r="L79" i="43" s="1"/>
  <c r="E80" i="43"/>
  <c r="L80" i="43" s="1"/>
  <c r="F80" i="43"/>
  <c r="F146" i="43"/>
  <c r="E146" i="43"/>
  <c r="L146" i="43" s="1"/>
  <c r="E67" i="40"/>
  <c r="A81" i="43"/>
  <c r="D67" i="40"/>
  <c r="G67" i="40" s="1"/>
  <c r="F66" i="40"/>
  <c r="E147" i="43"/>
  <c r="L147" i="43" s="1"/>
  <c r="F147" i="43"/>
  <c r="B148" i="43"/>
  <c r="G64" i="42"/>
  <c r="I64" i="42" s="1"/>
  <c r="D146" i="43"/>
  <c r="A67" i="42"/>
  <c r="B66" i="42"/>
  <c r="D66" i="42" s="1"/>
  <c r="B69" i="40"/>
  <c r="A68" i="40"/>
  <c r="H68" i="40" s="1"/>
  <c r="G66" i="40" l="1"/>
  <c r="K66" i="40" s="1"/>
  <c r="P145" i="43"/>
  <c r="F64" i="42"/>
  <c r="H146" i="43"/>
  <c r="H79" i="43"/>
  <c r="K147" i="43"/>
  <c r="M147" i="43"/>
  <c r="K80" i="43"/>
  <c r="M80" i="43"/>
  <c r="O149" i="43"/>
  <c r="O82" i="43"/>
  <c r="H66" i="42"/>
  <c r="J64" i="42"/>
  <c r="K146" i="43"/>
  <c r="M146" i="43"/>
  <c r="K79" i="43"/>
  <c r="M79" i="43"/>
  <c r="I79" i="43"/>
  <c r="H147" i="43"/>
  <c r="H80" i="43"/>
  <c r="I146" i="43"/>
  <c r="J146" i="43"/>
  <c r="F67" i="40"/>
  <c r="C66" i="42" s="1"/>
  <c r="E66" i="42" s="1"/>
  <c r="F66" i="42" s="1"/>
  <c r="K67" i="40"/>
  <c r="F81" i="43"/>
  <c r="E81" i="43"/>
  <c r="L81" i="43" s="1"/>
  <c r="E68" i="40"/>
  <c r="A82" i="43"/>
  <c r="A148" i="43"/>
  <c r="G148" i="43" s="1"/>
  <c r="G81" i="43"/>
  <c r="C68" i="40"/>
  <c r="I68" i="40" s="1"/>
  <c r="J68" i="40" s="1"/>
  <c r="B83" i="43"/>
  <c r="D80" i="43"/>
  <c r="J80" i="43" s="1"/>
  <c r="C65" i="42"/>
  <c r="E65" i="42" s="1"/>
  <c r="F65" i="42" s="1"/>
  <c r="E148" i="43"/>
  <c r="L148" i="43" s="1"/>
  <c r="F148" i="43"/>
  <c r="B149" i="43"/>
  <c r="A68" i="42"/>
  <c r="B70" i="40"/>
  <c r="A69" i="40"/>
  <c r="H69" i="40" s="1"/>
  <c r="D147" i="43" l="1"/>
  <c r="G65" i="42"/>
  <c r="I65" i="42" s="1"/>
  <c r="J65" i="42" s="1"/>
  <c r="P79" i="43"/>
  <c r="K81" i="43"/>
  <c r="M81" i="43"/>
  <c r="K148" i="43"/>
  <c r="M148" i="43"/>
  <c r="O150" i="43"/>
  <c r="O83" i="43"/>
  <c r="I80" i="43"/>
  <c r="H148" i="43"/>
  <c r="H81" i="43"/>
  <c r="I147" i="43"/>
  <c r="J147" i="43"/>
  <c r="P146" i="43"/>
  <c r="D81" i="43"/>
  <c r="J81" i="43" s="1"/>
  <c r="E69" i="40"/>
  <c r="A83" i="43"/>
  <c r="C149" i="43"/>
  <c r="N149" i="43" s="1"/>
  <c r="C82" i="43"/>
  <c r="N82" i="43" s="1"/>
  <c r="D68" i="40"/>
  <c r="B84" i="43"/>
  <c r="C69" i="40"/>
  <c r="A149" i="43"/>
  <c r="G149" i="43" s="1"/>
  <c r="G82" i="43"/>
  <c r="B67" i="42"/>
  <c r="B150" i="43"/>
  <c r="G66" i="42"/>
  <c r="I66" i="42" s="1"/>
  <c r="J66" i="42" s="1"/>
  <c r="D148" i="43"/>
  <c r="A69" i="42"/>
  <c r="B71" i="40"/>
  <c r="A70" i="40"/>
  <c r="C70" i="40" s="1"/>
  <c r="I70" i="40" s="1"/>
  <c r="D69" i="40" l="1"/>
  <c r="G69" i="40" s="1"/>
  <c r="I69" i="40"/>
  <c r="J69" i="40" s="1"/>
  <c r="B68" i="42"/>
  <c r="H68" i="42" s="1"/>
  <c r="P80" i="43"/>
  <c r="O151" i="43"/>
  <c r="O84" i="43"/>
  <c r="D67" i="42"/>
  <c r="H67" i="42"/>
  <c r="F68" i="40"/>
  <c r="D82" i="43" s="1"/>
  <c r="J82" i="43" s="1"/>
  <c r="G68" i="40"/>
  <c r="K68" i="40" s="1"/>
  <c r="G67" i="42" s="1"/>
  <c r="I67" i="42" s="1"/>
  <c r="D68" i="42"/>
  <c r="I81" i="43"/>
  <c r="H70" i="40"/>
  <c r="I148" i="43"/>
  <c r="J148" i="43"/>
  <c r="P147" i="43"/>
  <c r="F69" i="40"/>
  <c r="C68" i="42" s="1"/>
  <c r="K69" i="40"/>
  <c r="C84" i="43"/>
  <c r="N84" i="43" s="1"/>
  <c r="C151" i="43"/>
  <c r="N151" i="43" s="1"/>
  <c r="C83" i="43"/>
  <c r="N83" i="43" s="1"/>
  <c r="C150" i="43"/>
  <c r="N150" i="43" s="1"/>
  <c r="A150" i="43"/>
  <c r="G150" i="43" s="1"/>
  <c r="G83" i="43"/>
  <c r="E70" i="40"/>
  <c r="A84" i="43"/>
  <c r="D70" i="40"/>
  <c r="G70" i="40" s="1"/>
  <c r="B151" i="43"/>
  <c r="F82" i="43"/>
  <c r="E82" i="43"/>
  <c r="L82" i="43" s="1"/>
  <c r="B85" i="43"/>
  <c r="E149" i="43"/>
  <c r="L149" i="43" s="1"/>
  <c r="F149" i="43"/>
  <c r="A70" i="42"/>
  <c r="B69" i="42"/>
  <c r="H69" i="42" s="1"/>
  <c r="B72" i="40"/>
  <c r="A71" i="40"/>
  <c r="H71" i="40" s="1"/>
  <c r="E68" i="42" l="1"/>
  <c r="F68" i="42" s="1"/>
  <c r="J70" i="40"/>
  <c r="K70" i="40" s="1"/>
  <c r="J67" i="42"/>
  <c r="C67" i="42"/>
  <c r="E67" i="42" s="1"/>
  <c r="F67" i="42" s="1"/>
  <c r="D149" i="43"/>
  <c r="J149" i="43" s="1"/>
  <c r="H149" i="43"/>
  <c r="P81" i="43"/>
  <c r="D83" i="43"/>
  <c r="J83" i="43" s="1"/>
  <c r="O152" i="43"/>
  <c r="O85" i="43"/>
  <c r="D69" i="42"/>
  <c r="K82" i="43"/>
  <c r="M82" i="43"/>
  <c r="M149" i="43"/>
  <c r="K149" i="43"/>
  <c r="H82" i="43"/>
  <c r="I82" i="43"/>
  <c r="P148" i="43"/>
  <c r="F70" i="40"/>
  <c r="C69" i="42" s="1"/>
  <c r="E69" i="42" s="1"/>
  <c r="E71" i="40"/>
  <c r="A85" i="43"/>
  <c r="C71" i="40"/>
  <c r="I71" i="40" s="1"/>
  <c r="J71" i="40" s="1"/>
  <c r="B86" i="43"/>
  <c r="B152" i="43"/>
  <c r="E150" i="43"/>
  <c r="L150" i="43" s="1"/>
  <c r="F150" i="43"/>
  <c r="F151" i="43"/>
  <c r="E151" i="43"/>
  <c r="L151" i="43" s="1"/>
  <c r="A151" i="43"/>
  <c r="G151" i="43" s="1"/>
  <c r="G84" i="43"/>
  <c r="E83" i="43"/>
  <c r="L83" i="43" s="1"/>
  <c r="F83" i="43"/>
  <c r="F84" i="43"/>
  <c r="E84" i="43"/>
  <c r="L84" i="43" s="1"/>
  <c r="G68" i="42"/>
  <c r="I68" i="42" s="1"/>
  <c r="J68" i="42" s="1"/>
  <c r="D150" i="43"/>
  <c r="A71" i="42"/>
  <c r="B73" i="40"/>
  <c r="A72" i="40"/>
  <c r="H72" i="40" s="1"/>
  <c r="I149" i="43" l="1"/>
  <c r="H83" i="43"/>
  <c r="H150" i="43"/>
  <c r="F69" i="42"/>
  <c r="M151" i="43"/>
  <c r="K151" i="43"/>
  <c r="M84" i="43"/>
  <c r="K84" i="43"/>
  <c r="P82" i="43"/>
  <c r="H84" i="43"/>
  <c r="M150" i="43"/>
  <c r="K150" i="43"/>
  <c r="O153" i="43"/>
  <c r="O86" i="43"/>
  <c r="D84" i="43"/>
  <c r="J84" i="43" s="1"/>
  <c r="M83" i="43"/>
  <c r="K83" i="43"/>
  <c r="H151" i="43"/>
  <c r="I83" i="43"/>
  <c r="P149" i="43"/>
  <c r="I150" i="43"/>
  <c r="J150" i="43"/>
  <c r="C85" i="43"/>
  <c r="N85" i="43" s="1"/>
  <c r="C152" i="43"/>
  <c r="N152" i="43" s="1"/>
  <c r="B70" i="42"/>
  <c r="E72" i="40"/>
  <c r="A86" i="43"/>
  <c r="C72" i="40"/>
  <c r="D71" i="40"/>
  <c r="G71" i="40" s="1"/>
  <c r="B153" i="43"/>
  <c r="B87" i="43"/>
  <c r="A152" i="43"/>
  <c r="G152" i="43" s="1"/>
  <c r="G85" i="43"/>
  <c r="G69" i="42"/>
  <c r="I69" i="42" s="1"/>
  <c r="J69" i="42" s="1"/>
  <c r="D151" i="43"/>
  <c r="A72" i="42"/>
  <c r="B74" i="40"/>
  <c r="A73" i="40"/>
  <c r="H73" i="40" s="1"/>
  <c r="B71" i="42" l="1"/>
  <c r="D71" i="42" s="1"/>
  <c r="I72" i="40"/>
  <c r="J72" i="40" s="1"/>
  <c r="P83" i="43"/>
  <c r="D70" i="42"/>
  <c r="H70" i="42"/>
  <c r="I84" i="43"/>
  <c r="O154" i="43"/>
  <c r="O87" i="43"/>
  <c r="J151" i="43"/>
  <c r="I151" i="43"/>
  <c r="P150" i="43"/>
  <c r="E73" i="40"/>
  <c r="A87" i="43"/>
  <c r="A153" i="43"/>
  <c r="G153" i="43" s="1"/>
  <c r="G86" i="43"/>
  <c r="B154" i="43"/>
  <c r="K71" i="40"/>
  <c r="D152" i="43" s="1"/>
  <c r="F71" i="40"/>
  <c r="F152" i="43"/>
  <c r="E152" i="43"/>
  <c r="L152" i="43" s="1"/>
  <c r="C86" i="43"/>
  <c r="N86" i="43" s="1"/>
  <c r="C153" i="43"/>
  <c r="N153" i="43" s="1"/>
  <c r="E85" i="43"/>
  <c r="L85" i="43" s="1"/>
  <c r="F85" i="43"/>
  <c r="B88" i="43"/>
  <c r="C73" i="40"/>
  <c r="D72" i="40"/>
  <c r="G72" i="40" s="1"/>
  <c r="A73" i="42"/>
  <c r="B75" i="40"/>
  <c r="A74" i="40"/>
  <c r="H74" i="40" s="1"/>
  <c r="H71" i="42" l="1"/>
  <c r="B72" i="42"/>
  <c r="D72" i="42" s="1"/>
  <c r="I73" i="40"/>
  <c r="J73" i="40" s="1"/>
  <c r="P84" i="43"/>
  <c r="H85" i="43"/>
  <c r="K85" i="43"/>
  <c r="M85" i="43"/>
  <c r="H152" i="43"/>
  <c r="O155" i="43"/>
  <c r="O88" i="43"/>
  <c r="M152" i="43"/>
  <c r="K152" i="43"/>
  <c r="P151" i="43"/>
  <c r="I152" i="43"/>
  <c r="J152" i="43"/>
  <c r="D73" i="40"/>
  <c r="G73" i="40" s="1"/>
  <c r="G70" i="42"/>
  <c r="I70" i="42" s="1"/>
  <c r="J70" i="42" s="1"/>
  <c r="E74" i="40"/>
  <c r="A88" i="43"/>
  <c r="K72" i="40"/>
  <c r="D153" i="43" s="1"/>
  <c r="F72" i="40"/>
  <c r="B89" i="43"/>
  <c r="C87" i="43"/>
  <c r="N87" i="43" s="1"/>
  <c r="C154" i="43"/>
  <c r="N154" i="43" s="1"/>
  <c r="B155" i="43"/>
  <c r="E153" i="43"/>
  <c r="L153" i="43" s="1"/>
  <c r="F153" i="43"/>
  <c r="A154" i="43"/>
  <c r="G154" i="43" s="1"/>
  <c r="G87" i="43"/>
  <c r="E86" i="43"/>
  <c r="L86" i="43" s="1"/>
  <c r="F86" i="43"/>
  <c r="D85" i="43"/>
  <c r="J85" i="43" s="1"/>
  <c r="C70" i="42"/>
  <c r="E70" i="42" s="1"/>
  <c r="F70" i="42" s="1"/>
  <c r="C74" i="40"/>
  <c r="A74" i="42"/>
  <c r="B76" i="40"/>
  <c r="A75" i="40"/>
  <c r="C75" i="40" s="1"/>
  <c r="I75" i="40" s="1"/>
  <c r="K73" i="40" l="1"/>
  <c r="G72" i="42" s="1"/>
  <c r="I72" i="42" s="1"/>
  <c r="H72" i="42"/>
  <c r="F73" i="40"/>
  <c r="C72" i="42" s="1"/>
  <c r="E72" i="42" s="1"/>
  <c r="F72" i="42" s="1"/>
  <c r="D74" i="40"/>
  <c r="G74" i="40" s="1"/>
  <c r="I74" i="40"/>
  <c r="J74" i="40" s="1"/>
  <c r="H86" i="43"/>
  <c r="H153" i="43"/>
  <c r="M86" i="43"/>
  <c r="K86" i="43"/>
  <c r="K153" i="43"/>
  <c r="M153" i="43"/>
  <c r="I85" i="43"/>
  <c r="H75" i="40"/>
  <c r="J75" i="40" s="1"/>
  <c r="O156" i="43"/>
  <c r="O89" i="43"/>
  <c r="J153" i="43"/>
  <c r="I153" i="43"/>
  <c r="P152" i="43"/>
  <c r="G71" i="42"/>
  <c r="I71" i="42" s="1"/>
  <c r="J71" i="42" s="1"/>
  <c r="B73" i="42"/>
  <c r="I76" i="40"/>
  <c r="B90" i="43"/>
  <c r="D86" i="43"/>
  <c r="J86" i="43" s="1"/>
  <c r="C71" i="42"/>
  <c r="E71" i="42" s="1"/>
  <c r="F71" i="42" s="1"/>
  <c r="C88" i="43"/>
  <c r="N88" i="43" s="1"/>
  <c r="C155" i="43"/>
  <c r="N155" i="43" s="1"/>
  <c r="E154" i="43"/>
  <c r="L154" i="43" s="1"/>
  <c r="F154" i="43"/>
  <c r="C89" i="43"/>
  <c r="N89" i="43" s="1"/>
  <c r="C156" i="43"/>
  <c r="N156" i="43" s="1"/>
  <c r="A155" i="43"/>
  <c r="G155" i="43" s="1"/>
  <c r="G88" i="43"/>
  <c r="E75" i="40"/>
  <c r="A89" i="43"/>
  <c r="D75" i="40"/>
  <c r="G75" i="40" s="1"/>
  <c r="D87" i="43"/>
  <c r="J87" i="43" s="1"/>
  <c r="F87" i="43"/>
  <c r="E87" i="43"/>
  <c r="L87" i="43" s="1"/>
  <c r="B156" i="43"/>
  <c r="A75" i="42"/>
  <c r="B74" i="42"/>
  <c r="D74" i="42" s="1"/>
  <c r="B77" i="40"/>
  <c r="A76" i="40"/>
  <c r="C76" i="40" s="1"/>
  <c r="D154" i="43" l="1"/>
  <c r="J72" i="42"/>
  <c r="K74" i="40"/>
  <c r="D155" i="43" s="1"/>
  <c r="F74" i="40"/>
  <c r="C73" i="42" s="1"/>
  <c r="E73" i="42" s="1"/>
  <c r="H76" i="40"/>
  <c r="J76" i="40" s="1"/>
  <c r="P153" i="43"/>
  <c r="H87" i="43"/>
  <c r="P85" i="43"/>
  <c r="H74" i="42"/>
  <c r="I87" i="43"/>
  <c r="H154" i="43"/>
  <c r="D73" i="42"/>
  <c r="H73" i="42"/>
  <c r="O157" i="43"/>
  <c r="O90" i="43"/>
  <c r="K87" i="43"/>
  <c r="M87" i="43"/>
  <c r="K154" i="43"/>
  <c r="M154" i="43"/>
  <c r="I86" i="43"/>
  <c r="J154" i="43"/>
  <c r="I154" i="43"/>
  <c r="C157" i="43"/>
  <c r="N157" i="43" s="1"/>
  <c r="C90" i="43"/>
  <c r="N90" i="43" s="1"/>
  <c r="E89" i="43"/>
  <c r="L89" i="43" s="1"/>
  <c r="F89" i="43"/>
  <c r="B91" i="43"/>
  <c r="F155" i="43"/>
  <c r="E155" i="43"/>
  <c r="L155" i="43" s="1"/>
  <c r="B157" i="43"/>
  <c r="E76" i="40"/>
  <c r="A90" i="43"/>
  <c r="D76" i="40"/>
  <c r="G76" i="40" s="1"/>
  <c r="A156" i="43"/>
  <c r="G156" i="43" s="1"/>
  <c r="G89" i="43"/>
  <c r="F75" i="40"/>
  <c r="E156" i="43"/>
  <c r="L156" i="43" s="1"/>
  <c r="F156" i="43"/>
  <c r="F88" i="43"/>
  <c r="E88" i="43"/>
  <c r="L88" i="43" s="1"/>
  <c r="A76" i="42"/>
  <c r="K75" i="40"/>
  <c r="B75" i="42"/>
  <c r="H75" i="42" s="1"/>
  <c r="B78" i="40"/>
  <c r="A77" i="40"/>
  <c r="H77" i="40" s="1"/>
  <c r="G73" i="42" l="1"/>
  <c r="I73" i="42" s="1"/>
  <c r="D88" i="43"/>
  <c r="J88" i="43" s="1"/>
  <c r="J73" i="42"/>
  <c r="F73" i="42"/>
  <c r="H156" i="43"/>
  <c r="H155" i="43"/>
  <c r="D75" i="42"/>
  <c r="P87" i="43"/>
  <c r="H88" i="43"/>
  <c r="P154" i="43"/>
  <c r="M156" i="43"/>
  <c r="K156" i="43"/>
  <c r="K155" i="43"/>
  <c r="M155" i="43"/>
  <c r="H89" i="43"/>
  <c r="P86" i="43"/>
  <c r="O158" i="43"/>
  <c r="O91" i="43"/>
  <c r="I88" i="43"/>
  <c r="M88" i="43"/>
  <c r="K88" i="43"/>
  <c r="K89" i="43"/>
  <c r="M89" i="43"/>
  <c r="J155" i="43"/>
  <c r="I155" i="43"/>
  <c r="F76" i="40"/>
  <c r="C75" i="42" s="1"/>
  <c r="E75" i="42" s="1"/>
  <c r="A157" i="43"/>
  <c r="G157" i="43" s="1"/>
  <c r="G90" i="43"/>
  <c r="B158" i="43"/>
  <c r="E77" i="40"/>
  <c r="A91" i="43"/>
  <c r="C74" i="42"/>
  <c r="E74" i="42" s="1"/>
  <c r="F74" i="42" s="1"/>
  <c r="D89" i="43"/>
  <c r="J89" i="43" s="1"/>
  <c r="F90" i="43"/>
  <c r="E90" i="43"/>
  <c r="L90" i="43" s="1"/>
  <c r="B92" i="43"/>
  <c r="C77" i="40"/>
  <c r="F157" i="43"/>
  <c r="E157" i="43"/>
  <c r="L157" i="43" s="1"/>
  <c r="G74" i="42"/>
  <c r="I74" i="42" s="1"/>
  <c r="J74" i="42" s="1"/>
  <c r="D156" i="43"/>
  <c r="A77" i="42"/>
  <c r="K76" i="40"/>
  <c r="B79" i="40"/>
  <c r="A78" i="40"/>
  <c r="H78" i="40" s="1"/>
  <c r="F75" i="42" l="1"/>
  <c r="B76" i="42"/>
  <c r="D76" i="42" s="1"/>
  <c r="I77" i="40"/>
  <c r="J77" i="40" s="1"/>
  <c r="P155" i="43"/>
  <c r="H157" i="43"/>
  <c r="P88" i="43"/>
  <c r="I89" i="43"/>
  <c r="M157" i="43"/>
  <c r="K157" i="43"/>
  <c r="O159" i="43"/>
  <c r="O92" i="43"/>
  <c r="M90" i="43"/>
  <c r="K90" i="43"/>
  <c r="H90" i="43"/>
  <c r="I156" i="43"/>
  <c r="J156" i="43"/>
  <c r="D90" i="43"/>
  <c r="J90" i="43" s="1"/>
  <c r="B93" i="43"/>
  <c r="C158" i="43"/>
  <c r="N158" i="43" s="1"/>
  <c r="C91" i="43"/>
  <c r="N91" i="43" s="1"/>
  <c r="B159" i="43"/>
  <c r="D77" i="40"/>
  <c r="G77" i="40" s="1"/>
  <c r="A158" i="43"/>
  <c r="G158" i="43" s="1"/>
  <c r="G91" i="43"/>
  <c r="E78" i="40"/>
  <c r="A92" i="43"/>
  <c r="C78" i="40"/>
  <c r="G75" i="42"/>
  <c r="I75" i="42" s="1"/>
  <c r="J75" i="42" s="1"/>
  <c r="D157" i="43"/>
  <c r="A78" i="42"/>
  <c r="B80" i="40"/>
  <c r="A79" i="40"/>
  <c r="C79" i="40" s="1"/>
  <c r="I79" i="40" s="1"/>
  <c r="H76" i="42" l="1"/>
  <c r="D78" i="40"/>
  <c r="G78" i="40" s="1"/>
  <c r="I78" i="40"/>
  <c r="J78" i="40" s="1"/>
  <c r="P89" i="43"/>
  <c r="O160" i="43"/>
  <c r="O93" i="43"/>
  <c r="H79" i="40"/>
  <c r="J79" i="40" s="1"/>
  <c r="I90" i="43"/>
  <c r="J157" i="43"/>
  <c r="I157" i="43"/>
  <c r="P156" i="43"/>
  <c r="A159" i="43"/>
  <c r="G159" i="43" s="1"/>
  <c r="G92" i="43"/>
  <c r="C160" i="43"/>
  <c r="N160" i="43" s="1"/>
  <c r="C93" i="43"/>
  <c r="N93" i="43" s="1"/>
  <c r="B77" i="42"/>
  <c r="I80" i="40"/>
  <c r="B94" i="43"/>
  <c r="K77" i="40"/>
  <c r="G76" i="42" s="1"/>
  <c r="I76" i="42" s="1"/>
  <c r="F77" i="40"/>
  <c r="E91" i="43"/>
  <c r="L91" i="43" s="1"/>
  <c r="F91" i="43"/>
  <c r="F158" i="43"/>
  <c r="E158" i="43"/>
  <c r="L158" i="43" s="1"/>
  <c r="C92" i="43"/>
  <c r="N92" i="43" s="1"/>
  <c r="C159" i="43"/>
  <c r="N159" i="43" s="1"/>
  <c r="E79" i="40"/>
  <c r="A93" i="43"/>
  <c r="D79" i="40"/>
  <c r="G79" i="40" s="1"/>
  <c r="B160" i="43"/>
  <c r="A79" i="42"/>
  <c r="B78" i="42"/>
  <c r="H78" i="42" s="1"/>
  <c r="B81" i="40"/>
  <c r="A80" i="40"/>
  <c r="C80" i="40" s="1"/>
  <c r="J76" i="42" l="1"/>
  <c r="K78" i="40"/>
  <c r="G77" i="42" s="1"/>
  <c r="I77" i="42" s="1"/>
  <c r="F78" i="40"/>
  <c r="D92" i="43" s="1"/>
  <c r="J92" i="43" s="1"/>
  <c r="P157" i="43"/>
  <c r="P90" i="43"/>
  <c r="M91" i="43"/>
  <c r="K91" i="43"/>
  <c r="M158" i="43"/>
  <c r="K158" i="43"/>
  <c r="H77" i="42"/>
  <c r="D77" i="42"/>
  <c r="D78" i="42"/>
  <c r="H158" i="43"/>
  <c r="H91" i="43"/>
  <c r="O161" i="43"/>
  <c r="O94" i="43"/>
  <c r="H80" i="40"/>
  <c r="J80" i="40" s="1"/>
  <c r="D158" i="43"/>
  <c r="F79" i="40"/>
  <c r="C78" i="42" s="1"/>
  <c r="E78" i="42" s="1"/>
  <c r="B95" i="43"/>
  <c r="I81" i="40"/>
  <c r="F93" i="43"/>
  <c r="E93" i="43"/>
  <c r="L93" i="43" s="1"/>
  <c r="E80" i="40"/>
  <c r="A94" i="43"/>
  <c r="D80" i="40"/>
  <c r="G80" i="40" s="1"/>
  <c r="E159" i="43"/>
  <c r="L159" i="43" s="1"/>
  <c r="F159" i="43"/>
  <c r="C76" i="42"/>
  <c r="E76" i="42" s="1"/>
  <c r="F76" i="42" s="1"/>
  <c r="D91" i="43"/>
  <c r="J91" i="43" s="1"/>
  <c r="C161" i="43"/>
  <c r="N161" i="43" s="1"/>
  <c r="C94" i="43"/>
  <c r="N94" i="43" s="1"/>
  <c r="A160" i="43"/>
  <c r="G160" i="43" s="1"/>
  <c r="G93" i="43"/>
  <c r="E92" i="43"/>
  <c r="L92" i="43" s="1"/>
  <c r="F92" i="43"/>
  <c r="B161" i="43"/>
  <c r="E160" i="43"/>
  <c r="L160" i="43" s="1"/>
  <c r="F160" i="43"/>
  <c r="A80" i="42"/>
  <c r="B79" i="42"/>
  <c r="H79" i="42" s="1"/>
  <c r="K79" i="40"/>
  <c r="B82" i="40"/>
  <c r="A81" i="40"/>
  <c r="C81" i="40" s="1"/>
  <c r="D159" i="43" l="1"/>
  <c r="C77" i="42"/>
  <c r="E77" i="42" s="1"/>
  <c r="J77" i="42"/>
  <c r="H160" i="43"/>
  <c r="H92" i="43"/>
  <c r="H93" i="43"/>
  <c r="I92" i="43"/>
  <c r="I91" i="43"/>
  <c r="M92" i="43"/>
  <c r="K92" i="43"/>
  <c r="K160" i="43"/>
  <c r="M160" i="43"/>
  <c r="H159" i="43"/>
  <c r="O162" i="43"/>
  <c r="O95" i="43"/>
  <c r="P91" i="43"/>
  <c r="D79" i="42"/>
  <c r="F77" i="42"/>
  <c r="M159" i="43"/>
  <c r="K159" i="43"/>
  <c r="M93" i="43"/>
  <c r="K93" i="43"/>
  <c r="F78" i="42"/>
  <c r="H81" i="40"/>
  <c r="J81" i="40" s="1"/>
  <c r="J159" i="43"/>
  <c r="I159" i="43"/>
  <c r="J158" i="43"/>
  <c r="I158" i="43"/>
  <c r="D93" i="43"/>
  <c r="J93" i="43" s="1"/>
  <c r="F80" i="40"/>
  <c r="C79" i="42" s="1"/>
  <c r="E79" i="42" s="1"/>
  <c r="E161" i="43"/>
  <c r="L161" i="43" s="1"/>
  <c r="F161" i="43"/>
  <c r="C95" i="43"/>
  <c r="N95" i="43" s="1"/>
  <c r="C162" i="43"/>
  <c r="N162" i="43" s="1"/>
  <c r="E94" i="43"/>
  <c r="L94" i="43" s="1"/>
  <c r="F94" i="43"/>
  <c r="E81" i="40"/>
  <c r="A95" i="43"/>
  <c r="D81" i="40"/>
  <c r="G81" i="40" s="1"/>
  <c r="B96" i="43"/>
  <c r="A161" i="43"/>
  <c r="G161" i="43" s="1"/>
  <c r="G94" i="43"/>
  <c r="B162" i="43"/>
  <c r="G78" i="42"/>
  <c r="I78" i="42" s="1"/>
  <c r="J78" i="42" s="1"/>
  <c r="D160" i="43"/>
  <c r="A81" i="42"/>
  <c r="K80" i="40"/>
  <c r="B80" i="42"/>
  <c r="D80" i="42" s="1"/>
  <c r="B83" i="40"/>
  <c r="A82" i="40"/>
  <c r="C82" i="40" s="1"/>
  <c r="I82" i="40" s="1"/>
  <c r="P92" i="43" l="1"/>
  <c r="F79" i="42"/>
  <c r="M94" i="43"/>
  <c r="K94" i="43"/>
  <c r="M161" i="43"/>
  <c r="K161" i="43"/>
  <c r="H80" i="42"/>
  <c r="I93" i="43"/>
  <c r="H82" i="40"/>
  <c r="J82" i="40" s="1"/>
  <c r="O163" i="43"/>
  <c r="O96" i="43"/>
  <c r="H94" i="43"/>
  <c r="H161" i="43"/>
  <c r="P158" i="43"/>
  <c r="P159" i="43"/>
  <c r="I160" i="43"/>
  <c r="J160" i="43"/>
  <c r="D94" i="43"/>
  <c r="J94" i="43" s="1"/>
  <c r="F81" i="40"/>
  <c r="C80" i="42" s="1"/>
  <c r="E80" i="42" s="1"/>
  <c r="F80" i="42" s="1"/>
  <c r="C96" i="43"/>
  <c r="N96" i="43" s="1"/>
  <c r="C163" i="43"/>
  <c r="N163" i="43" s="1"/>
  <c r="B97" i="43"/>
  <c r="A162" i="43"/>
  <c r="G162" i="43" s="1"/>
  <c r="G95" i="43"/>
  <c r="E162" i="43"/>
  <c r="L162" i="43" s="1"/>
  <c r="F162" i="43"/>
  <c r="E82" i="40"/>
  <c r="A96" i="43"/>
  <c r="D82" i="40"/>
  <c r="G82" i="40" s="1"/>
  <c r="B163" i="43"/>
  <c r="E95" i="43"/>
  <c r="L95" i="43" s="1"/>
  <c r="F95" i="43"/>
  <c r="G79" i="42"/>
  <c r="I79" i="42" s="1"/>
  <c r="J79" i="42" s="1"/>
  <c r="D161" i="43"/>
  <c r="A82" i="42"/>
  <c r="B81" i="42"/>
  <c r="H81" i="42" s="1"/>
  <c r="K81" i="40"/>
  <c r="B84" i="40"/>
  <c r="A83" i="40"/>
  <c r="C83" i="40" s="1"/>
  <c r="I83" i="40" s="1"/>
  <c r="H95" i="43" l="1"/>
  <c r="P93" i="43"/>
  <c r="D81" i="42"/>
  <c r="M95" i="43"/>
  <c r="K95" i="43"/>
  <c r="H83" i="40"/>
  <c r="J83" i="40" s="1"/>
  <c r="M162" i="43"/>
  <c r="K162" i="43"/>
  <c r="O164" i="43"/>
  <c r="O97" i="43"/>
  <c r="I94" i="43"/>
  <c r="H162" i="43"/>
  <c r="J161" i="43"/>
  <c r="I161" i="43"/>
  <c r="P160" i="43"/>
  <c r="D95" i="43"/>
  <c r="J95" i="43" s="1"/>
  <c r="C164" i="43"/>
  <c r="N164" i="43" s="1"/>
  <c r="C97" i="43"/>
  <c r="N97" i="43" s="1"/>
  <c r="B98" i="43"/>
  <c r="A163" i="43"/>
  <c r="G163" i="43" s="1"/>
  <c r="G96" i="43"/>
  <c r="E83" i="40"/>
  <c r="A97" i="43"/>
  <c r="D83" i="40"/>
  <c r="G83" i="40" s="1"/>
  <c r="B164" i="43"/>
  <c r="F163" i="43"/>
  <c r="E163" i="43"/>
  <c r="L163" i="43" s="1"/>
  <c r="F82" i="40"/>
  <c r="E96" i="43"/>
  <c r="L96" i="43" s="1"/>
  <c r="F96" i="43"/>
  <c r="G80" i="42"/>
  <c r="I80" i="42" s="1"/>
  <c r="J80" i="42" s="1"/>
  <c r="D162" i="43"/>
  <c r="A83" i="42"/>
  <c r="K82" i="40"/>
  <c r="B82" i="42"/>
  <c r="D82" i="42" s="1"/>
  <c r="B85" i="40"/>
  <c r="A84" i="40"/>
  <c r="H84" i="40" s="1"/>
  <c r="H82" i="42" l="1"/>
  <c r="H96" i="43"/>
  <c r="H163" i="43"/>
  <c r="P94" i="43"/>
  <c r="O165" i="43"/>
  <c r="O98" i="43"/>
  <c r="I95" i="43"/>
  <c r="K96" i="43"/>
  <c r="M96" i="43"/>
  <c r="P161" i="43"/>
  <c r="K163" i="43"/>
  <c r="M163" i="43"/>
  <c r="J162" i="43"/>
  <c r="I162" i="43"/>
  <c r="E84" i="40"/>
  <c r="A98" i="43"/>
  <c r="B165" i="43"/>
  <c r="B99" i="43"/>
  <c r="F83" i="40"/>
  <c r="F97" i="43"/>
  <c r="E97" i="43"/>
  <c r="L97" i="43" s="1"/>
  <c r="C81" i="42"/>
  <c r="E81" i="42" s="1"/>
  <c r="F81" i="42" s="1"/>
  <c r="D96" i="43"/>
  <c r="J96" i="43" s="1"/>
  <c r="A164" i="43"/>
  <c r="G164" i="43" s="1"/>
  <c r="G97" i="43"/>
  <c r="C84" i="40"/>
  <c r="E164" i="43"/>
  <c r="L164" i="43" s="1"/>
  <c r="F164" i="43"/>
  <c r="G81" i="42"/>
  <c r="I81" i="42" s="1"/>
  <c r="J81" i="42" s="1"/>
  <c r="D163" i="43"/>
  <c r="A84" i="42"/>
  <c r="K83" i="40"/>
  <c r="B86" i="40"/>
  <c r="A85" i="40"/>
  <c r="C85" i="40" s="1"/>
  <c r="I85" i="40" s="1"/>
  <c r="B83" i="42" l="1"/>
  <c r="H83" i="42" s="1"/>
  <c r="I84" i="40"/>
  <c r="J84" i="40" s="1"/>
  <c r="H164" i="43"/>
  <c r="H97" i="43"/>
  <c r="O166" i="43"/>
  <c r="O99" i="43"/>
  <c r="K97" i="43"/>
  <c r="M97" i="43"/>
  <c r="P162" i="43"/>
  <c r="D83" i="42"/>
  <c r="M164" i="43"/>
  <c r="K164" i="43"/>
  <c r="I96" i="43"/>
  <c r="H85" i="40"/>
  <c r="J85" i="40" s="1"/>
  <c r="P95" i="43"/>
  <c r="J163" i="43"/>
  <c r="I163" i="43"/>
  <c r="C166" i="43"/>
  <c r="N166" i="43" s="1"/>
  <c r="C99" i="43"/>
  <c r="N99" i="43" s="1"/>
  <c r="D84" i="40"/>
  <c r="G84" i="40" s="1"/>
  <c r="B166" i="43"/>
  <c r="A165" i="43"/>
  <c r="G165" i="43" s="1"/>
  <c r="G98" i="43"/>
  <c r="E85" i="40"/>
  <c r="A99" i="43"/>
  <c r="D85" i="40"/>
  <c r="G85" i="40" s="1"/>
  <c r="C98" i="43"/>
  <c r="N98" i="43" s="1"/>
  <c r="C165" i="43"/>
  <c r="N165" i="43" s="1"/>
  <c r="B100" i="43"/>
  <c r="C82" i="42"/>
  <c r="E82" i="42" s="1"/>
  <c r="F82" i="42" s="1"/>
  <c r="D97" i="43"/>
  <c r="J97" i="43" s="1"/>
  <c r="G82" i="42"/>
  <c r="I82" i="42" s="1"/>
  <c r="J82" i="42" s="1"/>
  <c r="D164" i="43"/>
  <c r="A85" i="42"/>
  <c r="B84" i="42"/>
  <c r="D84" i="42" s="1"/>
  <c r="B87" i="40"/>
  <c r="A86" i="40"/>
  <c r="C86" i="40" s="1"/>
  <c r="I86" i="40" s="1"/>
  <c r="P163" i="43" l="1"/>
  <c r="H84" i="42"/>
  <c r="O167" i="43"/>
  <c r="O100" i="43"/>
  <c r="I97" i="43"/>
  <c r="P96" i="43"/>
  <c r="H86" i="40"/>
  <c r="J86" i="40" s="1"/>
  <c r="I164" i="43"/>
  <c r="J164" i="43"/>
  <c r="F85" i="40"/>
  <c r="D99" i="43" s="1"/>
  <c r="F165" i="43"/>
  <c r="E165" i="43"/>
  <c r="L165" i="43" s="1"/>
  <c r="F99" i="43"/>
  <c r="E99" i="43"/>
  <c r="L99" i="43" s="1"/>
  <c r="B167" i="43"/>
  <c r="E98" i="43"/>
  <c r="L98" i="43" s="1"/>
  <c r="F98" i="43"/>
  <c r="E166" i="43"/>
  <c r="L166" i="43" s="1"/>
  <c r="F166" i="43"/>
  <c r="C100" i="43"/>
  <c r="N100" i="43" s="1"/>
  <c r="C167" i="43"/>
  <c r="N167" i="43" s="1"/>
  <c r="K84" i="40"/>
  <c r="G83" i="42" s="1"/>
  <c r="I83" i="42" s="1"/>
  <c r="J83" i="42" s="1"/>
  <c r="F84" i="40"/>
  <c r="E86" i="40"/>
  <c r="A100" i="43"/>
  <c r="D86" i="40"/>
  <c r="G86" i="40" s="1"/>
  <c r="B101" i="43"/>
  <c r="A166" i="43"/>
  <c r="G166" i="43" s="1"/>
  <c r="G99" i="43"/>
  <c r="K85" i="40"/>
  <c r="A86" i="42"/>
  <c r="B85" i="42"/>
  <c r="D85" i="42" s="1"/>
  <c r="B88" i="40"/>
  <c r="A87" i="40"/>
  <c r="H87" i="40" s="1"/>
  <c r="C84" i="42" l="1"/>
  <c r="E84" i="42" s="1"/>
  <c r="F84" i="42" s="1"/>
  <c r="J99" i="43"/>
  <c r="P97" i="43"/>
  <c r="K165" i="43"/>
  <c r="M165" i="43"/>
  <c r="K166" i="43"/>
  <c r="M166" i="43"/>
  <c r="K99" i="43"/>
  <c r="M99" i="43"/>
  <c r="I99" i="43"/>
  <c r="H85" i="42"/>
  <c r="H98" i="43"/>
  <c r="H99" i="43"/>
  <c r="O168" i="43"/>
  <c r="O101" i="43"/>
  <c r="K98" i="43"/>
  <c r="M98" i="43"/>
  <c r="H166" i="43"/>
  <c r="H165" i="43"/>
  <c r="P164" i="43"/>
  <c r="F86" i="40"/>
  <c r="D100" i="43" s="1"/>
  <c r="D165" i="43"/>
  <c r="A167" i="43"/>
  <c r="G167" i="43" s="1"/>
  <c r="G100" i="43"/>
  <c r="E100" i="43"/>
  <c r="L100" i="43" s="1"/>
  <c r="F100" i="43"/>
  <c r="B168" i="43"/>
  <c r="C83" i="42"/>
  <c r="E83" i="42" s="1"/>
  <c r="F83" i="42" s="1"/>
  <c r="D98" i="43"/>
  <c r="J98" i="43" s="1"/>
  <c r="E87" i="40"/>
  <c r="A101" i="43"/>
  <c r="B102" i="43"/>
  <c r="C87" i="40"/>
  <c r="F167" i="43"/>
  <c r="E167" i="43"/>
  <c r="L167" i="43" s="1"/>
  <c r="G84" i="42"/>
  <c r="I84" i="42" s="1"/>
  <c r="J84" i="42" s="1"/>
  <c r="D166" i="43"/>
  <c r="A87" i="42"/>
  <c r="K86" i="40"/>
  <c r="B89" i="40"/>
  <c r="A88" i="40"/>
  <c r="H88" i="40" s="1"/>
  <c r="B86" i="42" l="1"/>
  <c r="H86" i="42" s="1"/>
  <c r="I87" i="40"/>
  <c r="J87" i="40" s="1"/>
  <c r="J100" i="43"/>
  <c r="D86" i="42"/>
  <c r="C85" i="42"/>
  <c r="E85" i="42" s="1"/>
  <c r="F85" i="42" s="1"/>
  <c r="H100" i="43"/>
  <c r="H167" i="43"/>
  <c r="I98" i="43"/>
  <c r="M100" i="43"/>
  <c r="K100" i="43"/>
  <c r="P99" i="43"/>
  <c r="M167" i="43"/>
  <c r="K167" i="43"/>
  <c r="O169" i="43"/>
  <c r="O102" i="43"/>
  <c r="I100" i="43"/>
  <c r="J165" i="43"/>
  <c r="I165" i="43"/>
  <c r="J166" i="43"/>
  <c r="I166" i="43"/>
  <c r="D87" i="40"/>
  <c r="G87" i="40" s="1"/>
  <c r="E88" i="40"/>
  <c r="A102" i="43"/>
  <c r="B169" i="43"/>
  <c r="C88" i="40"/>
  <c r="B103" i="43"/>
  <c r="C101" i="43"/>
  <c r="N101" i="43" s="1"/>
  <c r="C168" i="43"/>
  <c r="N168" i="43" s="1"/>
  <c r="A168" i="43"/>
  <c r="G168" i="43" s="1"/>
  <c r="G101" i="43"/>
  <c r="G85" i="42"/>
  <c r="I85" i="42" s="1"/>
  <c r="J85" i="42" s="1"/>
  <c r="D167" i="43"/>
  <c r="A88" i="42"/>
  <c r="B90" i="40"/>
  <c r="A89" i="40"/>
  <c r="H89" i="40" s="1"/>
  <c r="K87" i="40" l="1"/>
  <c r="F87" i="40"/>
  <c r="C86" i="42" s="1"/>
  <c r="E86" i="42" s="1"/>
  <c r="F86" i="42" s="1"/>
  <c r="D88" i="40"/>
  <c r="G88" i="40" s="1"/>
  <c r="I88" i="40"/>
  <c r="J88" i="40" s="1"/>
  <c r="P98" i="43"/>
  <c r="P100" i="43"/>
  <c r="O170" i="43"/>
  <c r="O103" i="43"/>
  <c r="P166" i="43"/>
  <c r="P165" i="43"/>
  <c r="J167" i="43"/>
  <c r="I167" i="43"/>
  <c r="B87" i="42"/>
  <c r="A169" i="43"/>
  <c r="G169" i="43" s="1"/>
  <c r="G102" i="43"/>
  <c r="E89" i="40"/>
  <c r="A103" i="43"/>
  <c r="C89" i="40"/>
  <c r="I89" i="40" s="1"/>
  <c r="J89" i="40" s="1"/>
  <c r="E101" i="43"/>
  <c r="L101" i="43" s="1"/>
  <c r="F101" i="43"/>
  <c r="B170" i="43"/>
  <c r="B104" i="43"/>
  <c r="F168" i="43"/>
  <c r="E168" i="43"/>
  <c r="L168" i="43" s="1"/>
  <c r="C102" i="43"/>
  <c r="N102" i="43" s="1"/>
  <c r="C169" i="43"/>
  <c r="N169" i="43" s="1"/>
  <c r="G86" i="42"/>
  <c r="I86" i="42" s="1"/>
  <c r="J86" i="42" s="1"/>
  <c r="D168" i="43"/>
  <c r="A89" i="42"/>
  <c r="B91" i="40"/>
  <c r="A90" i="40"/>
  <c r="H90" i="40" s="1"/>
  <c r="D101" i="43" l="1"/>
  <c r="J101" i="43" s="1"/>
  <c r="K88" i="40"/>
  <c r="G87" i="42" s="1"/>
  <c r="I87" i="42" s="1"/>
  <c r="F88" i="40"/>
  <c r="D102" i="43" s="1"/>
  <c r="J102" i="43" s="1"/>
  <c r="H101" i="43"/>
  <c r="M168" i="43"/>
  <c r="K168" i="43"/>
  <c r="H168" i="43"/>
  <c r="I101" i="43"/>
  <c r="M101" i="43"/>
  <c r="K101" i="43"/>
  <c r="D87" i="42"/>
  <c r="H87" i="42"/>
  <c r="O171" i="43"/>
  <c r="O104" i="43"/>
  <c r="P167" i="43"/>
  <c r="I168" i="43"/>
  <c r="J168" i="43"/>
  <c r="C170" i="43"/>
  <c r="N170" i="43" s="1"/>
  <c r="C103" i="43"/>
  <c r="N103" i="43" s="1"/>
  <c r="B88" i="42"/>
  <c r="E90" i="40"/>
  <c r="A104" i="43"/>
  <c r="E102" i="43"/>
  <c r="L102" i="43" s="1"/>
  <c r="F102" i="43"/>
  <c r="D89" i="40"/>
  <c r="G89" i="40" s="1"/>
  <c r="F169" i="43"/>
  <c r="E169" i="43"/>
  <c r="L169" i="43" s="1"/>
  <c r="B171" i="43"/>
  <c r="B105" i="43"/>
  <c r="C90" i="40"/>
  <c r="A170" i="43"/>
  <c r="G170" i="43" s="1"/>
  <c r="G103" i="43"/>
  <c r="A90" i="42"/>
  <c r="B92" i="40"/>
  <c r="A91" i="40"/>
  <c r="H91" i="40" s="1"/>
  <c r="D169" i="43" l="1"/>
  <c r="C87" i="42"/>
  <c r="E87" i="42" s="1"/>
  <c r="F87" i="42" s="1"/>
  <c r="D90" i="40"/>
  <c r="G90" i="40" s="1"/>
  <c r="I90" i="40"/>
  <c r="J90" i="40" s="1"/>
  <c r="P101" i="43"/>
  <c r="H169" i="43"/>
  <c r="H102" i="43"/>
  <c r="O105" i="43"/>
  <c r="O172" i="43"/>
  <c r="H88" i="42"/>
  <c r="D88" i="42"/>
  <c r="I102" i="43"/>
  <c r="M169" i="43"/>
  <c r="K169" i="43"/>
  <c r="M102" i="43"/>
  <c r="K102" i="43"/>
  <c r="J87" i="42"/>
  <c r="J169" i="43"/>
  <c r="I169" i="43"/>
  <c r="P168" i="43"/>
  <c r="B89" i="42"/>
  <c r="E91" i="40"/>
  <c r="A105" i="43"/>
  <c r="B106" i="43"/>
  <c r="C104" i="43"/>
  <c r="N104" i="43" s="1"/>
  <c r="C171" i="43"/>
  <c r="N171" i="43" s="1"/>
  <c r="B172" i="43"/>
  <c r="A171" i="43"/>
  <c r="G171" i="43" s="1"/>
  <c r="G104" i="43"/>
  <c r="K89" i="40"/>
  <c r="G88" i="42" s="1"/>
  <c r="I88" i="42" s="1"/>
  <c r="F89" i="40"/>
  <c r="F103" i="43"/>
  <c r="E103" i="43"/>
  <c r="L103" i="43" s="1"/>
  <c r="C91" i="40"/>
  <c r="F90" i="40"/>
  <c r="F170" i="43"/>
  <c r="E170" i="43"/>
  <c r="L170" i="43" s="1"/>
  <c r="A91" i="42"/>
  <c r="B93" i="40"/>
  <c r="A92" i="40"/>
  <c r="H92" i="40" s="1"/>
  <c r="K90" i="40" l="1"/>
  <c r="D91" i="40"/>
  <c r="G91" i="40" s="1"/>
  <c r="I91" i="40"/>
  <c r="J91" i="40" s="1"/>
  <c r="P102" i="43"/>
  <c r="M170" i="43"/>
  <c r="K170" i="43"/>
  <c r="M103" i="43"/>
  <c r="K103" i="43"/>
  <c r="H170" i="43"/>
  <c r="H103" i="43"/>
  <c r="O173" i="43"/>
  <c r="O106" i="43"/>
  <c r="H89" i="42"/>
  <c r="D89" i="42"/>
  <c r="J88" i="42"/>
  <c r="P169" i="43"/>
  <c r="B90" i="42"/>
  <c r="F171" i="43"/>
  <c r="E171" i="43"/>
  <c r="L171" i="43" s="1"/>
  <c r="B173" i="43"/>
  <c r="D104" i="43"/>
  <c r="J104" i="43" s="1"/>
  <c r="C89" i="42"/>
  <c r="E89" i="42" s="1"/>
  <c r="E104" i="43"/>
  <c r="L104" i="43" s="1"/>
  <c r="F104" i="43"/>
  <c r="A172" i="43"/>
  <c r="G172" i="43" s="1"/>
  <c r="G105" i="43"/>
  <c r="E92" i="40"/>
  <c r="A106" i="43"/>
  <c r="D170" i="43"/>
  <c r="D103" i="43"/>
  <c r="J103" i="43" s="1"/>
  <c r="C88" i="42"/>
  <c r="E88" i="42" s="1"/>
  <c r="F88" i="42" s="1"/>
  <c r="I93" i="40"/>
  <c r="B107" i="43"/>
  <c r="C172" i="43"/>
  <c r="N172" i="43" s="1"/>
  <c r="C105" i="43"/>
  <c r="N105" i="43" s="1"/>
  <c r="C92" i="40"/>
  <c r="G89" i="42"/>
  <c r="I89" i="42" s="1"/>
  <c r="D171" i="43"/>
  <c r="A92" i="42"/>
  <c r="B94" i="40"/>
  <c r="A93" i="40"/>
  <c r="C93" i="40" s="1"/>
  <c r="K91" i="40" l="1"/>
  <c r="F91" i="40"/>
  <c r="C90" i="42" s="1"/>
  <c r="E90" i="42" s="1"/>
  <c r="B91" i="42"/>
  <c r="H91" i="42" s="1"/>
  <c r="I92" i="40"/>
  <c r="J92" i="40" s="1"/>
  <c r="J89" i="42"/>
  <c r="M171" i="43"/>
  <c r="K171" i="43"/>
  <c r="O174" i="43"/>
  <c r="O107" i="43"/>
  <c r="I104" i="43"/>
  <c r="D90" i="42"/>
  <c r="H90" i="42"/>
  <c r="H104" i="43"/>
  <c r="M104" i="43"/>
  <c r="K104" i="43"/>
  <c r="I103" i="43"/>
  <c r="F89" i="42"/>
  <c r="H171" i="43"/>
  <c r="H93" i="40"/>
  <c r="J171" i="43"/>
  <c r="I171" i="43"/>
  <c r="J170" i="43"/>
  <c r="I170" i="43"/>
  <c r="B108" i="43"/>
  <c r="F172" i="43"/>
  <c r="E172" i="43"/>
  <c r="L172" i="43" s="1"/>
  <c r="B174" i="43"/>
  <c r="C174" i="43"/>
  <c r="N174" i="43" s="1"/>
  <c r="C107" i="43"/>
  <c r="N107" i="43" s="1"/>
  <c r="A173" i="43"/>
  <c r="G173" i="43" s="1"/>
  <c r="G106" i="43"/>
  <c r="C106" i="43"/>
  <c r="N106" i="43" s="1"/>
  <c r="C173" i="43"/>
  <c r="N173" i="43" s="1"/>
  <c r="E93" i="40"/>
  <c r="A107" i="43"/>
  <c r="D93" i="40"/>
  <c r="G93" i="40" s="1"/>
  <c r="E105" i="43"/>
  <c r="L105" i="43" s="1"/>
  <c r="F105" i="43"/>
  <c r="D92" i="40"/>
  <c r="G92" i="40" s="1"/>
  <c r="G90" i="42"/>
  <c r="I90" i="42" s="1"/>
  <c r="D172" i="43"/>
  <c r="A93" i="42"/>
  <c r="B92" i="42"/>
  <c r="D92" i="42" s="1"/>
  <c r="B95" i="40"/>
  <c r="A94" i="40"/>
  <c r="H94" i="40" s="1"/>
  <c r="J93" i="40" l="1"/>
  <c r="D105" i="43"/>
  <c r="J105" i="43" s="1"/>
  <c r="D91" i="42"/>
  <c r="J90" i="42"/>
  <c r="F90" i="42"/>
  <c r="P170" i="43"/>
  <c r="P103" i="43"/>
  <c r="H92" i="42"/>
  <c r="H172" i="43"/>
  <c r="I105" i="43"/>
  <c r="H105" i="43"/>
  <c r="K172" i="43"/>
  <c r="M172" i="43"/>
  <c r="P171" i="43"/>
  <c r="P104" i="43"/>
  <c r="M105" i="43"/>
  <c r="K105" i="43"/>
  <c r="O175" i="43"/>
  <c r="O108" i="43"/>
  <c r="I172" i="43"/>
  <c r="J172" i="43"/>
  <c r="F93" i="40"/>
  <c r="D107" i="43" s="1"/>
  <c r="B109" i="43"/>
  <c r="E107" i="43"/>
  <c r="L107" i="43" s="1"/>
  <c r="F107" i="43"/>
  <c r="F173" i="43"/>
  <c r="E173" i="43"/>
  <c r="L173" i="43" s="1"/>
  <c r="F174" i="43"/>
  <c r="E174" i="43"/>
  <c r="L174" i="43" s="1"/>
  <c r="E94" i="40"/>
  <c r="A108" i="43"/>
  <c r="K92" i="40"/>
  <c r="D173" i="43" s="1"/>
  <c r="F92" i="40"/>
  <c r="C94" i="40"/>
  <c r="A174" i="43"/>
  <c r="G174" i="43" s="1"/>
  <c r="G107" i="43"/>
  <c r="E106" i="43"/>
  <c r="L106" i="43" s="1"/>
  <c r="F106" i="43"/>
  <c r="B175" i="43"/>
  <c r="A94" i="42"/>
  <c r="K93" i="40"/>
  <c r="B96" i="40"/>
  <c r="A95" i="40"/>
  <c r="H95" i="40" s="1"/>
  <c r="B93" i="42" l="1"/>
  <c r="H93" i="42" s="1"/>
  <c r="I94" i="40"/>
  <c r="J94" i="40" s="1"/>
  <c r="J107" i="43"/>
  <c r="H174" i="43"/>
  <c r="P105" i="43"/>
  <c r="D93" i="42"/>
  <c r="M107" i="43"/>
  <c r="K107" i="43"/>
  <c r="H106" i="43"/>
  <c r="H173" i="43"/>
  <c r="O109" i="43"/>
  <c r="O176" i="43"/>
  <c r="K173" i="43"/>
  <c r="M173" i="43"/>
  <c r="M106" i="43"/>
  <c r="K106" i="43"/>
  <c r="K174" i="43"/>
  <c r="M174" i="43"/>
  <c r="H107" i="43"/>
  <c r="I107" i="43"/>
  <c r="J173" i="43"/>
  <c r="I173" i="43"/>
  <c r="P172" i="43"/>
  <c r="C92" i="42"/>
  <c r="E92" i="42" s="1"/>
  <c r="F92" i="42" s="1"/>
  <c r="G91" i="42"/>
  <c r="I91" i="42" s="1"/>
  <c r="J91" i="42" s="1"/>
  <c r="A175" i="43"/>
  <c r="G175" i="43" s="1"/>
  <c r="G108" i="43"/>
  <c r="E95" i="40"/>
  <c r="A109" i="43"/>
  <c r="C91" i="42"/>
  <c r="E91" i="42" s="1"/>
  <c r="F91" i="42" s="1"/>
  <c r="D106" i="43"/>
  <c r="J106" i="43" s="1"/>
  <c r="C95" i="40"/>
  <c r="C108" i="43"/>
  <c r="N108" i="43" s="1"/>
  <c r="C175" i="43"/>
  <c r="N175" i="43" s="1"/>
  <c r="B176" i="43"/>
  <c r="B110" i="43"/>
  <c r="D94" i="40"/>
  <c r="G94" i="40" s="1"/>
  <c r="G92" i="42"/>
  <c r="I92" i="42" s="1"/>
  <c r="J92" i="42" s="1"/>
  <c r="D174" i="43"/>
  <c r="A95" i="42"/>
  <c r="A96" i="40"/>
  <c r="H96" i="40" s="1"/>
  <c r="D95" i="40" l="1"/>
  <c r="G95" i="40" s="1"/>
  <c r="I95" i="40"/>
  <c r="J95" i="40" s="1"/>
  <c r="B94" i="42"/>
  <c r="H94" i="42" s="1"/>
  <c r="P107" i="43"/>
  <c r="O177" i="43"/>
  <c r="O110" i="43"/>
  <c r="I106" i="43"/>
  <c r="P173" i="43"/>
  <c r="J174" i="43"/>
  <c r="I174" i="43"/>
  <c r="E96" i="40"/>
  <c r="A110" i="43"/>
  <c r="F175" i="43"/>
  <c r="E175" i="43"/>
  <c r="L175" i="43" s="1"/>
  <c r="A176" i="43"/>
  <c r="G176" i="43" s="1"/>
  <c r="G109" i="43"/>
  <c r="F108" i="43"/>
  <c r="E108" i="43"/>
  <c r="L108" i="43" s="1"/>
  <c r="B177" i="43"/>
  <c r="K94" i="40"/>
  <c r="D175" i="43" s="1"/>
  <c r="F94" i="40"/>
  <c r="C96" i="40"/>
  <c r="C109" i="43"/>
  <c r="N109" i="43" s="1"/>
  <c r="C176" i="43"/>
  <c r="N176" i="43" s="1"/>
  <c r="K95" i="40" l="1"/>
  <c r="F95" i="40"/>
  <c r="C94" i="42" s="1"/>
  <c r="E94" i="42" s="1"/>
  <c r="D96" i="40"/>
  <c r="G96" i="40" s="1"/>
  <c r="I96" i="40"/>
  <c r="J96" i="40" s="1"/>
  <c r="D94" i="42"/>
  <c r="H175" i="43"/>
  <c r="P106" i="43"/>
  <c r="H108" i="43"/>
  <c r="K175" i="43"/>
  <c r="M175" i="43"/>
  <c r="P174" i="43"/>
  <c r="M108" i="43"/>
  <c r="K108" i="43"/>
  <c r="J175" i="43"/>
  <c r="I175" i="43"/>
  <c r="B95" i="42"/>
  <c r="G93" i="42"/>
  <c r="I93" i="42" s="1"/>
  <c r="J93" i="42" s="1"/>
  <c r="E109" i="43"/>
  <c r="L109" i="43" s="1"/>
  <c r="F109" i="43"/>
  <c r="C177" i="43"/>
  <c r="N177" i="43" s="1"/>
  <c r="C110" i="43"/>
  <c r="N110" i="43" s="1"/>
  <c r="A177" i="43"/>
  <c r="G177" i="43" s="1"/>
  <c r="G110" i="43"/>
  <c r="D108" i="43"/>
  <c r="J108" i="43" s="1"/>
  <c r="C93" i="42"/>
  <c r="E93" i="42" s="1"/>
  <c r="F93" i="42" s="1"/>
  <c r="F176" i="43"/>
  <c r="E176" i="43"/>
  <c r="L176" i="43" s="1"/>
  <c r="G94" i="42"/>
  <c r="I94" i="42" s="1"/>
  <c r="J94" i="42" s="1"/>
  <c r="D176" i="43"/>
  <c r="D109" i="43" l="1"/>
  <c r="J109" i="43" s="1"/>
  <c r="K96" i="40"/>
  <c r="D177" i="43" s="1"/>
  <c r="F96" i="40"/>
  <c r="D110" i="43" s="1"/>
  <c r="J110" i="43" s="1"/>
  <c r="F94" i="42"/>
  <c r="H109" i="43"/>
  <c r="P175" i="43"/>
  <c r="M109" i="43"/>
  <c r="K109" i="43"/>
  <c r="K176" i="43"/>
  <c r="M176" i="43"/>
  <c r="I108" i="43"/>
  <c r="H176" i="43"/>
  <c r="I109" i="43"/>
  <c r="H95" i="42"/>
  <c r="D95" i="42"/>
  <c r="I176" i="43"/>
  <c r="J176" i="43"/>
  <c r="E177" i="43"/>
  <c r="L177" i="43" s="1"/>
  <c r="F177" i="43"/>
  <c r="E110" i="43"/>
  <c r="L110" i="43" s="1"/>
  <c r="F110" i="43"/>
  <c r="G95" i="42"/>
  <c r="I95" i="42" s="1"/>
  <c r="C95" i="42" l="1"/>
  <c r="P108" i="43"/>
  <c r="J95" i="42"/>
  <c r="I35" i="42" s="1"/>
  <c r="I11" i="42" s="1"/>
  <c r="P109" i="43"/>
  <c r="K110" i="43"/>
  <c r="M110" i="43"/>
  <c r="M177" i="43"/>
  <c r="K177" i="43"/>
  <c r="E95" i="42"/>
  <c r="F95" i="42" s="1"/>
  <c r="E35" i="42" s="1"/>
  <c r="I10" i="42" s="1"/>
  <c r="I110" i="43"/>
  <c r="H110" i="43"/>
  <c r="H177" i="43"/>
  <c r="J177" i="43"/>
  <c r="I177" i="43"/>
  <c r="P176" i="43"/>
  <c r="I12" i="42" l="1"/>
  <c r="P110" i="43"/>
  <c r="O50" i="43" s="1"/>
  <c r="H10" i="43" s="1"/>
  <c r="P177" i="43"/>
  <c r="O117" i="43" s="1"/>
  <c r="H11" i="43" s="1"/>
  <c r="H12" i="43" l="1"/>
</calcChain>
</file>

<file path=xl/sharedStrings.xml><?xml version="1.0" encoding="utf-8"?>
<sst xmlns="http://schemas.openxmlformats.org/spreadsheetml/2006/main" count="579" uniqueCount="334">
  <si>
    <t>Project:</t>
  </si>
  <si>
    <t>Tariff:</t>
  </si>
  <si>
    <t>Effective:</t>
  </si>
  <si>
    <t>Type:</t>
  </si>
  <si>
    <t>Participant:</t>
  </si>
  <si>
    <t>Start</t>
  </si>
  <si>
    <t>Contract Stages</t>
  </si>
  <si>
    <t>Total</t>
  </si>
  <si>
    <t>Stage</t>
  </si>
  <si>
    <t>Date</t>
  </si>
  <si>
    <t>No</t>
  </si>
  <si>
    <t>To:</t>
  </si>
  <si>
    <t>Number:</t>
  </si>
  <si>
    <t>Other</t>
  </si>
  <si>
    <t>Participant</t>
  </si>
  <si>
    <t>This Participant</t>
  </si>
  <si>
    <t>Any Other Market Participant(s) at Substation?</t>
  </si>
  <si>
    <t>Month</t>
  </si>
  <si>
    <t>PROJECT DETAILS</t>
  </si>
  <si>
    <t>CONTRACT DETAILS</t>
  </si>
  <si>
    <t>Prepared by:</t>
  </si>
  <si>
    <t>Date:</t>
  </si>
  <si>
    <t>Version:</t>
  </si>
  <si>
    <t>Description</t>
  </si>
  <si>
    <t>Reference</t>
  </si>
  <si>
    <t>(a)</t>
  </si>
  <si>
    <t>(b)</t>
  </si>
  <si>
    <t>(c)</t>
  </si>
  <si>
    <t>(d)</t>
  </si>
  <si>
    <t>(e)</t>
  </si>
  <si>
    <t>(f)</t>
  </si>
  <si>
    <t>(g)</t>
  </si>
  <si>
    <t>(h)</t>
  </si>
  <si>
    <t>(i)</t>
  </si>
  <si>
    <t>(j)</t>
  </si>
  <si>
    <t>Version</t>
  </si>
  <si>
    <t>Revision History</t>
  </si>
  <si>
    <t>Current</t>
  </si>
  <si>
    <t>Confidentiality: Public</t>
  </si>
  <si>
    <t>1         Purpose</t>
  </si>
  <si>
    <t xml:space="preserve">Information Document and any Authoritative Document(s) in effect, the Authoritative Document(s) </t>
  </si>
  <si>
    <t>governs.</t>
  </si>
  <si>
    <t xml:space="preserve">market participants or the AESO, or both. Authoritative Documents include: the ISO rules, the Alberta reliability </t>
  </si>
  <si>
    <t>standards and the ISO tariff.</t>
  </si>
  <si>
    <r>
      <rPr>
        <vertAlign val="superscript"/>
        <sz val="9"/>
        <rFont val="Arial"/>
        <family val="2"/>
      </rPr>
      <t>1</t>
    </r>
    <r>
      <rPr>
        <sz val="9"/>
        <rFont val="Arial"/>
        <family val="2"/>
      </rPr>
      <t xml:space="preserve"> “Authoritative Documents” is the general name given by the AESO to categories of documents made by the AESO </t>
    </r>
  </si>
  <si>
    <r>
      <t xml:space="preserve">under the authority of the </t>
    </r>
    <r>
      <rPr>
        <i/>
        <sz val="9"/>
        <rFont val="Arial"/>
        <family val="2"/>
      </rPr>
      <t>Electric Utilities Act</t>
    </r>
    <r>
      <rPr>
        <sz val="9"/>
        <rFont val="Arial"/>
        <family val="2"/>
      </rPr>
      <t xml:space="preserve"> and regulations, and that contain binding legal requirements for either </t>
    </r>
  </si>
  <si>
    <t xml:space="preserve"> </t>
  </si>
  <si>
    <t xml:space="preserve">purposes only and are intended to provide guidance. In the event of any discrepancy between an </t>
  </si>
  <si>
    <t>Posting Date</t>
  </si>
  <si>
    <t>Capacity</t>
  </si>
  <si>
    <t>Will Capacity be Reduced or Terminated?</t>
  </si>
  <si>
    <t>Date Request Was Received by AESO:</t>
  </si>
  <si>
    <t>Discount Rate for Calculation of PILON:</t>
  </si>
  <si>
    <t>Contracted After Request</t>
  </si>
  <si>
    <t>Contracted Prior to Request</t>
  </si>
  <si>
    <t>Notice</t>
  </si>
  <si>
    <t>Period</t>
  </si>
  <si>
    <t>Attachment A1: Contract Details</t>
  </si>
  <si>
    <t>Attachment A2: Billing History</t>
  </si>
  <si>
    <t>Production</t>
  </si>
  <si>
    <t>Contract</t>
  </si>
  <si>
    <t>Highest</t>
  </si>
  <si>
    <t>Metered</t>
  </si>
  <si>
    <t>Demand</t>
  </si>
  <si>
    <t>Tariff</t>
  </si>
  <si>
    <t>Energy</t>
  </si>
  <si>
    <t>Coincident</t>
  </si>
  <si>
    <t>Days</t>
  </si>
  <si>
    <t>in</t>
  </si>
  <si>
    <t>Load</t>
  </si>
  <si>
    <t>Factor</t>
  </si>
  <si>
    <t>Coincidence</t>
  </si>
  <si>
    <t>(MW)</t>
  </si>
  <si>
    <t>(MWh)</t>
  </si>
  <si>
    <t>(%)</t>
  </si>
  <si>
    <t>Override</t>
  </si>
  <si>
    <t>24-MONTH HISTORICAL BILLING DATA</t>
  </si>
  <si>
    <t>Substation Fractions at Substation</t>
  </si>
  <si>
    <t>BILLING VALUES</t>
  </si>
  <si>
    <t>After Request</t>
  </si>
  <si>
    <t>Prior to Request</t>
  </si>
  <si>
    <t>Billing</t>
  </si>
  <si>
    <t>24-Month</t>
  </si>
  <si>
    <t>Peak</t>
  </si>
  <si>
    <t>Start of Five-Year Notice Period:</t>
  </si>
  <si>
    <t>Adjusted</t>
  </si>
  <si>
    <t>§9:4(1)</t>
  </si>
  <si>
    <t>Excess</t>
  </si>
  <si>
    <t>Bulk</t>
  </si>
  <si>
    <t>System</t>
  </si>
  <si>
    <t>Regional</t>
  </si>
  <si>
    <t>Charges</t>
  </si>
  <si>
    <t>Bulk System Charge</t>
  </si>
  <si>
    <t>Regional System Charge</t>
  </si>
  <si>
    <t>/MWh</t>
  </si>
  <si>
    <t>DTS Only</t>
  </si>
  <si>
    <t>Amounts With PILON</t>
  </si>
  <si>
    <t>Amounts Without PILON</t>
  </si>
  <si>
    <t>($)</t>
  </si>
  <si>
    <t>Attachment A4: Demands During Notice Period</t>
  </si>
  <si>
    <t>Attachment A3: Payment in Lieu of Notice (PILON)</t>
  </si>
  <si>
    <t>Calculation of Lump Sum Payment in Lieu of All or a Portion of Five-Year Notice Period</t>
  </si>
  <si>
    <t>Present Value at PILON Date:</t>
  </si>
  <si>
    <t>•  Present value of system charges with original contract capacity:</t>
  </si>
  <si>
    <t>•  Present value of system charges with reduced contract capacity:</t>
  </si>
  <si>
    <t>Lump sum payment in lieu of notice normally required:</t>
  </si>
  <si>
    <t>/MW</t>
  </si>
  <si>
    <t>Rate DTS Component</t>
  </si>
  <si>
    <t>Charge</t>
  </si>
  <si>
    <t>3(1) Connection Charge</t>
  </si>
  <si>
    <t>The amounts calculated above are based on the charges, values, and demand amounts provided below.</t>
  </si>
  <si>
    <t>Demands and Charges During Five-Year Notice Period</t>
  </si>
  <si>
    <t>No.</t>
  </si>
  <si>
    <t>(Months)</t>
  </si>
  <si>
    <r>
      <t>Contract Capacities at Substation</t>
    </r>
    <r>
      <rPr>
        <sz val="10"/>
        <rFont val="Arial"/>
        <family val="2"/>
      </rPr>
      <t xml:space="preserve"> (MW)</t>
    </r>
  </si>
  <si>
    <r>
      <t>Five-Year Notice</t>
    </r>
    <r>
      <rPr>
        <sz val="10"/>
        <rFont val="Arial"/>
        <family val="2"/>
      </rPr>
      <t xml:space="preserve"> (MW)</t>
    </r>
  </si>
  <si>
    <r>
      <t>Payment in Lieu of Notice (PILON)</t>
    </r>
    <r>
      <rPr>
        <sz val="10"/>
        <rFont val="Arial"/>
        <family val="2"/>
      </rPr>
      <t xml:space="preserve"> (MW)</t>
    </r>
  </si>
  <si>
    <t>DEMANDS DURING FIVE-YEAR NOTICE PERIOD WITHOUT AND WITH PAYMENT IN LIEU OF NOTICE</t>
  </si>
  <si>
    <t>Date PILON Must Be Received by AESO:</t>
  </si>
  <si>
    <t>Point of</t>
  </si>
  <si>
    <t>Delivery</t>
  </si>
  <si>
    <t>Operating</t>
  </si>
  <si>
    <t>Reserve</t>
  </si>
  <si>
    <t>Voltage</t>
  </si>
  <si>
    <t>Control</t>
  </si>
  <si>
    <t>Support</t>
  </si>
  <si>
    <t>Rate DTS</t>
  </si>
  <si>
    <t>Point of Delivery Charge</t>
  </si>
  <si>
    <t>4(2) Operating Reserve Charge</t>
  </si>
  <si>
    <t>/month</t>
  </si>
  <si>
    <t>Rate DTS Charge</t>
  </si>
  <si>
    <t>Fraction</t>
  </si>
  <si>
    <t>(SF)</t>
  </si>
  <si>
    <t>Substation</t>
  </si>
  <si>
    <t>Primary</t>
  </si>
  <si>
    <t>Service</t>
  </si>
  <si>
    <t>Credit</t>
  </si>
  <si>
    <t>PILON:</t>
  </si>
  <si>
    <t>Charges before expected date of receipt of PILON are not included</t>
  </si>
  <si>
    <t>Value</t>
  </si>
  <si>
    <t>Other Amounts Used in Calculation</t>
  </si>
  <si>
    <t xml:space="preserve">Rate DTS Charges and PSC Credit During Five-Year Notice Period Without PILON </t>
  </si>
  <si>
    <t xml:space="preserve">Rate DTS Charges and PSC Credit During Five-Year Notice Period With PILON </t>
  </si>
  <si>
    <t>Rate PSC Credit</t>
  </si>
  <si>
    <t>Unit</t>
  </si>
  <si>
    <t>Other Amounts Used</t>
  </si>
  <si>
    <t>Calculation of Rate DTS Charges During Five-Year Notice Period</t>
  </si>
  <si>
    <t>•  Present value of Rate DTS charges with original contract capacity:</t>
  </si>
  <si>
    <t>•  Present value of Rate DTS charges with reduced contract capacity:</t>
  </si>
  <si>
    <t>Present value of reduction in Rate DTS charges at PILON date:</t>
  </si>
  <si>
    <t>(a) Coincident metered demand</t>
  </si>
  <si>
    <t>(b) Metered energy</t>
  </si>
  <si>
    <t>(c) Billing capacity</t>
  </si>
  <si>
    <t>(d) Metered energy</t>
  </si>
  <si>
    <t>(f) Load factor</t>
  </si>
  <si>
    <t>(g) Discount rate</t>
  </si>
  <si>
    <t>(e) Coincidence factor</t>
  </si>
  <si>
    <t>(e) Substation fraction (SF)</t>
  </si>
  <si>
    <t>(f) First (7.5 × SF) MW of billing capacity</t>
  </si>
  <si>
    <t>(g) Next (9.5 × SF) MW of billing capacity</t>
  </si>
  <si>
    <t>(h) Next (23 × SF) MW of billing capacity</t>
  </si>
  <si>
    <t>(i) All remaining MW of billing capacity</t>
  </si>
  <si>
    <t>(j) Pool price</t>
  </si>
  <si>
    <t>(k) Multiplier</t>
  </si>
  <si>
    <t>(l) Metered energy</t>
  </si>
  <si>
    <t>(n) Coincidence factor</t>
  </si>
  <si>
    <t>(o) Load factor</t>
  </si>
  <si>
    <t>(p) Discount rate</t>
  </si>
  <si>
    <t>Additional Detail: Rate DTS Charges</t>
  </si>
  <si>
    <t>Account</t>
  </si>
  <si>
    <t>Number</t>
  </si>
  <si>
    <t>Name</t>
  </si>
  <si>
    <t>Average Over Most Recent 12 Months of History</t>
  </si>
  <si>
    <t>“Override” value(s), if entered, will be used instead of “Average” value(s) for bill calculations</t>
  </si>
  <si>
    <r>
      <t xml:space="preserve">•    section 9 of the ISO tariff, </t>
    </r>
    <r>
      <rPr>
        <i/>
        <sz val="10"/>
        <rFont val="Arial"/>
        <family val="2"/>
      </rPr>
      <t>Changes to System Access Service After Energization</t>
    </r>
    <r>
      <rPr>
        <sz val="10"/>
        <rFont val="Arial"/>
        <family val="2"/>
      </rPr>
      <t>.</t>
    </r>
  </si>
  <si>
    <t>2         Completing the PILON Calculator</t>
  </si>
  <si>
    <t>Name of Market Participant (Customer)</t>
  </si>
  <si>
    <t>Project Name</t>
  </si>
  <si>
    <t>Project Number</t>
  </si>
  <si>
    <t>Name of Preparer</t>
  </si>
  <si>
    <t>Date Prepared</t>
  </si>
  <si>
    <t>Reduced</t>
  </si>
  <si>
    <t>Does Primary Service Credit Apply to Service?</t>
  </si>
  <si>
    <t>Pool Price ($/MWh):</t>
  </si>
  <si>
    <t>5  Transmission Constraint Rebalancing Charge</t>
  </si>
  <si>
    <t>(m) Metered energy</t>
  </si>
  <si>
    <t>6  Voltage Control Charge</t>
  </si>
  <si>
    <t>7  Other System Support Services Charge</t>
  </si>
  <si>
    <t>(n) Highest metered demand</t>
  </si>
  <si>
    <t>Constraint</t>
  </si>
  <si>
    <t>Rebalancing</t>
  </si>
  <si>
    <t xml:space="preserve">Information Documents are not authoritative. Information Documents are provided for information </t>
  </si>
  <si>
    <t xml:space="preserve">The purpose of this Information Document is to provide a tool for the calculation of a lump sum payment </t>
  </si>
  <si>
    <t xml:space="preserve">in lieu of all or a portion of the five-year notice period for a reduction or termination of contract capacity for </t>
  </si>
  <si>
    <r>
      <t xml:space="preserve">system access service under Rate DTS, </t>
    </r>
    <r>
      <rPr>
        <i/>
        <sz val="10"/>
        <rFont val="Arial"/>
        <family val="2"/>
      </rPr>
      <t>Demand Transmission Service</t>
    </r>
    <r>
      <rPr>
        <sz val="10"/>
        <rFont val="Arial"/>
        <family val="2"/>
      </rPr>
      <t xml:space="preserve">. The calculations described in </t>
    </r>
  </si>
  <si>
    <t xml:space="preserve">The calculations described in this Information Document do not include any adjustment to a construction </t>
  </si>
  <si>
    <t xml:space="preserve">contribution that may also be required for a reduction or termination of contract capacity, under </t>
  </si>
  <si>
    <t xml:space="preserve">This section describes how a market participant may complete the payment in lieu of notice (“PILON”) </t>
  </si>
  <si>
    <t xml:space="preserve">calculator to calculate a lump sum payment for a reduction or termination of contract capacity before the </t>
  </si>
  <si>
    <t>Initial Steps</t>
  </si>
  <si>
    <t>Confirm that the PILON calculator applies to the project by checking the effective dates in the upper right-</t>
  </si>
  <si>
    <t xml:space="preserve">hand corner of the “A1 Contract” sheet. A PILON is calculated under the provisions of the ISO tariff in </t>
  </si>
  <si>
    <t xml:space="preserve">effect on the date on which the reduction or termination of contract capacity will be effective, after receipt </t>
  </si>
  <si>
    <t xml:space="preserve">of the PILON by the AESO. (The date of reduction or termination is entered on row (g) of the “A1 </t>
  </si>
  <si>
    <t xml:space="preserve">Contract” sheet.) If the reduction or termination is expected to occur on a future date, the PILON is </t>
  </si>
  <si>
    <t>calculated using the latest PILON calculator published by the AESO.</t>
  </si>
  <si>
    <t xml:space="preserve">Enter the values used in the determination of a PILON on the “A1 Contract” and “A2 History” sheets only, </t>
  </si>
  <si>
    <t xml:space="preserve">in the cells highlighted in yellow. Enter information identifying the project and relating to the preparation of </t>
  </si>
  <si>
    <t xml:space="preserve">the calculation at the top of the “A1 Contract” sheet (replacing the default text). Input messages have </t>
  </si>
  <si>
    <t>been provided for cells where information is to be entered.</t>
  </si>
  <si>
    <t xml:space="preserve">Entering certain combinations of cell values may cause an error message to appear to the right of the </t>
  </si>
  <si>
    <t xml:space="preserve">printable area of the “A1 Contract” sheet. An error message generally indicates how the error can be </t>
  </si>
  <si>
    <t>corrected. Related cells are highlighted in red for most error messages.</t>
  </si>
  <si>
    <t>Project Details</t>
  </si>
  <si>
    <t xml:space="preserve">Provide project details by making the applicable choices in rows (a) and (b) of the “A1 Contract” sheet. </t>
  </si>
  <si>
    <t xml:space="preserve">The choices selected in these cells affect other input cells on the sheet as well as calculations on other </t>
  </si>
  <si>
    <t>sheets.</t>
  </si>
  <si>
    <t>Contract Details</t>
  </si>
  <si>
    <t xml:space="preserve">Select whether the request is for a reduction or termination of contract capacity in row (c) of the </t>
  </si>
  <si>
    <t xml:space="preserve">“A1 Contract” sheet. Enter the actual date on which the request was received by the AESO in row (d). </t>
  </si>
  <si>
    <t xml:space="preserve">The AESO administers all contract-related changes to occur on the first of the month following a request, </t>
  </si>
  <si>
    <t>notice, or payment, unless specified otherwise in the ISO tariff.</t>
  </si>
  <si>
    <t xml:space="preserve">If a PILON is not paid, a requested reduction or termination of contract capacity will become effective </t>
  </si>
  <si>
    <t xml:space="preserve">period starts on the first day of the month following receipt of the request, which is indicated in row (e) of </t>
  </si>
  <si>
    <t xml:space="preserve">the “A1 Contract” sheet. If a PILON is not paid, the date on which the reduction or termination will become </t>
  </si>
  <si>
    <t>effective (five years later) is indicated in row (h).</t>
  </si>
  <si>
    <t xml:space="preserve">A market participant may request determination of a PILON at the same time as a request for reduction or </t>
  </si>
  <si>
    <t xml:space="preserve">termination of contract capacity or at any later time during the five-year notice period. Typically, 90 days </t>
  </si>
  <si>
    <t xml:space="preserve">should be allowed from the date of a PILON request to the date of PILON payment, to provide sufficient </t>
  </si>
  <si>
    <t>time for processing, determination, review, and approval of the PILON.</t>
  </si>
  <si>
    <t xml:space="preserve">If a PILON is paid, the reduction or termination of contract capacity will become effective before the end </t>
  </si>
  <si>
    <t xml:space="preserve">of the five-year notice period. Enter the effective date of a reduction or termination if the PILON is paid in </t>
  </si>
  <si>
    <t>row (g) of the “A1 Contract” sheet.</t>
  </si>
  <si>
    <t xml:space="preserve">The AESO must receive the PILON at least 30 days before the reduction or termination of contract </t>
  </si>
  <si>
    <t>date by which the AESO must receive the PILON is indicated in row (f) of the “A1 Contract” sheet.</t>
  </si>
  <si>
    <t xml:space="preserve">Enter the discount rate in row (i). The discount rate is determined in accordance with subsection 11 of </t>
  </si>
  <si>
    <t xml:space="preserve">on the date that the reduction or termination of contract capacity will be effective, after receipt of the </t>
  </si>
  <si>
    <t xml:space="preserve">PILON by the AESO. If a discount rate is not yet available for that date, the discount rate entered is the </t>
  </si>
  <si>
    <t>most recent rate available.</t>
  </si>
  <si>
    <r>
      <rPr>
        <i/>
        <sz val="10"/>
        <rFont val="Arial"/>
        <family val="2"/>
      </rPr>
      <t>ISO Tariff</t>
    </r>
    <r>
      <rPr>
        <sz val="10"/>
        <rFont val="Arial"/>
        <family val="2"/>
      </rPr>
      <t xml:space="preserve">, which is updated regularly by the AESO. The discount rate entered is the rate that is in effect </t>
    </r>
  </si>
  <si>
    <t xml:space="preserve">A market participant may contract for different levels of contract capacity over the life of a system access </t>
  </si>
  <si>
    <t xml:space="preserve">service. Each different contract capacity, and its associated duration, is referred to as a contract “stage”. </t>
  </si>
  <si>
    <t xml:space="preserve">Enter start dates and contract capacities for each contract stage from the start of the five-year notice </t>
  </si>
  <si>
    <t>period to the final stage of the contract.</t>
  </si>
  <si>
    <t xml:space="preserve">For each contract stage on the “A1 Contract” sheet, the contract capacity is entered as total (not </t>
  </si>
  <si>
    <t xml:space="preserve">incremental) capacity. For example, if a market participant contracts initially for 20 MW in stage (1) with a </t>
  </si>
  <si>
    <t xml:space="preserve">later increase of 10 MW in stage (2), those amounts are entered as 20 MW in stage (1) and 30 MW in </t>
  </si>
  <si>
    <t>stage (2).</t>
  </si>
  <si>
    <t xml:space="preserve">For each contract stage, the contract capacities that existed prior to the request for reduction or </t>
  </si>
  <si>
    <t xml:space="preserve">termination of capacity are entered in the right-hand section (“Contracted Prior to Request”) of the </t>
  </si>
  <si>
    <t xml:space="preserve">contract stages table (with the contract capacities matching those on the most recent construction </t>
  </si>
  <si>
    <t xml:space="preserve">contribution decision (“CCD”) prepared for the system access service). The contract capacities that have </t>
  </si>
  <si>
    <t xml:space="preserve">been requested are entered in the middle section (“Contracted After Request”) of the contract stages </t>
  </si>
  <si>
    <t>table. A requested termination of contract capacity is entered as zero (“0”) MW.</t>
  </si>
  <si>
    <t xml:space="preserve">For each contract stage, the applicable contract capacity amount is entered in each cell that is not shaded </t>
  </si>
  <si>
    <t xml:space="preserve">with diagonal lines. For example, if “Other Participant” capacity remained at 10 MW through multiple </t>
  </si>
  <si>
    <t xml:space="preserve">stages of a system access service, 10 MW is entered in the “Other Participant” column in the row for each </t>
  </si>
  <si>
    <t xml:space="preserve">stage of the project (for stage (1), stage (2), stage (3) and so on). If an unshaded capacity cell is left blank </t>
  </si>
  <si>
    <t>in a row, it is treated as an amount of zero (“0”) MW.</t>
  </si>
  <si>
    <t>Pool Price</t>
  </si>
  <si>
    <t xml:space="preserve">The average pool price for the year in which the reduction or termination of contract capacity will be </t>
  </si>
  <si>
    <t xml:space="preserve">effective is entered in row (j) of the “A1 Contract” sheet. Forecast pool price is available in the AESO </t>
  </si>
  <si>
    <t xml:space="preserve">Board Decision on the AESO’s Business Plan and Budget Proposal for the applicable year, which is </t>
  </si>
  <si>
    <t>most recent pool price available.</t>
  </si>
  <si>
    <t>24-Month Historical Billing Data</t>
  </si>
  <si>
    <t xml:space="preserve">On the “A2 History” sheet, historical billing data for 24 months is entered for the system access service for </t>
  </si>
  <si>
    <t xml:space="preserve">which the reduction or termination is requested. The required data may be obtained from the most-recent </t>
  </si>
  <si>
    <t xml:space="preserve">monthly settlement data files for the system access service or may be requested from Settlement at the </t>
  </si>
  <si>
    <t>AESO.</t>
  </si>
  <si>
    <t xml:space="preserve">If historical billing data is copied from another source, it is pasted as values into the “A2 History” sheet </t>
  </si>
  <si>
    <t xml:space="preserve">using the “Paste Values” or “Paste Special &gt; Values” command on the Home tab in Microsoft Excel (or </t>
  </si>
  <si>
    <t xml:space="preserve">using the keyboard shortcut CTRL+ALT+V). Historical billing data is entered or pasted in ascending </t>
  </si>
  <si>
    <t>production month order (from oldest month to most recent month).</t>
  </si>
  <si>
    <t xml:space="preserve">The coincidence factor (coincident metered demand divided by highest metered demand) and load factor </t>
  </si>
  <si>
    <t xml:space="preserve">are calculated for each month of historical billing data. The most recent twelve months of data are then </t>
  </si>
  <si>
    <t xml:space="preserve">averaged to provide average coincidence and load factors. However, changes to electricity usage by the </t>
  </si>
  <si>
    <t xml:space="preserve">market participant’s facilities may result in future coincidence and load factors being materially different </t>
  </si>
  <si>
    <t xml:space="preserve">from historical coincidence and load factors. If such differences are expected, future coincidence and load </t>
  </si>
  <si>
    <t xml:space="preserve">factors may be entered in the “Override” cells on the “A2 History” sheet. An “Override” value, if entered, </t>
  </si>
  <si>
    <t>will be used instead of the calculated “Average” value for bill calculations.</t>
  </si>
  <si>
    <t>3         PILON Determination</t>
  </si>
  <si>
    <t xml:space="preserve">After all relevant values have been entered or selected on the “A1 Contract” and “A2 History” sheets, the </t>
  </si>
  <si>
    <t xml:space="preserve">PILON determination is summarized on the “A3 PILON” sheet. The determination reflects the present </t>
  </si>
  <si>
    <t xml:space="preserve">value of the difference in bulk system and regional system charges which would be attributed to the </t>
  </si>
  <si>
    <t xml:space="preserve">service with and without the reduction or termination of contract capacity during the notice period, in </t>
  </si>
  <si>
    <t xml:space="preserve">The lump-sum payment in lieu of notice normally required is provided near the top of the “A3 PILON” </t>
  </si>
  <si>
    <t xml:space="preserve">sheet. The payment requirement may be waived or reduced in certain circumstances as described in </t>
  </si>
  <si>
    <t xml:space="preserve">The demands and charges used for the PILON determination are provided on the “A3 PILON” sheet for </t>
  </si>
  <si>
    <t xml:space="preserve">every month during the five-year notice period. Additional information on the demands used for the </t>
  </si>
  <si>
    <t xml:space="preserve">PILON determination is provided on the “A4 Demands” sheet. In particular, the 24-month peak demand </t>
  </si>
  <si>
    <t xml:space="preserve">that is used in the determination of billing capacity is provided during the five-year notice period with and </t>
  </si>
  <si>
    <t xml:space="preserve">without the PILON on the “A4 Demands” sheet. After the effective date of a reduction in contract capacity, </t>
  </si>
  <si>
    <t xml:space="preserve">the 24-month peak demand is reduced by the capacity reduction, which may reduce billing capacity. </t>
  </si>
  <si>
    <t xml:space="preserve">However, any new peak demands established after the effective date of a reduction may establish a new </t>
  </si>
  <si>
    <t>24-month peak demand, which may then increase billing capacity.</t>
  </si>
  <si>
    <t>refundable nor applicable as an offset to future bills after its effective date.</t>
  </si>
  <si>
    <t xml:space="preserve">A PILON determination is based on load and contract capacity reduction or termination information </t>
  </si>
  <si>
    <t xml:space="preserve">provided to the AESO by the market participant. If actual loads or contract capacities materially differ from </t>
  </si>
  <si>
    <t xml:space="preserve">the expected amounts, the AESO may re-assess a PILON and require an additional payment from the </t>
  </si>
  <si>
    <t xml:space="preserve">These first four sheets (“A1 Contract”, “A2 History”, “A3 PILON” and “A4 Demands”) are set up for </t>
  </si>
  <si>
    <t>printing, each as a letter-size page.</t>
  </si>
  <si>
    <t>4         Additional Detail</t>
  </si>
  <si>
    <t xml:space="preserve">Detailed monthly charges under Rate DTS with and without PILON are provided in an additional sheet. </t>
  </si>
  <si>
    <t xml:space="preserve">These calculations appear on the “Rate DTS Charges” sheet. Note that the PILON is based only on bulk </t>
  </si>
  <si>
    <t>system and regional system charges; other Rate DTS charges are provided for information only.</t>
  </si>
  <si>
    <t xml:space="preserve">The amounts in the “Rate DTS Charges” sheet are based on values entered or selected on the </t>
  </si>
  <si>
    <t>at the top of the sheet. The “Rate DTS Charges” sheet is not specifically set up for printing.</t>
  </si>
  <si>
    <t>Page 1 of 4</t>
  </si>
  <si>
    <t>Page 2 of 4</t>
  </si>
  <si>
    <t>Page 3 of 4</t>
  </si>
  <si>
    <t>Page 4 of 4</t>
  </si>
  <si>
    <t>Initial release.</t>
  </si>
  <si>
    <r>
      <t>This Information Document relates to the following Authoritative Document:</t>
    </r>
    <r>
      <rPr>
        <vertAlign val="superscript"/>
        <sz val="10"/>
        <rFont val="Arial"/>
        <family val="2"/>
      </rPr>
      <t>1</t>
    </r>
  </si>
  <si>
    <t>available on the AESO website by following the path About the AESO ► Business planning and financial</t>
  </si>
  <si>
    <t xml:space="preserve">reporting. If a forecast pool price is not yet available for the applicable year, the pool price to be used is the </t>
  </si>
  <si>
    <t xml:space="preserve">this Information Document primarily reflect provisions in subsection 3 of section 9 of the 2018 ISO tariff </t>
  </si>
  <si>
    <t>that became effective on January 1, 2018 on a final basis.</t>
  </si>
  <si>
    <t>subsection 2 of section 9 of the 2018 ISO tariff.</t>
  </si>
  <si>
    <t>end of the five-year notice period required by the 2018 ISO tariff.</t>
  </si>
  <si>
    <t>Information Document No. 2018-010T</t>
  </si>
  <si>
    <t xml:space="preserve">capacity will become effective, in accordance with subsection 3(5) of section 9 of the 2018 ISO tariff. The </t>
  </si>
  <si>
    <r>
      <t xml:space="preserve">section 8 of the 2018 ISO tariff and is set out in Information Document 2011-005T, </t>
    </r>
    <r>
      <rPr>
        <i/>
        <sz val="10"/>
        <rFont val="Arial"/>
        <family val="2"/>
      </rPr>
      <t xml:space="preserve">Discount Rates for </t>
    </r>
  </si>
  <si>
    <t>accordance with subsection 3 of section 9 of the 2018 ISO tariff.</t>
  </si>
  <si>
    <t>subsection 3(6) of section 9 of the 2018 ISO tariff.</t>
  </si>
  <si>
    <t xml:space="preserve">A payment in lieu of notice made under subsection 3(5) of section 9 of the 2018 ISO tariff is neither </t>
  </si>
  <si>
    <t>market participant, in accordance with subsection 3(7) of section 9 of the 2018 ISO tariff.</t>
  </si>
  <si>
    <t>2018.0.0</t>
  </si>
  <si>
    <t xml:space="preserve">“A1 Contract” and “A2 History” sheets. The Rate DTS components from the 2018 ISO tariff are provided </t>
  </si>
  <si>
    <t>AESO 2018</t>
  </si>
  <si>
    <t>1 Jan 2018</t>
  </si>
  <si>
    <t>ID 2011-005T, Nov 2017</t>
  </si>
  <si>
    <t>AESO 2018 Budget Review</t>
  </si>
  <si>
    <t xml:space="preserve">after five years, in accordance with subsection 3(1) of section 9 of the 2018 ISO tariff. The five-year notice </t>
  </si>
  <si>
    <t>2018-01-19</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</si>
</sst>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7" formatCode="&quot;$&quot;#,##0.00_);\(&quot;$&quot;#,##0.00\)"/>
    <numFmt numFmtId="44" formatCode="_(&quot;$&quot;* #,##0.00_);_(&quot;$&quot;* \(#,##0.00\);_(&quot;$&quot;* &quot;-&quot;??_);_(@_)"/>
    <numFmt numFmtId="164" formatCode="mmm\ yyyy"/>
    <numFmt numFmtId="165" formatCode="#,##0_);\(#,##0\);&quot;&quot;"/>
    <numFmt numFmtId="166" formatCode="\(#0\);\(\-#0\);&quot;&quot;"/>
    <numFmt numFmtId="167" formatCode="?\(0\);?\(\-0\);&quot;&quot;"/>
    <numFmt numFmtId="168" formatCode="0.00000_);\(0.00000\)"/>
    <numFmt numFmtId="169" formatCode="#,##0.00000_);\(#,##0.00000\)"/>
    <numFmt numFmtId="170" formatCode="mmm\ d\,\ yyyy"/>
    <numFmt numFmtId="171" formatCode="0.0%_);\(0.0%\)"/>
    <numFmt numFmtId="172" formatCode="0.0"/>
    <numFmt numFmtId="173" formatCode="yyyy/mm"/>
    <numFmt numFmtId="174" formatCode="?\(0\);?\(\-0\)"/>
    <numFmt numFmtId="175" formatCode="&quot;$&quot;#,##0"/>
    <numFmt numFmtId="176" formatCode="0.00%_);\(0.00%\)"/>
    <numFmt numFmtId="177" formatCode="yy/mm"/>
    <numFmt numFmtId="178" formatCode="&quot;$&quot;#,##0.000_);\(&quot;$&quot;#,##0.000\)"/>
  </numFmts>
  <fonts count="27" x14ac:knownFonts="1">
    <font>
      <sz val="10"/>
      <name val="Arial"/>
    </font>
    <font>
      <sz val="10"/>
      <name val="Arial"/>
      <family val="2"/>
    </font>
    <font>
      <sz val="8"/>
      <name val="Arial"/>
      <family val="2"/>
    </font>
    <font>
      <b/>
      <sz val="10"/>
      <name val="Arial"/>
      <family val="2"/>
    </font>
    <font>
      <sz val="10"/>
      <name val="Arial"/>
      <family val="2"/>
    </font>
    <font>
      <i/>
      <sz val="10"/>
      <name val="Arial"/>
      <family val="2"/>
    </font>
    <font>
      <sz val="10"/>
      <color indexed="55"/>
      <name val="Arial"/>
      <family val="2"/>
    </font>
    <font>
      <b/>
      <i/>
      <sz val="10"/>
      <color indexed="10"/>
      <name val="Arial"/>
      <family val="2"/>
    </font>
    <font>
      <sz val="11"/>
      <name val="Arial Black"/>
      <family val="2"/>
    </font>
    <font>
      <sz val="6"/>
      <name val="Arial"/>
      <family val="2"/>
    </font>
    <font>
      <b/>
      <sz val="18"/>
      <color indexed="18"/>
      <name val="Arial"/>
      <family val="2"/>
    </font>
    <font>
      <b/>
      <sz val="12"/>
      <color indexed="18"/>
      <name val="Arial"/>
      <family val="2"/>
    </font>
    <font>
      <b/>
      <i/>
      <sz val="10"/>
      <color indexed="18"/>
      <name val="Arial"/>
      <family val="2"/>
    </font>
    <font>
      <sz val="10"/>
      <color indexed="12"/>
      <name val="Arial"/>
      <family val="2"/>
    </font>
    <font>
      <b/>
      <sz val="10"/>
      <color indexed="12"/>
      <name val="Arial"/>
      <family val="2"/>
    </font>
    <font>
      <sz val="8"/>
      <name val="Arial"/>
      <family val="2"/>
    </font>
    <font>
      <sz val="9"/>
      <name val="Arial"/>
      <family val="2"/>
    </font>
    <font>
      <vertAlign val="superscript"/>
      <sz val="10"/>
      <name val="Arial"/>
      <family val="2"/>
    </font>
    <font>
      <vertAlign val="superscript"/>
      <sz val="9"/>
      <name val="Arial"/>
      <family val="2"/>
    </font>
    <font>
      <i/>
      <sz val="9"/>
      <name val="Arial"/>
      <family val="2"/>
    </font>
    <font>
      <sz val="4"/>
      <name val="Arial"/>
      <family val="2"/>
    </font>
    <font>
      <sz val="10"/>
      <color rgb="FF0000FF"/>
      <name val="Arial"/>
      <family val="2"/>
    </font>
    <font>
      <sz val="10"/>
      <name val="Arial"/>
      <family val="2"/>
    </font>
    <font>
      <sz val="10"/>
      <color rgb="FF969696"/>
      <name val="Arial"/>
      <family val="2"/>
    </font>
    <font>
      <sz val="7"/>
      <name val="Arial"/>
      <family val="2"/>
    </font>
    <font>
      <sz val="12"/>
      <name val="Arial"/>
      <family val="2"/>
    </font>
    <font>
      <sz val="14"/>
      <name val="Arial"/>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FFFF99"/>
        <bgColor indexed="64"/>
      </patternFill>
    </fill>
    <fill>
      <patternFill patternType="solid">
        <fgColor rgb="FFC0C0C0"/>
        <bgColor indexed="64"/>
      </patternFill>
    </fill>
  </fills>
  <borders count="54">
    <border>
      <left/>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auto="1"/>
      </left>
      <right/>
      <top/>
      <bottom/>
      <diagonal/>
    </border>
    <border>
      <left/>
      <right style="thin">
        <color auto="1"/>
      </right>
      <top/>
      <bottom/>
      <diagonal/>
    </border>
    <border>
      <left style="thin">
        <color indexed="64"/>
      </left>
      <right style="thin">
        <color indexed="64"/>
      </right>
      <top/>
      <bottom/>
      <diagonal/>
    </border>
    <border>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s>
  <cellStyleXfs count="10">
    <xf numFmtId="0" fontId="0" fillId="0" borderId="0"/>
    <xf numFmtId="0" fontId="16" fillId="0" borderId="0"/>
    <xf numFmtId="0" fontId="1" fillId="0" borderId="0"/>
    <xf numFmtId="0" fontId="10" fillId="0" borderId="0"/>
    <xf numFmtId="0" fontId="11" fillId="0" borderId="0"/>
    <xf numFmtId="0" fontId="12" fillId="0" borderId="0">
      <alignment vertical="top"/>
    </xf>
    <xf numFmtId="0" fontId="1" fillId="0" borderId="0"/>
    <xf numFmtId="9" fontId="22"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62">
    <xf numFmtId="0" fontId="0" fillId="0" borderId="0" xfId="0"/>
    <xf numFmtId="0" fontId="3" fillId="0" borderId="0" xfId="0" applyFont="1"/>
    <xf numFmtId="0" fontId="0" fillId="0" borderId="2" xfId="0" applyBorder="1"/>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39" fontId="1" fillId="0" borderId="8" xfId="0" applyNumberFormat="1" applyFont="1" applyFill="1" applyBorder="1"/>
    <xf numFmtId="39" fontId="1" fillId="0" borderId="11" xfId="0" applyNumberFormat="1" applyFont="1" applyFill="1" applyBorder="1"/>
    <xf numFmtId="39" fontId="1" fillId="0" borderId="9" xfId="0" applyNumberFormat="1" applyFont="1" applyFill="1" applyBorder="1"/>
    <xf numFmtId="39" fontId="1" fillId="0" borderId="13" xfId="0" applyNumberFormat="1" applyFont="1" applyFill="1" applyBorder="1"/>
    <xf numFmtId="39" fontId="1" fillId="0" borderId="1" xfId="0" applyNumberFormat="1" applyFont="1" applyFill="1" applyBorder="1"/>
    <xf numFmtId="39" fontId="1" fillId="0" borderId="15" xfId="0" applyNumberFormat="1" applyFont="1" applyFill="1" applyBorder="1"/>
    <xf numFmtId="0" fontId="0" fillId="0" borderId="4" xfId="0" applyBorder="1"/>
    <xf numFmtId="39" fontId="1" fillId="0" borderId="10" xfId="0" applyNumberFormat="1" applyFont="1" applyFill="1" applyBorder="1"/>
    <xf numFmtId="39" fontId="1" fillId="0" borderId="12" xfId="0" applyNumberFormat="1" applyFont="1" applyFill="1" applyBorder="1"/>
    <xf numFmtId="39" fontId="1" fillId="0" borderId="14" xfId="0" applyNumberFormat="1" applyFont="1" applyFill="1" applyBorder="1"/>
    <xf numFmtId="0" fontId="3" fillId="0" borderId="2" xfId="0" applyFont="1" applyBorder="1" applyAlignment="1">
      <alignment horizontal="center"/>
    </xf>
    <xf numFmtId="0" fontId="4" fillId="0" borderId="0" xfId="0" applyFont="1"/>
    <xf numFmtId="39" fontId="3" fillId="0" borderId="0" xfId="0" applyNumberFormat="1" applyFont="1"/>
    <xf numFmtId="0" fontId="0" fillId="0" borderId="0" xfId="0" applyBorder="1"/>
    <xf numFmtId="0" fontId="11" fillId="0" borderId="0" xfId="4"/>
    <xf numFmtId="0" fontId="16" fillId="0" borderId="0" xfId="1"/>
    <xf numFmtId="0" fontId="1" fillId="0" borderId="0" xfId="2" applyFont="1"/>
    <xf numFmtId="0" fontId="1" fillId="0" borderId="0" xfId="2"/>
    <xf numFmtId="0" fontId="11" fillId="0" borderId="0" xfId="4" applyFont="1"/>
    <xf numFmtId="164" fontId="13" fillId="3" borderId="12" xfId="0" applyNumberFormat="1" applyFont="1" applyFill="1" applyBorder="1" applyAlignment="1" applyProtection="1">
      <alignment horizontal="center"/>
      <protection locked="0"/>
    </xf>
    <xf numFmtId="164" fontId="13" fillId="3" borderId="14" xfId="0" applyNumberFormat="1" applyFont="1" applyFill="1" applyBorder="1" applyAlignment="1" applyProtection="1">
      <alignment horizontal="center"/>
      <protection locked="0"/>
    </xf>
    <xf numFmtId="39" fontId="13" fillId="3" borderId="8" xfId="0" applyNumberFormat="1" applyFont="1" applyFill="1" applyBorder="1" applyProtection="1">
      <protection locked="0"/>
    </xf>
    <xf numFmtId="39" fontId="13" fillId="3" borderId="9" xfId="0" applyNumberFormat="1" applyFont="1" applyFill="1" applyBorder="1" applyProtection="1">
      <protection locked="0"/>
    </xf>
    <xf numFmtId="39" fontId="13" fillId="3" borderId="1" xfId="0" applyNumberFormat="1" applyFont="1" applyFill="1" applyBorder="1" applyProtection="1">
      <protection locked="0"/>
    </xf>
    <xf numFmtId="39" fontId="13" fillId="3" borderId="10" xfId="0" applyNumberFormat="1" applyFont="1" applyFill="1" applyBorder="1" applyProtection="1">
      <protection locked="0"/>
    </xf>
    <xf numFmtId="39" fontId="13" fillId="3" borderId="11" xfId="0" applyNumberFormat="1" applyFont="1" applyFill="1" applyBorder="1" applyProtection="1">
      <protection locked="0"/>
    </xf>
    <xf numFmtId="39" fontId="13" fillId="3" borderId="12" xfId="0" applyNumberFormat="1" applyFont="1" applyFill="1" applyBorder="1" applyProtection="1">
      <protection locked="0"/>
    </xf>
    <xf numFmtId="39" fontId="13" fillId="3" borderId="13" xfId="0" applyNumberFormat="1" applyFont="1" applyFill="1" applyBorder="1" applyProtection="1">
      <protection locked="0"/>
    </xf>
    <xf numFmtId="39" fontId="13" fillId="3" borderId="14" xfId="0" applyNumberFormat="1" applyFont="1" applyFill="1" applyBorder="1" applyProtection="1">
      <protection locked="0"/>
    </xf>
    <xf numFmtId="39" fontId="13" fillId="3" borderId="15" xfId="0" applyNumberFormat="1" applyFont="1" applyFill="1" applyBorder="1" applyProtection="1">
      <protection locked="0"/>
    </xf>
    <xf numFmtId="0" fontId="8" fillId="0" borderId="0" xfId="0" applyFont="1" applyProtection="1"/>
    <xf numFmtId="0" fontId="9" fillId="0" borderId="0" xfId="0" applyFont="1" applyProtection="1"/>
    <xf numFmtId="0" fontId="0" fillId="0" borderId="0" xfId="0" applyProtection="1"/>
    <xf numFmtId="0" fontId="0" fillId="0" borderId="0" xfId="0" applyAlignment="1" applyProtection="1">
      <alignment horizontal="left" indent="2"/>
    </xf>
    <xf numFmtId="0" fontId="1" fillId="0" borderId="0" xfId="0" applyFont="1" applyFill="1" applyAlignment="1" applyProtection="1">
      <alignment horizontal="left" indent="2"/>
    </xf>
    <xf numFmtId="0" fontId="6" fillId="0" borderId="0" xfId="0" applyFont="1" applyAlignment="1" applyProtection="1">
      <alignment horizontal="left" indent="2"/>
    </xf>
    <xf numFmtId="0" fontId="3" fillId="0" borderId="0" xfId="0" applyFont="1" applyProtection="1"/>
    <xf numFmtId="0" fontId="7" fillId="0" borderId="0" xfId="0" applyFont="1" applyProtection="1"/>
    <xf numFmtId="0" fontId="1" fillId="0" borderId="0" xfId="0" applyFont="1" applyFill="1" applyProtection="1"/>
    <xf numFmtId="0" fontId="3" fillId="0" borderId="0" xfId="0" applyFont="1" applyFill="1" applyProtection="1"/>
    <xf numFmtId="10" fontId="3" fillId="0" borderId="0" xfId="0" applyNumberFormat="1" applyFont="1" applyFill="1" applyProtection="1"/>
    <xf numFmtId="0" fontId="0" fillId="0" borderId="2" xfId="0" applyBorder="1" applyProtection="1"/>
    <xf numFmtId="0" fontId="0" fillId="0" borderId="3" xfId="0" applyBorder="1" applyProtection="1"/>
    <xf numFmtId="0" fontId="0" fillId="0" borderId="33" xfId="0" applyBorder="1" applyProtection="1"/>
    <xf numFmtId="0" fontId="3" fillId="0" borderId="34" xfId="0" applyFont="1" applyBorder="1" applyAlignment="1" applyProtection="1">
      <alignment horizontal="center"/>
    </xf>
    <xf numFmtId="0" fontId="3" fillId="0" borderId="35" xfId="0" applyFont="1" applyBorder="1" applyAlignment="1" applyProtection="1">
      <alignment horizontal="center"/>
    </xf>
    <xf numFmtId="0" fontId="3" fillId="0" borderId="4" xfId="0" applyFont="1" applyBorder="1" applyAlignment="1" applyProtection="1">
      <alignment horizontal="center"/>
    </xf>
    <xf numFmtId="0" fontId="3" fillId="0" borderId="5" xfId="0" applyFont="1" applyBorder="1" applyAlignment="1" applyProtection="1">
      <alignment horizontal="center"/>
    </xf>
    <xf numFmtId="0" fontId="3" fillId="0" borderId="6" xfId="0" applyFont="1" applyBorder="1" applyAlignment="1" applyProtection="1">
      <alignment horizontal="center"/>
    </xf>
    <xf numFmtId="0" fontId="0" fillId="0" borderId="7" xfId="0" applyBorder="1" applyAlignment="1" applyProtection="1">
      <alignment horizontal="center"/>
    </xf>
    <xf numFmtId="0" fontId="0" fillId="0" borderId="1" xfId="0" applyBorder="1" applyAlignment="1" applyProtection="1">
      <alignment horizontal="center"/>
    </xf>
    <xf numFmtId="0" fontId="0" fillId="0" borderId="16" xfId="0" applyBorder="1" applyAlignment="1" applyProtection="1">
      <alignment horizontal="center"/>
    </xf>
    <xf numFmtId="0" fontId="3" fillId="0" borderId="7" xfId="0" applyFont="1" applyBorder="1" applyAlignment="1" applyProtection="1">
      <alignment horizontal="center"/>
    </xf>
    <xf numFmtId="167" fontId="0" fillId="0" borderId="8" xfId="0" applyNumberFormat="1" applyBorder="1" applyAlignment="1" applyProtection="1">
      <alignment horizontal="center"/>
    </xf>
    <xf numFmtId="164" fontId="0" fillId="0" borderId="10" xfId="0" applyNumberFormat="1" applyBorder="1" applyAlignment="1" applyProtection="1">
      <alignment horizontal="center"/>
    </xf>
    <xf numFmtId="165" fontId="0" fillId="0" borderId="11" xfId="0" applyNumberFormat="1" applyBorder="1" applyProtection="1"/>
    <xf numFmtId="167" fontId="0" fillId="0" borderId="9" xfId="0" applyNumberFormat="1" applyBorder="1" applyAlignment="1" applyProtection="1">
      <alignment horizontal="center"/>
    </xf>
    <xf numFmtId="165" fontId="0" fillId="0" borderId="13" xfId="0" applyNumberFormat="1" applyBorder="1" applyProtection="1"/>
    <xf numFmtId="166" fontId="0" fillId="0" borderId="1" xfId="0" applyNumberFormat="1" applyBorder="1" applyAlignment="1" applyProtection="1">
      <alignment horizontal="center"/>
    </xf>
    <xf numFmtId="165" fontId="0" fillId="0" borderId="15" xfId="0" applyNumberFormat="1" applyBorder="1" applyProtection="1"/>
    <xf numFmtId="0" fontId="3" fillId="0" borderId="26" xfId="0" applyFont="1" applyBorder="1" applyAlignment="1" applyProtection="1"/>
    <xf numFmtId="0" fontId="3" fillId="0" borderId="27" xfId="0" applyFont="1" applyBorder="1" applyAlignment="1" applyProtection="1">
      <alignment horizontal="right"/>
    </xf>
    <xf numFmtId="165" fontId="3" fillId="0" borderId="23" xfId="0" applyNumberFormat="1" applyFont="1" applyBorder="1" applyProtection="1"/>
    <xf numFmtId="0" fontId="4" fillId="0" borderId="0" xfId="1" applyFont="1"/>
    <xf numFmtId="0" fontId="15" fillId="0" borderId="0" xfId="2" applyFont="1"/>
    <xf numFmtId="0" fontId="4" fillId="0" borderId="0" xfId="2" applyFont="1"/>
    <xf numFmtId="0" fontId="15" fillId="0" borderId="0" xfId="2" applyFont="1" applyAlignment="1">
      <alignment horizontal="right"/>
    </xf>
    <xf numFmtId="0" fontId="15" fillId="0" borderId="0" xfId="2" applyFont="1" applyBorder="1" applyAlignment="1"/>
    <xf numFmtId="0" fontId="15" fillId="0" borderId="0" xfId="2" applyFont="1" applyBorder="1" applyAlignment="1">
      <alignment horizontal="right"/>
    </xf>
    <xf numFmtId="0" fontId="4" fillId="0" borderId="28" xfId="2" applyFont="1" applyBorder="1" applyAlignment="1">
      <alignment horizontal="center" vertical="center"/>
    </xf>
    <xf numFmtId="0" fontId="4" fillId="0" borderId="36" xfId="2" applyFont="1" applyBorder="1" applyAlignment="1">
      <alignment horizontal="centerContinuous" vertical="center"/>
    </xf>
    <xf numFmtId="0" fontId="1" fillId="0" borderId="29" xfId="2" applyBorder="1" applyAlignment="1">
      <alignment horizontal="centerContinuous" vertical="center"/>
    </xf>
    <xf numFmtId="0" fontId="1" fillId="0" borderId="25" xfId="2" applyBorder="1" applyAlignment="1">
      <alignment horizontal="centerContinuous" vertical="center"/>
    </xf>
    <xf numFmtId="0" fontId="1" fillId="0" borderId="0" xfId="2" applyAlignment="1">
      <alignment vertical="center"/>
    </xf>
    <xf numFmtId="0" fontId="16" fillId="0" borderId="0" xfId="2" applyFont="1"/>
    <xf numFmtId="0" fontId="16" fillId="0" borderId="0" xfId="0" applyFont="1"/>
    <xf numFmtId="0" fontId="20" fillId="0" borderId="0" xfId="1" applyFont="1"/>
    <xf numFmtId="0" fontId="6" fillId="0" borderId="0" xfId="0" quotePrefix="1" applyFont="1" applyProtection="1"/>
    <xf numFmtId="0" fontId="0" fillId="0" borderId="0" xfId="0" applyFill="1" applyProtection="1"/>
    <xf numFmtId="0" fontId="1" fillId="0" borderId="0" xfId="0" applyFont="1" applyProtection="1"/>
    <xf numFmtId="0" fontId="6" fillId="0" borderId="0" xfId="0" applyFont="1" applyProtection="1"/>
    <xf numFmtId="0" fontId="3" fillId="0" borderId="3" xfId="0" applyFont="1" applyBorder="1" applyAlignment="1" applyProtection="1">
      <alignment horizontal="center"/>
    </xf>
    <xf numFmtId="0" fontId="3" fillId="0" borderId="2" xfId="0" applyFont="1" applyBorder="1" applyAlignment="1" applyProtection="1">
      <alignment horizontal="center"/>
    </xf>
    <xf numFmtId="0" fontId="3" fillId="0" borderId="33" xfId="0" applyFont="1" applyBorder="1" applyAlignment="1" applyProtection="1">
      <alignment horizontal="center"/>
    </xf>
    <xf numFmtId="0" fontId="3" fillId="0" borderId="21" xfId="0" applyFont="1" applyBorder="1" applyAlignment="1" applyProtection="1">
      <alignment horizontal="center"/>
    </xf>
    <xf numFmtId="0" fontId="3" fillId="0" borderId="42" xfId="0" applyFont="1" applyBorder="1" applyAlignment="1" applyProtection="1">
      <alignment horizontal="center"/>
    </xf>
    <xf numFmtId="3" fontId="0" fillId="0" borderId="17" xfId="0" applyNumberFormat="1" applyBorder="1" applyAlignment="1" applyProtection="1">
      <alignment horizontal="center"/>
    </xf>
    <xf numFmtId="3" fontId="0" fillId="0" borderId="18" xfId="0" applyNumberFormat="1" applyBorder="1" applyAlignment="1" applyProtection="1">
      <alignment horizontal="center"/>
    </xf>
    <xf numFmtId="3" fontId="0" fillId="0" borderId="19" xfId="0" applyNumberFormat="1" applyBorder="1" applyAlignment="1" applyProtection="1">
      <alignment horizontal="center"/>
    </xf>
    <xf numFmtId="171" fontId="0" fillId="0" borderId="8" xfId="0" applyNumberFormat="1" applyBorder="1" applyProtection="1"/>
    <xf numFmtId="171" fontId="0" fillId="0" borderId="11" xfId="0" applyNumberFormat="1" applyBorder="1" applyProtection="1"/>
    <xf numFmtId="171" fontId="0" fillId="0" borderId="9" xfId="0" applyNumberFormat="1" applyBorder="1" applyProtection="1"/>
    <xf numFmtId="171" fontId="0" fillId="0" borderId="13" xfId="0" applyNumberFormat="1" applyBorder="1" applyProtection="1"/>
    <xf numFmtId="171" fontId="0" fillId="0" borderId="1" xfId="0" applyNumberFormat="1" applyBorder="1" applyProtection="1"/>
    <xf numFmtId="171" fontId="0" fillId="0" borderId="15" xfId="0" applyNumberFormat="1" applyBorder="1" applyProtection="1"/>
    <xf numFmtId="37" fontId="3" fillId="0" borderId="24" xfId="0" applyNumberFormat="1" applyFont="1" applyFill="1" applyBorder="1" applyProtection="1"/>
    <xf numFmtId="171" fontId="3" fillId="0" borderId="22" xfId="0" applyNumberFormat="1" applyFont="1" applyFill="1" applyBorder="1" applyProtection="1"/>
    <xf numFmtId="171" fontId="3" fillId="0" borderId="23" xfId="0" applyNumberFormat="1" applyFont="1" applyFill="1" applyBorder="1" applyProtection="1"/>
    <xf numFmtId="0" fontId="1" fillId="0" borderId="20" xfId="0" applyFont="1" applyBorder="1" applyAlignment="1" applyProtection="1">
      <alignment horizontal="center"/>
    </xf>
    <xf numFmtId="0" fontId="1" fillId="0" borderId="20" xfId="0" applyFont="1" applyFill="1" applyBorder="1" applyAlignment="1" applyProtection="1">
      <alignment horizontal="center"/>
    </xf>
    <xf numFmtId="0" fontId="1" fillId="0" borderId="6" xfId="0" applyFont="1" applyBorder="1" applyAlignment="1" applyProtection="1">
      <alignment horizontal="center"/>
    </xf>
    <xf numFmtId="0" fontId="1" fillId="0" borderId="7" xfId="0" applyFont="1" applyBorder="1" applyAlignment="1" applyProtection="1">
      <alignment horizontal="center"/>
    </xf>
    <xf numFmtId="0" fontId="1" fillId="0" borderId="5" xfId="0" quotePrefix="1" applyFont="1" applyBorder="1" applyAlignment="1" applyProtection="1">
      <alignment horizontal="center"/>
    </xf>
    <xf numFmtId="0" fontId="1" fillId="0" borderId="7" xfId="0" quotePrefix="1" applyFont="1" applyBorder="1" applyAlignment="1" applyProtection="1">
      <alignment horizontal="center"/>
    </xf>
    <xf numFmtId="0" fontId="5" fillId="0" borderId="0" xfId="0" applyFont="1" applyProtection="1"/>
    <xf numFmtId="0" fontId="3" fillId="0" borderId="28" xfId="0" applyFont="1" applyBorder="1" applyAlignment="1" applyProtection="1">
      <alignment horizontal="center"/>
    </xf>
    <xf numFmtId="0" fontId="5" fillId="0" borderId="26" xfId="0" applyFont="1" applyFill="1" applyBorder="1" applyProtection="1"/>
    <xf numFmtId="172" fontId="0" fillId="0" borderId="0" xfId="0" applyNumberFormat="1" applyProtection="1"/>
    <xf numFmtId="167" fontId="1" fillId="0" borderId="8" xfId="0" applyNumberFormat="1" applyFont="1" applyBorder="1" applyAlignment="1" applyProtection="1">
      <alignment horizontal="center"/>
    </xf>
    <xf numFmtId="164" fontId="1" fillId="0" borderId="10" xfId="0" applyNumberFormat="1" applyFont="1" applyBorder="1" applyAlignment="1" applyProtection="1">
      <alignment horizontal="center"/>
    </xf>
    <xf numFmtId="165" fontId="1" fillId="0" borderId="11" xfId="0" applyNumberFormat="1" applyFont="1" applyBorder="1" applyProtection="1"/>
    <xf numFmtId="169" fontId="1" fillId="0" borderId="8" xfId="0" applyNumberFormat="1" applyFont="1" applyFill="1" applyBorder="1" applyProtection="1"/>
    <xf numFmtId="169" fontId="1" fillId="0" borderId="10" xfId="0" applyNumberFormat="1" applyFont="1" applyFill="1" applyBorder="1" applyProtection="1"/>
    <xf numFmtId="169" fontId="1" fillId="0" borderId="11" xfId="0" applyNumberFormat="1" applyFont="1" applyFill="1" applyBorder="1" applyProtection="1"/>
    <xf numFmtId="167" fontId="1" fillId="0" borderId="9" xfId="0" applyNumberFormat="1" applyFont="1" applyBorder="1" applyAlignment="1" applyProtection="1">
      <alignment horizontal="center"/>
    </xf>
    <xf numFmtId="164" fontId="1" fillId="0" borderId="12" xfId="0" applyNumberFormat="1" applyFont="1" applyFill="1" applyBorder="1" applyAlignment="1" applyProtection="1">
      <alignment horizontal="center"/>
    </xf>
    <xf numFmtId="165" fontId="1" fillId="0" borderId="13" xfId="0" applyNumberFormat="1" applyFont="1" applyBorder="1" applyProtection="1"/>
    <xf numFmtId="169" fontId="1" fillId="0" borderId="9" xfId="0" applyNumberFormat="1" applyFont="1" applyFill="1" applyBorder="1" applyProtection="1"/>
    <xf numFmtId="169" fontId="1" fillId="0" borderId="12" xfId="0" applyNumberFormat="1" applyFont="1" applyFill="1" applyBorder="1" applyProtection="1"/>
    <xf numFmtId="169" fontId="1" fillId="0" borderId="13" xfId="0" applyNumberFormat="1" applyFont="1" applyFill="1" applyBorder="1" applyProtection="1"/>
    <xf numFmtId="166" fontId="1" fillId="0" borderId="1" xfId="0" applyNumberFormat="1" applyFont="1" applyBorder="1" applyAlignment="1" applyProtection="1">
      <alignment horizontal="center"/>
    </xf>
    <xf numFmtId="164" fontId="1" fillId="0" borderId="14" xfId="0" applyNumberFormat="1" applyFont="1" applyFill="1" applyBorder="1" applyAlignment="1" applyProtection="1">
      <alignment horizontal="center"/>
    </xf>
    <xf numFmtId="165" fontId="1" fillId="0" borderId="15" xfId="0" applyNumberFormat="1" applyFont="1" applyBorder="1" applyProtection="1"/>
    <xf numFmtId="169" fontId="1" fillId="0" borderId="1" xfId="0" applyNumberFormat="1" applyFont="1" applyFill="1" applyBorder="1" applyProtection="1"/>
    <xf numFmtId="169" fontId="1" fillId="0" borderId="14" xfId="0" applyNumberFormat="1" applyFont="1" applyFill="1" applyBorder="1" applyProtection="1"/>
    <xf numFmtId="169" fontId="1" fillId="0" borderId="15" xfId="0" applyNumberFormat="1" applyFont="1" applyFill="1" applyBorder="1" applyProtection="1"/>
    <xf numFmtId="165" fontId="3" fillId="0" borderId="28" xfId="0" applyNumberFormat="1" applyFont="1" applyFill="1" applyBorder="1" applyProtection="1"/>
    <xf numFmtId="0" fontId="1" fillId="0" borderId="26" xfId="0" applyFont="1" applyFill="1" applyBorder="1" applyProtection="1"/>
    <xf numFmtId="0" fontId="1" fillId="0" borderId="26" xfId="0" applyFont="1" applyFill="1" applyBorder="1" applyAlignment="1" applyProtection="1">
      <alignment horizontal="right"/>
    </xf>
    <xf numFmtId="168" fontId="1" fillId="0" borderId="26" xfId="0" applyNumberFormat="1" applyFont="1" applyFill="1" applyBorder="1" applyProtection="1"/>
    <xf numFmtId="0" fontId="5" fillId="0" borderId="0" xfId="0" applyFont="1" applyAlignment="1" applyProtection="1">
      <alignment horizontal="left"/>
    </xf>
    <xf numFmtId="0" fontId="1" fillId="0" borderId="0" xfId="0" applyFont="1" applyAlignment="1">
      <alignment horizontal="center"/>
    </xf>
    <xf numFmtId="174" fontId="1" fillId="0" borderId="0" xfId="0" applyNumberFormat="1" applyFont="1"/>
    <xf numFmtId="39" fontId="21" fillId="4" borderId="10" xfId="0" applyNumberFormat="1" applyFont="1" applyFill="1" applyBorder="1" applyProtection="1">
      <protection locked="0"/>
    </xf>
    <xf numFmtId="39" fontId="21" fillId="4" borderId="12" xfId="0" applyNumberFormat="1" applyFont="1" applyFill="1" applyBorder="1" applyProtection="1">
      <protection locked="0"/>
    </xf>
    <xf numFmtId="39" fontId="21" fillId="4" borderId="14" xfId="0" applyNumberFormat="1" applyFont="1" applyFill="1" applyBorder="1" applyProtection="1">
      <protection locked="0"/>
    </xf>
    <xf numFmtId="39" fontId="3" fillId="0" borderId="24" xfId="0" applyNumberFormat="1" applyFont="1" applyFill="1" applyBorder="1" applyProtection="1"/>
    <xf numFmtId="39" fontId="21" fillId="4" borderId="11" xfId="0" applyNumberFormat="1" applyFont="1" applyFill="1" applyBorder="1" applyProtection="1">
      <protection locked="0"/>
    </xf>
    <xf numFmtId="39" fontId="21" fillId="4" borderId="13" xfId="0" applyNumberFormat="1" applyFont="1" applyFill="1" applyBorder="1" applyProtection="1">
      <protection locked="0"/>
    </xf>
    <xf numFmtId="39" fontId="21" fillId="4" borderId="15" xfId="0" applyNumberFormat="1" applyFont="1" applyFill="1" applyBorder="1" applyProtection="1">
      <protection locked="0"/>
    </xf>
    <xf numFmtId="39" fontId="3" fillId="0" borderId="23" xfId="0" applyNumberFormat="1" applyFont="1" applyFill="1" applyBorder="1" applyProtection="1"/>
    <xf numFmtId="173" fontId="1" fillId="0" borderId="0" xfId="0" applyNumberFormat="1" applyFont="1"/>
    <xf numFmtId="39" fontId="1" fillId="0" borderId="0" xfId="0" applyNumberFormat="1" applyFont="1"/>
    <xf numFmtId="0" fontId="1" fillId="0" borderId="0" xfId="0" applyFont="1"/>
    <xf numFmtId="39" fontId="1" fillId="0" borderId="11" xfId="0" applyNumberFormat="1" applyFont="1" applyBorder="1"/>
    <xf numFmtId="39" fontId="1" fillId="0" borderId="13" xfId="0" applyNumberFormat="1" applyFont="1" applyBorder="1"/>
    <xf numFmtId="39" fontId="1" fillId="0" borderId="15" xfId="0" applyNumberFormat="1" applyFont="1" applyBorder="1"/>
    <xf numFmtId="39" fontId="1" fillId="0" borderId="8" xfId="0" applyNumberFormat="1" applyFont="1" applyBorder="1"/>
    <xf numFmtId="39" fontId="1" fillId="0" borderId="10" xfId="0" applyNumberFormat="1" applyFont="1" applyBorder="1"/>
    <xf numFmtId="39" fontId="1" fillId="0" borderId="9" xfId="0" applyNumberFormat="1" applyFont="1" applyBorder="1"/>
    <xf numFmtId="39" fontId="1" fillId="0" borderId="12" xfId="0" applyNumberFormat="1" applyFont="1" applyBorder="1"/>
    <xf numFmtId="39" fontId="1" fillId="0" borderId="1" xfId="0" applyNumberFormat="1" applyFont="1" applyBorder="1"/>
    <xf numFmtId="39" fontId="1" fillId="0" borderId="14" xfId="0" applyNumberFormat="1" applyFont="1" applyBorder="1"/>
    <xf numFmtId="39" fontId="3" fillId="0" borderId="4" xfId="0" applyNumberFormat="1" applyFont="1" applyBorder="1" applyAlignment="1">
      <alignment horizontal="center"/>
    </xf>
    <xf numFmtId="39" fontId="3" fillId="0" borderId="2" xfId="0" applyNumberFormat="1" applyFont="1" applyBorder="1" applyAlignment="1">
      <alignment horizontal="center"/>
    </xf>
    <xf numFmtId="39" fontId="3" fillId="0" borderId="35" xfId="0" applyNumberFormat="1" applyFont="1" applyBorder="1" applyAlignment="1">
      <alignment horizontal="center"/>
    </xf>
    <xf numFmtId="0" fontId="3" fillId="0" borderId="33" xfId="0" applyFont="1" applyBorder="1" applyAlignment="1">
      <alignment horizontal="center"/>
    </xf>
    <xf numFmtId="39" fontId="3" fillId="0" borderId="34" xfId="0" applyNumberFormat="1" applyFont="1" applyBorder="1" applyAlignment="1">
      <alignment horizontal="center"/>
    </xf>
    <xf numFmtId="174" fontId="3" fillId="0" borderId="5" xfId="0" applyNumberFormat="1" applyFont="1" applyBorder="1" applyAlignment="1">
      <alignment horizontal="center"/>
    </xf>
    <xf numFmtId="173" fontId="3" fillId="0" borderId="6" xfId="0" applyNumberFormat="1" applyFont="1" applyBorder="1" applyAlignment="1">
      <alignment horizontal="center"/>
    </xf>
    <xf numFmtId="39" fontId="3" fillId="0" borderId="7" xfId="0" applyNumberFormat="1" applyFont="1" applyBorder="1" applyAlignment="1">
      <alignment horizontal="center"/>
    </xf>
    <xf numFmtId="39" fontId="3" fillId="0" borderId="6" xfId="0" applyNumberFormat="1" applyFont="1" applyBorder="1" applyAlignment="1">
      <alignment horizontal="center"/>
    </xf>
    <xf numFmtId="39" fontId="3" fillId="0" borderId="3" xfId="0" applyNumberFormat="1" applyFont="1" applyBorder="1" applyAlignment="1">
      <alignment horizontal="center"/>
    </xf>
    <xf numFmtId="39" fontId="3" fillId="0" borderId="5" xfId="0" applyNumberFormat="1" applyFont="1" applyBorder="1" applyAlignment="1">
      <alignment horizontal="center"/>
    </xf>
    <xf numFmtId="174" fontId="1" fillId="0" borderId="8" xfId="0" applyNumberFormat="1" applyFont="1" applyBorder="1" applyAlignment="1">
      <alignment horizontal="center"/>
    </xf>
    <xf numFmtId="174" fontId="1" fillId="0" borderId="9" xfId="0" applyNumberFormat="1" applyFont="1" applyBorder="1" applyAlignment="1">
      <alignment horizontal="center"/>
    </xf>
    <xf numFmtId="174" fontId="1" fillId="0" borderId="1" xfId="0" applyNumberFormat="1" applyFont="1" applyBorder="1" applyAlignment="1">
      <alignment horizontal="center"/>
    </xf>
    <xf numFmtId="173" fontId="1" fillId="0" borderId="10" xfId="0" applyNumberFormat="1" applyFont="1" applyBorder="1" applyAlignment="1">
      <alignment horizontal="center"/>
    </xf>
    <xf numFmtId="173" fontId="1" fillId="0" borderId="12" xfId="0" applyNumberFormat="1" applyFont="1" applyBorder="1" applyAlignment="1">
      <alignment horizontal="center"/>
    </xf>
    <xf numFmtId="173" fontId="1" fillId="0" borderId="14" xfId="0" applyNumberFormat="1" applyFont="1" applyBorder="1" applyAlignment="1">
      <alignment horizontal="center"/>
    </xf>
    <xf numFmtId="0" fontId="1" fillId="0" borderId="0" xfId="0" applyFont="1" applyAlignment="1">
      <alignment horizontal="left" indent="1"/>
    </xf>
    <xf numFmtId="174" fontId="3" fillId="0" borderId="0" xfId="0" applyNumberFormat="1" applyFont="1"/>
    <xf numFmtId="173" fontId="3" fillId="0" borderId="0" xfId="0" applyNumberFormat="1" applyFont="1"/>
    <xf numFmtId="39" fontId="3" fillId="0" borderId="33" xfId="0" applyNumberFormat="1" applyFont="1" applyBorder="1" applyAlignment="1">
      <alignment horizontal="center"/>
    </xf>
    <xf numFmtId="39" fontId="1" fillId="0" borderId="0" xfId="0" applyNumberFormat="1" applyFont="1" applyAlignment="1">
      <alignment horizontal="left"/>
    </xf>
    <xf numFmtId="175" fontId="1" fillId="0" borderId="10" xfId="0" applyNumberFormat="1" applyFont="1" applyBorder="1"/>
    <xf numFmtId="175" fontId="1" fillId="0" borderId="11" xfId="0" applyNumberFormat="1" applyFont="1" applyFill="1" applyBorder="1"/>
    <xf numFmtId="175" fontId="1" fillId="0" borderId="12" xfId="0" applyNumberFormat="1" applyFont="1" applyBorder="1"/>
    <xf numFmtId="175" fontId="1" fillId="0" borderId="13" xfId="0" applyNumberFormat="1" applyFont="1" applyFill="1" applyBorder="1"/>
    <xf numFmtId="175" fontId="1" fillId="0" borderId="10" xfId="0" applyNumberFormat="1" applyFont="1" applyFill="1" applyBorder="1"/>
    <xf numFmtId="175" fontId="1" fillId="0" borderId="12" xfId="0" applyNumberFormat="1" applyFont="1" applyFill="1" applyBorder="1"/>
    <xf numFmtId="39" fontId="1" fillId="0" borderId="0" xfId="0" applyNumberFormat="1" applyFont="1" applyAlignment="1">
      <alignment horizontal="left"/>
    </xf>
    <xf numFmtId="39" fontId="3" fillId="0" borderId="0" xfId="0" applyNumberFormat="1" applyFont="1" applyAlignment="1">
      <alignment horizontal="left"/>
    </xf>
    <xf numFmtId="175" fontId="1" fillId="0" borderId="14" xfId="0" applyNumberFormat="1" applyFont="1" applyBorder="1"/>
    <xf numFmtId="175" fontId="1" fillId="0" borderId="15" xfId="0" applyNumberFormat="1" applyFont="1" applyFill="1" applyBorder="1"/>
    <xf numFmtId="175" fontId="1" fillId="0" borderId="14" xfId="0" applyNumberFormat="1" applyFont="1" applyFill="1" applyBorder="1"/>
    <xf numFmtId="173" fontId="1" fillId="0" borderId="8" xfId="0" applyNumberFormat="1" applyFont="1" applyBorder="1" applyAlignment="1">
      <alignment horizontal="center"/>
    </xf>
    <xf numFmtId="173" fontId="1" fillId="0" borderId="9" xfId="0" applyNumberFormat="1" applyFont="1" applyBorder="1" applyAlignment="1">
      <alignment horizontal="center"/>
    </xf>
    <xf numFmtId="173" fontId="1" fillId="0" borderId="1" xfId="0" applyNumberFormat="1" applyFont="1" applyBorder="1" applyAlignment="1">
      <alignment horizontal="center"/>
    </xf>
    <xf numFmtId="173" fontId="3" fillId="0" borderId="34" xfId="0" applyNumberFormat="1" applyFont="1" applyBorder="1" applyAlignment="1">
      <alignment horizontal="center"/>
    </xf>
    <xf numFmtId="0" fontId="1" fillId="0" borderId="0" xfId="0" applyFont="1" applyAlignment="1"/>
    <xf numFmtId="173" fontId="3" fillId="0" borderId="36" xfId="0" applyNumberFormat="1" applyFont="1" applyBorder="1" applyAlignment="1"/>
    <xf numFmtId="39" fontId="3" fillId="0" borderId="29" xfId="0" applyNumberFormat="1" applyFont="1" applyBorder="1" applyAlignment="1"/>
    <xf numFmtId="0" fontId="3" fillId="0" borderId="29" xfId="0" applyFont="1" applyBorder="1" applyAlignment="1"/>
    <xf numFmtId="39" fontId="3" fillId="0" borderId="36" xfId="0" applyNumberFormat="1" applyFont="1" applyBorder="1" applyAlignment="1"/>
    <xf numFmtId="0" fontId="3" fillId="0" borderId="0" xfId="0" applyFont="1" applyAlignment="1">
      <alignment horizontal="left" indent="1"/>
    </xf>
    <xf numFmtId="174" fontId="3" fillId="0" borderId="33" xfId="0" applyNumberFormat="1" applyFont="1" applyBorder="1" applyAlignment="1">
      <alignment horizontal="center"/>
    </xf>
    <xf numFmtId="173" fontId="3" fillId="0" borderId="33" xfId="0" applyNumberFormat="1" applyFont="1" applyBorder="1" applyAlignment="1">
      <alignment horizontal="center"/>
    </xf>
    <xf numFmtId="173" fontId="3" fillId="0" borderId="5" xfId="0" applyNumberFormat="1" applyFont="1" applyBorder="1" applyAlignment="1">
      <alignment horizontal="center"/>
    </xf>
    <xf numFmtId="39" fontId="3" fillId="0" borderId="0" xfId="0" applyNumberFormat="1" applyFont="1" applyAlignment="1"/>
    <xf numFmtId="173" fontId="1" fillId="0" borderId="39" xfId="0" applyNumberFormat="1" applyFont="1" applyBorder="1"/>
    <xf numFmtId="39" fontId="1" fillId="0" borderId="26" xfId="0" applyNumberFormat="1" applyFont="1" applyBorder="1"/>
    <xf numFmtId="39" fontId="1" fillId="0" borderId="26" xfId="0" applyNumberFormat="1" applyFont="1" applyBorder="1" applyAlignment="1">
      <alignment horizontal="left"/>
    </xf>
    <xf numFmtId="39" fontId="1" fillId="0" borderId="27" xfId="0" applyNumberFormat="1" applyFont="1" applyBorder="1" applyAlignment="1">
      <alignment horizontal="left"/>
    </xf>
    <xf numFmtId="173" fontId="1" fillId="0" borderId="40" xfId="0" applyNumberFormat="1" applyFont="1" applyBorder="1"/>
    <xf numFmtId="39" fontId="1" fillId="0" borderId="0" xfId="0" applyNumberFormat="1" applyFont="1" applyBorder="1"/>
    <xf numFmtId="39" fontId="1" fillId="0" borderId="0" xfId="0" applyNumberFormat="1" applyFont="1" applyBorder="1" applyAlignment="1">
      <alignment horizontal="left"/>
    </xf>
    <xf numFmtId="39" fontId="1" fillId="0" borderId="41" xfId="0" quotePrefix="1" applyNumberFormat="1" applyFont="1" applyBorder="1" applyAlignment="1">
      <alignment horizontal="left"/>
    </xf>
    <xf numFmtId="173" fontId="1" fillId="0" borderId="38" xfId="0" applyNumberFormat="1" applyFont="1" applyBorder="1"/>
    <xf numFmtId="39" fontId="1" fillId="0" borderId="43" xfId="0" applyNumberFormat="1" applyFont="1" applyBorder="1"/>
    <xf numFmtId="39" fontId="1" fillId="0" borderId="43" xfId="0" applyNumberFormat="1" applyFont="1" applyBorder="1" applyAlignment="1">
      <alignment horizontal="left"/>
    </xf>
    <xf numFmtId="39" fontId="1" fillId="0" borderId="32" xfId="0" quotePrefix="1" applyNumberFormat="1" applyFont="1" applyBorder="1" applyAlignment="1">
      <alignment horizontal="left"/>
    </xf>
    <xf numFmtId="7" fontId="1" fillId="0" borderId="26" xfId="0" applyNumberFormat="1" applyFont="1" applyBorder="1" applyAlignment="1"/>
    <xf numFmtId="173" fontId="9" fillId="0" borderId="0" xfId="0" applyNumberFormat="1" applyFont="1" applyProtection="1"/>
    <xf numFmtId="173" fontId="1" fillId="0" borderId="0" xfId="0" applyNumberFormat="1" applyFont="1" applyFill="1" applyProtection="1"/>
    <xf numFmtId="173" fontId="3" fillId="0" borderId="2" xfId="0" applyNumberFormat="1" applyFont="1" applyBorder="1" applyAlignment="1" applyProtection="1">
      <alignment horizontal="center"/>
    </xf>
    <xf numFmtId="173" fontId="3" fillId="0" borderId="33" xfId="0" applyNumberFormat="1" applyFont="1" applyBorder="1" applyAlignment="1" applyProtection="1">
      <alignment horizontal="center"/>
    </xf>
    <xf numFmtId="173" fontId="1" fillId="0" borderId="5" xfId="0" applyNumberFormat="1" applyFont="1" applyBorder="1" applyAlignment="1" applyProtection="1">
      <alignment horizontal="center"/>
    </xf>
    <xf numFmtId="173" fontId="21" fillId="4" borderId="8" xfId="0" applyNumberFormat="1" applyFont="1" applyFill="1" applyBorder="1" applyAlignment="1" applyProtection="1">
      <alignment horizontal="center"/>
      <protection locked="0"/>
    </xf>
    <xf numFmtId="173" fontId="21" fillId="4" borderId="9" xfId="0" applyNumberFormat="1" applyFont="1" applyFill="1" applyBorder="1" applyAlignment="1" applyProtection="1">
      <alignment horizontal="center"/>
      <protection locked="0"/>
    </xf>
    <xf numFmtId="173" fontId="21" fillId="4" borderId="1" xfId="0" applyNumberFormat="1" applyFont="1" applyFill="1" applyBorder="1" applyAlignment="1" applyProtection="1">
      <alignment horizontal="center"/>
      <protection locked="0"/>
    </xf>
    <xf numFmtId="173" fontId="0" fillId="0" borderId="0" xfId="0" applyNumberFormat="1" applyProtection="1"/>
    <xf numFmtId="0" fontId="1" fillId="0" borderId="0" xfId="0" applyFont="1" applyFill="1" applyAlignment="1" applyProtection="1">
      <alignment horizontal="left" indent="1"/>
    </xf>
    <xf numFmtId="0" fontId="6" fillId="0" borderId="0" xfId="0" applyFont="1" applyAlignment="1" applyProtection="1">
      <alignment horizontal="left" indent="1"/>
    </xf>
    <xf numFmtId="177" fontId="1" fillId="0" borderId="17" xfId="0" applyNumberFormat="1" applyFont="1" applyBorder="1" applyAlignment="1" applyProtection="1">
      <alignment horizontal="center"/>
    </xf>
    <xf numFmtId="177" fontId="1" fillId="0" borderId="18" xfId="0" applyNumberFormat="1" applyFont="1" applyBorder="1" applyAlignment="1" applyProtection="1">
      <alignment horizontal="center"/>
    </xf>
    <xf numFmtId="177" fontId="1" fillId="0" borderId="19" xfId="0" applyNumberFormat="1" applyFont="1" applyBorder="1" applyAlignment="1" applyProtection="1">
      <alignment horizontal="center"/>
    </xf>
    <xf numFmtId="39" fontId="1" fillId="0" borderId="7" xfId="0" applyNumberFormat="1" applyFont="1" applyBorder="1" applyAlignment="1">
      <alignment horizontal="center"/>
    </xf>
    <xf numFmtId="0" fontId="1" fillId="0" borderId="5" xfId="0" applyFont="1" applyBorder="1" applyAlignment="1">
      <alignment horizontal="center"/>
    </xf>
    <xf numFmtId="39" fontId="1" fillId="0" borderId="6" xfId="0" quotePrefix="1" applyNumberFormat="1" applyFont="1" applyBorder="1" applyAlignment="1">
      <alignment horizontal="center"/>
    </xf>
    <xf numFmtId="39" fontId="1" fillId="0" borderId="7" xfId="0" quotePrefix="1" applyNumberFormat="1" applyFont="1" applyBorder="1" applyAlignment="1">
      <alignment horizontal="center"/>
    </xf>
    <xf numFmtId="39" fontId="1" fillId="0" borderId="5" xfId="0" applyNumberFormat="1" applyFont="1" applyBorder="1" applyAlignment="1">
      <alignment horizontal="center"/>
    </xf>
    <xf numFmtId="39" fontId="1" fillId="0" borderId="0" xfId="0" applyNumberFormat="1" applyFont="1" applyAlignment="1">
      <alignment horizontal="left"/>
    </xf>
    <xf numFmtId="37" fontId="9" fillId="0" borderId="0" xfId="0" applyNumberFormat="1" applyFont="1" applyProtection="1"/>
    <xf numFmtId="37" fontId="1" fillId="0" borderId="0" xfId="0" applyNumberFormat="1" applyFont="1" applyFill="1" applyProtection="1"/>
    <xf numFmtId="37" fontId="3" fillId="0" borderId="3" xfId="0" applyNumberFormat="1" applyFont="1" applyBorder="1" applyAlignment="1" applyProtection="1">
      <alignment horizontal="center"/>
    </xf>
    <xf numFmtId="37" fontId="3" fillId="0" borderId="34" xfId="0" applyNumberFormat="1" applyFont="1" applyBorder="1" applyAlignment="1" applyProtection="1">
      <alignment horizontal="center"/>
    </xf>
    <xf numFmtId="37" fontId="1" fillId="0" borderId="6" xfId="0" applyNumberFormat="1" applyFont="1" applyBorder="1" applyAlignment="1" applyProtection="1">
      <alignment horizontal="center"/>
    </xf>
    <xf numFmtId="37" fontId="21" fillId="4" borderId="10" xfId="0" applyNumberFormat="1" applyFont="1" applyFill="1" applyBorder="1" applyProtection="1">
      <protection locked="0"/>
    </xf>
    <xf numFmtId="37" fontId="21" fillId="4" borderId="12" xfId="0" applyNumberFormat="1" applyFont="1" applyFill="1" applyBorder="1" applyProtection="1">
      <protection locked="0"/>
    </xf>
    <xf numFmtId="37" fontId="21" fillId="4" borderId="14" xfId="0" applyNumberFormat="1" applyFont="1" applyFill="1" applyBorder="1" applyProtection="1">
      <protection locked="0"/>
    </xf>
    <xf numFmtId="37" fontId="5" fillId="0" borderId="26" xfId="0" applyNumberFormat="1" applyFont="1" applyFill="1" applyBorder="1" applyProtection="1"/>
    <xf numFmtId="37" fontId="0" fillId="0" borderId="0" xfId="0" applyNumberFormat="1" applyProtection="1"/>
    <xf numFmtId="39" fontId="3" fillId="0" borderId="0" xfId="0" applyNumberFormat="1" applyFont="1" applyAlignment="1">
      <alignment horizontal="left"/>
    </xf>
    <xf numFmtId="39" fontId="1" fillId="0" borderId="0" xfId="0" applyNumberFormat="1" applyFont="1" applyAlignment="1">
      <alignment horizontal="left"/>
    </xf>
    <xf numFmtId="7" fontId="1" fillId="0" borderId="0" xfId="0" applyNumberFormat="1" applyFont="1" applyBorder="1" applyAlignment="1"/>
    <xf numFmtId="7" fontId="1" fillId="0" borderId="43" xfId="0" applyNumberFormat="1" applyFont="1" applyBorder="1" applyAlignment="1"/>
    <xf numFmtId="39" fontId="3" fillId="5" borderId="28" xfId="0" applyNumberFormat="1" applyFont="1" applyFill="1" applyBorder="1" applyAlignment="1">
      <alignment horizontal="center"/>
    </xf>
    <xf numFmtId="39" fontId="23" fillId="0" borderId="0" xfId="0" applyNumberFormat="1" applyFont="1"/>
    <xf numFmtId="39" fontId="23" fillId="0" borderId="0" xfId="0" applyNumberFormat="1" applyFont="1" applyAlignment="1">
      <alignment horizontal="left"/>
    </xf>
    <xf numFmtId="0" fontId="3" fillId="0" borderId="34" xfId="0" applyFont="1" applyBorder="1" applyAlignment="1">
      <alignment horizontal="center"/>
    </xf>
    <xf numFmtId="39" fontId="3" fillId="0" borderId="45" xfId="0" applyNumberFormat="1" applyFont="1" applyBorder="1" applyAlignment="1">
      <alignment horizontal="center"/>
    </xf>
    <xf numFmtId="39" fontId="1" fillId="0" borderId="46" xfId="0" applyNumberFormat="1" applyFont="1" applyBorder="1" applyAlignment="1">
      <alignment horizontal="center"/>
    </xf>
    <xf numFmtId="39" fontId="1" fillId="0" borderId="0" xfId="0" applyNumberFormat="1" applyFont="1" applyAlignment="1">
      <alignment horizontal="left" indent="1"/>
    </xf>
    <xf numFmtId="39" fontId="1" fillId="0" borderId="0" xfId="0" applyNumberFormat="1" applyFont="1" applyAlignment="1"/>
    <xf numFmtId="37" fontId="3" fillId="0" borderId="0" xfId="0" applyNumberFormat="1" applyFont="1" applyAlignment="1"/>
    <xf numFmtId="37" fontId="1" fillId="0" borderId="0" xfId="0" applyNumberFormat="1" applyFont="1" applyAlignment="1"/>
    <xf numFmtId="37" fontId="1" fillId="0" borderId="26" xfId="0" applyNumberFormat="1" applyFont="1" applyBorder="1" applyAlignment="1"/>
    <xf numFmtId="37" fontId="1" fillId="0" borderId="0" xfId="0" applyNumberFormat="1" applyFont="1" applyBorder="1" applyAlignment="1"/>
    <xf numFmtId="37" fontId="1" fillId="0" borderId="43" xfId="0" applyNumberFormat="1" applyFont="1" applyBorder="1" applyAlignment="1"/>
    <xf numFmtId="39" fontId="1" fillId="0" borderId="6" xfId="0" applyNumberFormat="1" applyFont="1" applyBorder="1" applyAlignment="1">
      <alignment horizontal="center"/>
    </xf>
    <xf numFmtId="5" fontId="1" fillId="0" borderId="8" xfId="0" applyNumberFormat="1" applyFont="1" applyBorder="1"/>
    <xf numFmtId="5" fontId="1" fillId="0" borderId="10" xfId="0" applyNumberFormat="1" applyFont="1" applyBorder="1"/>
    <xf numFmtId="5" fontId="1" fillId="0" borderId="47" xfId="0" applyNumberFormat="1" applyFont="1" applyBorder="1"/>
    <xf numFmtId="5" fontId="1" fillId="0" borderId="11" xfId="0" applyNumberFormat="1" applyFont="1" applyBorder="1"/>
    <xf numFmtId="5" fontId="1" fillId="0" borderId="9" xfId="0" applyNumberFormat="1" applyFont="1" applyBorder="1"/>
    <xf numFmtId="5" fontId="1" fillId="0" borderId="12" xfId="0" applyNumberFormat="1" applyFont="1" applyBorder="1"/>
    <xf numFmtId="5" fontId="1" fillId="0" borderId="48" xfId="0" applyNumberFormat="1" applyFont="1" applyBorder="1"/>
    <xf numFmtId="5" fontId="1" fillId="0" borderId="13" xfId="0" applyNumberFormat="1" applyFont="1" applyBorder="1"/>
    <xf numFmtId="173" fontId="1" fillId="0" borderId="0" xfId="0" applyNumberFormat="1" applyFont="1" applyBorder="1"/>
    <xf numFmtId="39" fontId="1" fillId="0" borderId="0" xfId="0" quotePrefix="1" applyNumberFormat="1" applyFont="1" applyBorder="1" applyAlignment="1">
      <alignment horizontal="left"/>
    </xf>
    <xf numFmtId="39" fontId="1" fillId="0" borderId="41" xfId="0" applyNumberFormat="1" applyFont="1" applyBorder="1" applyAlignment="1">
      <alignment horizontal="left"/>
    </xf>
    <xf numFmtId="173" fontId="3" fillId="0" borderId="0" xfId="0" applyNumberFormat="1" applyFont="1" applyBorder="1"/>
    <xf numFmtId="37" fontId="3" fillId="0" borderId="0" xfId="0" applyNumberFormat="1" applyFont="1" applyBorder="1" applyAlignment="1"/>
    <xf numFmtId="39" fontId="3" fillId="0" borderId="0" xfId="0" applyNumberFormat="1" applyFont="1" applyBorder="1" applyAlignment="1">
      <alignment horizontal="left"/>
    </xf>
    <xf numFmtId="7" fontId="3" fillId="0" borderId="0" xfId="0" applyNumberFormat="1" applyFont="1" applyBorder="1" applyAlignment="1"/>
    <xf numFmtId="39" fontId="3" fillId="0" borderId="0" xfId="0" quotePrefix="1" applyNumberFormat="1" applyFont="1" applyBorder="1" applyAlignment="1">
      <alignment horizontal="left"/>
    </xf>
    <xf numFmtId="173" fontId="1" fillId="0" borderId="36" xfId="0" applyNumberFormat="1" applyFont="1" applyBorder="1"/>
    <xf numFmtId="37" fontId="1" fillId="0" borderId="29" xfId="0" applyNumberFormat="1" applyFont="1" applyBorder="1" applyAlignment="1"/>
    <xf numFmtId="39" fontId="1" fillId="0" borderId="29" xfId="0" applyNumberFormat="1" applyFont="1" applyBorder="1" applyAlignment="1">
      <alignment horizontal="left"/>
    </xf>
    <xf numFmtId="176" fontId="1" fillId="0" borderId="43" xfId="0" applyNumberFormat="1" applyFont="1" applyBorder="1" applyAlignment="1"/>
    <xf numFmtId="39" fontId="1" fillId="0" borderId="26" xfId="0" applyNumberFormat="1" applyFont="1" applyBorder="1" applyAlignment="1"/>
    <xf numFmtId="39" fontId="1" fillId="0" borderId="0" xfId="0" applyNumberFormat="1" applyFont="1" applyBorder="1" applyAlignment="1"/>
    <xf numFmtId="39" fontId="1" fillId="0" borderId="43" xfId="0" applyNumberFormat="1" applyFont="1" applyBorder="1" applyAlignment="1"/>
    <xf numFmtId="0" fontId="1" fillId="0" borderId="26" xfId="0" applyFont="1" applyBorder="1"/>
    <xf numFmtId="0" fontId="1" fillId="0" borderId="0" xfId="0" applyFont="1" applyBorder="1"/>
    <xf numFmtId="0" fontId="1" fillId="0" borderId="43" xfId="0" applyFont="1" applyBorder="1"/>
    <xf numFmtId="0" fontId="1" fillId="0" borderId="29" xfId="0" applyFont="1" applyBorder="1"/>
    <xf numFmtId="39" fontId="1" fillId="0" borderId="40" xfId="0" applyNumberFormat="1" applyFont="1" applyBorder="1" applyAlignment="1">
      <alignment horizontal="left"/>
    </xf>
    <xf numFmtId="7" fontId="1" fillId="0" borderId="40" xfId="0" applyNumberFormat="1" applyFont="1" applyBorder="1" applyAlignment="1"/>
    <xf numFmtId="7" fontId="1" fillId="0" borderId="38" xfId="0" applyNumberFormat="1" applyFont="1" applyBorder="1" applyAlignment="1"/>
    <xf numFmtId="7" fontId="3" fillId="0" borderId="26" xfId="0" applyNumberFormat="1" applyFont="1" applyBorder="1" applyAlignment="1"/>
    <xf numFmtId="39" fontId="1" fillId="0" borderId="8" xfId="0" applyNumberFormat="1" applyFont="1" applyBorder="1" applyAlignment="1"/>
    <xf numFmtId="39" fontId="1" fillId="0" borderId="10" xfId="0" applyNumberFormat="1" applyFont="1" applyBorder="1" applyAlignment="1"/>
    <xf numFmtId="37" fontId="1" fillId="0" borderId="10" xfId="0" applyNumberFormat="1" applyFont="1" applyBorder="1" applyAlignment="1"/>
    <xf numFmtId="169" fontId="1" fillId="0" borderId="11" xfId="0" applyNumberFormat="1" applyFont="1" applyBorder="1"/>
    <xf numFmtId="39" fontId="1" fillId="0" borderId="9" xfId="0" applyNumberFormat="1" applyFont="1" applyBorder="1" applyAlignment="1"/>
    <xf numFmtId="39" fontId="1" fillId="0" borderId="12" xfId="0" applyNumberFormat="1" applyFont="1" applyBorder="1" applyAlignment="1"/>
    <xf numFmtId="37" fontId="1" fillId="0" borderId="12" xfId="0" applyNumberFormat="1" applyFont="1" applyBorder="1" applyAlignment="1"/>
    <xf numFmtId="169" fontId="1" fillId="0" borderId="13" xfId="0" applyNumberFormat="1" applyFont="1" applyBorder="1"/>
    <xf numFmtId="39" fontId="1" fillId="0" borderId="1" xfId="0" applyNumberFormat="1" applyFont="1" applyBorder="1" applyAlignment="1"/>
    <xf numFmtId="39" fontId="1" fillId="0" borderId="14" xfId="0" applyNumberFormat="1" applyFont="1" applyBorder="1" applyAlignment="1"/>
    <xf numFmtId="37" fontId="1" fillId="0" borderId="14" xfId="0" applyNumberFormat="1" applyFont="1" applyBorder="1" applyAlignment="1"/>
    <xf numFmtId="169" fontId="1" fillId="0" borderId="15" xfId="0" applyNumberFormat="1" applyFont="1" applyBorder="1"/>
    <xf numFmtId="5" fontId="1" fillId="0" borderId="1" xfId="0" applyNumberFormat="1" applyFont="1" applyBorder="1"/>
    <xf numFmtId="5" fontId="1" fillId="0" borderId="14" xfId="0" applyNumberFormat="1" applyFont="1" applyBorder="1"/>
    <xf numFmtId="5" fontId="1" fillId="0" borderId="15" xfId="0" applyNumberFormat="1" applyFont="1" applyBorder="1"/>
    <xf numFmtId="173" fontId="1" fillId="0" borderId="11" xfId="0" applyNumberFormat="1" applyFont="1" applyBorder="1" applyAlignment="1">
      <alignment horizontal="center"/>
    </xf>
    <xf numFmtId="173" fontId="1" fillId="0" borderId="13" xfId="0" applyNumberFormat="1" applyFont="1" applyBorder="1" applyAlignment="1">
      <alignment horizontal="center"/>
    </xf>
    <xf numFmtId="173" fontId="1" fillId="0" borderId="15" xfId="0" applyNumberFormat="1" applyFont="1" applyBorder="1" applyAlignment="1">
      <alignment horizontal="center"/>
    </xf>
    <xf numFmtId="0" fontId="1" fillId="0" borderId="2" xfId="0" applyFont="1" applyBorder="1"/>
    <xf numFmtId="0" fontId="1" fillId="0" borderId="33" xfId="0" applyFont="1" applyBorder="1"/>
    <xf numFmtId="0" fontId="3" fillId="0" borderId="35" xfId="0" applyFont="1" applyBorder="1" applyAlignment="1">
      <alignment horizontal="center"/>
    </xf>
    <xf numFmtId="173" fontId="3" fillId="0" borderId="35" xfId="0" applyNumberFormat="1" applyFont="1" applyBorder="1" applyAlignment="1">
      <alignment horizontal="center"/>
    </xf>
    <xf numFmtId="173" fontId="3" fillId="0" borderId="7" xfId="0" applyNumberFormat="1" applyFont="1" applyBorder="1" applyAlignment="1">
      <alignment horizontal="center"/>
    </xf>
    <xf numFmtId="37" fontId="3" fillId="0" borderId="3" xfId="0" applyNumberFormat="1" applyFont="1" applyBorder="1" applyAlignment="1">
      <alignment horizontal="center"/>
    </xf>
    <xf numFmtId="37" fontId="3" fillId="0" borderId="34" xfId="0" applyNumberFormat="1" applyFont="1" applyBorder="1" applyAlignment="1">
      <alignment horizontal="center"/>
    </xf>
    <xf numFmtId="37" fontId="1" fillId="0" borderId="6" xfId="0" applyNumberFormat="1" applyFont="1" applyBorder="1" applyAlignment="1">
      <alignment horizontal="center"/>
    </xf>
    <xf numFmtId="0" fontId="3" fillId="0" borderId="2" xfId="0" applyFont="1" applyFill="1" applyBorder="1" applyAlignment="1" applyProtection="1">
      <alignment horizontal="center"/>
    </xf>
    <xf numFmtId="0" fontId="3" fillId="0" borderId="3" xfId="0" applyFont="1" applyFill="1" applyBorder="1" applyAlignment="1" applyProtection="1">
      <alignment horizontal="center"/>
    </xf>
    <xf numFmtId="0" fontId="3" fillId="0" borderId="4" xfId="0" applyFont="1" applyFill="1" applyBorder="1" applyAlignment="1" applyProtection="1">
      <alignment horizontal="center"/>
    </xf>
    <xf numFmtId="39" fontId="1" fillId="0" borderId="5" xfId="0" quotePrefix="1" applyNumberFormat="1" applyFont="1" applyBorder="1" applyAlignment="1">
      <alignment horizontal="center"/>
    </xf>
    <xf numFmtId="0" fontId="1" fillId="0" borderId="6" xfId="0" applyFont="1" applyBorder="1" applyAlignment="1">
      <alignment horizontal="center"/>
    </xf>
    <xf numFmtId="0" fontId="3" fillId="0" borderId="44" xfId="0" applyFont="1" applyFill="1" applyBorder="1" applyAlignment="1" applyProtection="1">
      <alignment horizontal="center"/>
    </xf>
    <xf numFmtId="5" fontId="1" fillId="0" borderId="16" xfId="0" applyNumberFormat="1" applyFont="1" applyBorder="1"/>
    <xf numFmtId="39" fontId="1" fillId="0" borderId="29" xfId="0" quotePrefix="1" applyNumberFormat="1" applyFont="1" applyBorder="1" applyAlignment="1"/>
    <xf numFmtId="0" fontId="1" fillId="0" borderId="29" xfId="0" applyFont="1" applyBorder="1" applyAlignment="1"/>
    <xf numFmtId="39" fontId="5" fillId="0" borderId="29" xfId="0" quotePrefix="1" applyNumberFormat="1" applyFont="1" applyBorder="1" applyAlignment="1"/>
    <xf numFmtId="39" fontId="5" fillId="0" borderId="29" xfId="0" applyNumberFormat="1" applyFont="1" applyBorder="1" applyAlignment="1"/>
    <xf numFmtId="174" fontId="5" fillId="0" borderId="36" xfId="0" applyNumberFormat="1" applyFont="1" applyBorder="1" applyAlignment="1">
      <alignment horizontal="center"/>
    </xf>
    <xf numFmtId="173" fontId="5" fillId="0" borderId="29" xfId="0" applyNumberFormat="1" applyFont="1" applyBorder="1" applyAlignment="1">
      <alignment horizontal="center"/>
    </xf>
    <xf numFmtId="37" fontId="5" fillId="0" borderId="29" xfId="0" applyNumberFormat="1" applyFont="1" applyBorder="1" applyAlignment="1"/>
    <xf numFmtId="39" fontId="3" fillId="0" borderId="29" xfId="0" applyNumberFormat="1" applyFont="1" applyBorder="1" applyAlignment="1">
      <alignment horizontal="right"/>
    </xf>
    <xf numFmtId="39" fontId="1" fillId="0" borderId="21" xfId="0" applyNumberFormat="1" applyFont="1" applyBorder="1" applyAlignment="1">
      <alignment horizontal="left"/>
    </xf>
    <xf numFmtId="39" fontId="1" fillId="0" borderId="42" xfId="0" quotePrefix="1" applyNumberFormat="1" applyFont="1" applyBorder="1" applyAlignment="1">
      <alignment horizontal="left"/>
    </xf>
    <xf numFmtId="39" fontId="1" fillId="0" borderId="20" xfId="0" quotePrefix="1" applyNumberFormat="1" applyFont="1" applyBorder="1" applyAlignment="1">
      <alignment horizontal="left"/>
    </xf>
    <xf numFmtId="39" fontId="1" fillId="0" borderId="39" xfId="0" applyNumberFormat="1" applyFont="1" applyBorder="1" applyAlignment="1">
      <alignment horizontal="left"/>
    </xf>
    <xf numFmtId="7" fontId="1" fillId="0" borderId="27" xfId="0" applyNumberFormat="1" applyFont="1" applyBorder="1" applyAlignment="1"/>
    <xf numFmtId="176" fontId="1" fillId="0" borderId="32" xfId="0" applyNumberFormat="1" applyFont="1" applyBorder="1" applyAlignment="1"/>
    <xf numFmtId="7" fontId="1" fillId="0" borderId="25" xfId="0" applyNumberFormat="1" applyFont="1" applyBorder="1" applyAlignment="1"/>
    <xf numFmtId="39" fontId="1" fillId="0" borderId="28" xfId="0" quotePrefix="1" applyNumberFormat="1" applyFont="1" applyBorder="1" applyAlignment="1">
      <alignment horizontal="left"/>
    </xf>
    <xf numFmtId="39" fontId="1" fillId="0" borderId="21" xfId="0" quotePrefix="1" applyNumberFormat="1" applyFont="1" applyBorder="1" applyAlignment="1">
      <alignment horizontal="left"/>
    </xf>
    <xf numFmtId="173" fontId="1" fillId="0" borderId="26" xfId="0" applyNumberFormat="1" applyFont="1" applyBorder="1"/>
    <xf numFmtId="39" fontId="1" fillId="0" borderId="38" xfId="0" applyNumberFormat="1" applyFont="1" applyBorder="1" applyAlignment="1">
      <alignment horizontal="left"/>
    </xf>
    <xf numFmtId="39" fontId="1" fillId="0" borderId="32" xfId="0" applyNumberFormat="1" applyFont="1" applyBorder="1" applyAlignment="1">
      <alignment horizontal="left"/>
    </xf>
    <xf numFmtId="0" fontId="1" fillId="0" borderId="39" xfId="0" applyFont="1" applyBorder="1"/>
    <xf numFmtId="171" fontId="1" fillId="0" borderId="26" xfId="7" applyNumberFormat="1" applyFont="1" applyBorder="1" applyAlignment="1"/>
    <xf numFmtId="0" fontId="1" fillId="0" borderId="40" xfId="0" applyFont="1" applyBorder="1"/>
    <xf numFmtId="171" fontId="1" fillId="0" borderId="0" xfId="7" applyNumberFormat="1" applyFont="1" applyBorder="1" applyAlignment="1"/>
    <xf numFmtId="0" fontId="1" fillId="0" borderId="38" xfId="0" applyFont="1" applyBorder="1" applyAlignment="1">
      <alignment horizontal="left" indent="1"/>
    </xf>
    <xf numFmtId="171" fontId="1" fillId="0" borderId="27" xfId="7" applyNumberFormat="1" applyFont="1" applyBorder="1" applyAlignment="1"/>
    <xf numFmtId="171" fontId="1" fillId="0" borderId="41" xfId="7" applyNumberFormat="1" applyFont="1" applyBorder="1" applyAlignment="1"/>
    <xf numFmtId="39" fontId="1" fillId="0" borderId="27" xfId="0" applyNumberFormat="1" applyFont="1" applyBorder="1"/>
    <xf numFmtId="7" fontId="1" fillId="0" borderId="39" xfId="0" applyNumberFormat="1" applyFont="1" applyBorder="1" applyAlignment="1"/>
    <xf numFmtId="7" fontId="1" fillId="0" borderId="36" xfId="0" applyNumberFormat="1" applyFont="1" applyBorder="1" applyAlignment="1"/>
    <xf numFmtId="39" fontId="1" fillId="0" borderId="25" xfId="0" applyNumberFormat="1" applyFont="1" applyBorder="1" applyAlignment="1">
      <alignment horizontal="left"/>
    </xf>
    <xf numFmtId="174" fontId="8" fillId="0" borderId="0" xfId="0" applyNumberFormat="1" applyFont="1" applyAlignment="1"/>
    <xf numFmtId="173" fontId="3" fillId="0" borderId="49" xfId="0" applyNumberFormat="1" applyFont="1" applyBorder="1" applyAlignment="1" applyProtection="1">
      <alignment horizontal="center"/>
    </xf>
    <xf numFmtId="173" fontId="3" fillId="0" borderId="50" xfId="0" applyNumberFormat="1" applyFont="1" applyBorder="1" applyAlignment="1" applyProtection="1">
      <alignment horizontal="center"/>
    </xf>
    <xf numFmtId="173" fontId="1" fillId="0" borderId="51" xfId="0" applyNumberFormat="1" applyFont="1" applyBorder="1" applyAlignment="1" applyProtection="1">
      <alignment horizontal="center"/>
    </xf>
    <xf numFmtId="39" fontId="3" fillId="0" borderId="22" xfId="0" applyNumberFormat="1" applyFont="1" applyFill="1" applyBorder="1" applyProtection="1"/>
    <xf numFmtId="1" fontId="21" fillId="4" borderId="30" xfId="0" applyNumberFormat="1" applyFont="1" applyFill="1" applyBorder="1" applyAlignment="1" applyProtection="1">
      <alignment horizontal="left"/>
      <protection locked="0"/>
    </xf>
    <xf numFmtId="173" fontId="21" fillId="4" borderId="30" xfId="0" applyNumberFormat="1" applyFont="1" applyFill="1" applyBorder="1" applyAlignment="1" applyProtection="1">
      <alignment horizontal="left"/>
      <protection locked="0"/>
    </xf>
    <xf numFmtId="1" fontId="21" fillId="4" borderId="52" xfId="0" applyNumberFormat="1" applyFont="1" applyFill="1" applyBorder="1" applyAlignment="1" applyProtection="1">
      <alignment horizontal="left"/>
      <protection locked="0"/>
    </xf>
    <xf numFmtId="173" fontId="21" fillId="4" borderId="52" xfId="0" applyNumberFormat="1" applyFont="1" applyFill="1" applyBorder="1" applyAlignment="1" applyProtection="1">
      <alignment horizontal="left"/>
      <protection locked="0"/>
    </xf>
    <xf numFmtId="1" fontId="21" fillId="4" borderId="53" xfId="0" applyNumberFormat="1" applyFont="1" applyFill="1" applyBorder="1" applyAlignment="1" applyProtection="1">
      <alignment horizontal="left"/>
      <protection locked="0"/>
    </xf>
    <xf numFmtId="173" fontId="21" fillId="4" borderId="53" xfId="0" applyNumberFormat="1" applyFont="1" applyFill="1" applyBorder="1" applyAlignment="1" applyProtection="1">
      <alignment horizontal="left"/>
      <protection locked="0"/>
    </xf>
    <xf numFmtId="0" fontId="2" fillId="0" borderId="0" xfId="2" applyFont="1" applyBorder="1" applyAlignment="1"/>
    <xf numFmtId="0" fontId="2" fillId="0" borderId="0" xfId="2" applyFont="1" applyBorder="1" applyAlignment="1">
      <alignment horizontal="center"/>
    </xf>
    <xf numFmtId="0" fontId="2" fillId="0" borderId="0" xfId="2" applyFont="1"/>
    <xf numFmtId="0" fontId="2" fillId="0" borderId="0" xfId="2" applyFont="1" applyAlignment="1">
      <alignment horizontal="center"/>
    </xf>
    <xf numFmtId="0" fontId="1" fillId="0" borderId="28" xfId="2" quotePrefix="1" applyFont="1" applyBorder="1" applyAlignment="1">
      <alignment vertical="center"/>
    </xf>
    <xf numFmtId="0" fontId="1" fillId="0" borderId="28" xfId="2" applyFont="1" applyBorder="1" applyAlignment="1">
      <alignment vertical="center" wrapText="1"/>
    </xf>
    <xf numFmtId="0" fontId="3" fillId="0" borderId="0" xfId="0" applyFont="1" applyFill="1" applyAlignment="1" applyProtection="1">
      <alignment horizontal="left"/>
    </xf>
    <xf numFmtId="173" fontId="3" fillId="0" borderId="0" xfId="0" applyNumberFormat="1" applyFont="1" applyProtection="1"/>
    <xf numFmtId="37" fontId="3" fillId="0" borderId="0" xfId="0" applyNumberFormat="1" applyFont="1" applyProtection="1"/>
    <xf numFmtId="173" fontId="5" fillId="0" borderId="0" xfId="0" applyNumberFormat="1" applyFont="1" applyFill="1" applyBorder="1" applyAlignment="1" applyProtection="1">
      <alignment horizontal="left"/>
    </xf>
    <xf numFmtId="171" fontId="21" fillId="4" borderId="31" xfId="0" applyNumberFormat="1" applyFont="1" applyFill="1" applyBorder="1" applyProtection="1">
      <protection locked="0"/>
    </xf>
    <xf numFmtId="171" fontId="21" fillId="4" borderId="23" xfId="0" applyNumberFormat="1" applyFont="1" applyFill="1" applyBorder="1" applyProtection="1">
      <protection locked="0"/>
    </xf>
    <xf numFmtId="0" fontId="12" fillId="0" borderId="0" xfId="5">
      <alignment vertical="top"/>
    </xf>
    <xf numFmtId="0" fontId="24" fillId="0" borderId="0" xfId="0" applyFont="1"/>
    <xf numFmtId="0" fontId="25" fillId="0" borderId="0" xfId="2" applyFont="1"/>
    <xf numFmtId="0" fontId="26" fillId="0" borderId="0" xfId="2" applyFont="1"/>
    <xf numFmtId="15" fontId="1" fillId="0" borderId="0" xfId="0" quotePrefix="1" applyNumberFormat="1" applyFont="1" applyProtection="1"/>
    <xf numFmtId="0" fontId="1" fillId="0" borderId="0" xfId="2" applyBorder="1" applyAlignment="1">
      <alignment vertical="center"/>
    </xf>
    <xf numFmtId="0" fontId="1" fillId="0" borderId="26" xfId="2" quotePrefix="1" applyFont="1" applyBorder="1" applyAlignment="1">
      <alignment vertical="center"/>
    </xf>
    <xf numFmtId="0" fontId="1" fillId="0" borderId="26" xfId="2" applyFont="1" applyBorder="1" applyAlignment="1">
      <alignment vertical="center" wrapText="1"/>
    </xf>
    <xf numFmtId="0" fontId="1" fillId="0" borderId="0" xfId="2" applyBorder="1"/>
    <xf numFmtId="0" fontId="1" fillId="0" borderId="0" xfId="0" quotePrefix="1" applyFont="1" applyProtection="1"/>
    <xf numFmtId="178" fontId="1" fillId="0" borderId="25" xfId="0" applyNumberFormat="1" applyFont="1" applyBorder="1" applyAlignment="1"/>
    <xf numFmtId="0" fontId="1" fillId="0" borderId="36" xfId="2" applyFont="1" applyBorder="1" applyAlignment="1">
      <alignment vertical="center" wrapText="1"/>
    </xf>
    <xf numFmtId="0" fontId="4" fillId="0" borderId="29" xfId="2" applyFont="1" applyBorder="1" applyAlignment="1">
      <alignment vertical="center" wrapText="1"/>
    </xf>
    <xf numFmtId="0" fontId="4" fillId="0" borderId="25" xfId="2" applyFont="1" applyBorder="1" applyAlignment="1">
      <alignment vertical="center" wrapText="1"/>
    </xf>
    <xf numFmtId="0" fontId="1" fillId="0" borderId="26" xfId="2" applyFont="1" applyBorder="1" applyAlignment="1">
      <alignment vertical="center" wrapText="1"/>
    </xf>
    <xf numFmtId="0" fontId="4" fillId="0" borderId="26" xfId="2" applyFont="1" applyBorder="1" applyAlignment="1">
      <alignment vertical="center" wrapText="1"/>
    </xf>
    <xf numFmtId="0" fontId="13" fillId="3" borderId="0" xfId="0" quotePrefix="1" applyFont="1" applyFill="1" applyAlignment="1" applyProtection="1">
      <alignment horizontal="left"/>
      <protection locked="0"/>
    </xf>
    <xf numFmtId="0" fontId="13" fillId="3" borderId="0" xfId="0" applyFont="1" applyFill="1" applyAlignment="1" applyProtection="1">
      <alignment horizontal="left"/>
      <protection locked="0"/>
    </xf>
    <xf numFmtId="0" fontId="3" fillId="0" borderId="36" xfId="0" applyFont="1" applyBorder="1" applyAlignment="1" applyProtection="1">
      <alignment horizontal="center"/>
    </xf>
    <xf numFmtId="0" fontId="3" fillId="0" borderId="29" xfId="0" applyFont="1" applyBorder="1" applyAlignment="1" applyProtection="1">
      <alignment horizontal="center"/>
    </xf>
    <xf numFmtId="0" fontId="3" fillId="0" borderId="25" xfId="0" applyFont="1" applyBorder="1" applyAlignment="1" applyProtection="1">
      <alignment horizontal="center"/>
    </xf>
    <xf numFmtId="0" fontId="3" fillId="0" borderId="37" xfId="0" applyFont="1" applyBorder="1" applyAlignment="1" applyProtection="1">
      <alignment horizontal="center"/>
    </xf>
    <xf numFmtId="0" fontId="3" fillId="0" borderId="30" xfId="0" applyFont="1" applyBorder="1" applyAlignment="1" applyProtection="1">
      <alignment horizontal="center"/>
    </xf>
    <xf numFmtId="170" fontId="13" fillId="0" borderId="0" xfId="0" applyNumberFormat="1" applyFont="1" applyFill="1" applyAlignment="1" applyProtection="1">
      <alignment horizontal="right"/>
    </xf>
    <xf numFmtId="10" fontId="13" fillId="3" borderId="0" xfId="0" applyNumberFormat="1" applyFont="1" applyFill="1" applyAlignment="1" applyProtection="1">
      <alignment horizontal="right"/>
      <protection locked="0"/>
    </xf>
    <xf numFmtId="170" fontId="13" fillId="4" borderId="0" xfId="0" applyNumberFormat="1" applyFont="1" applyFill="1" applyAlignment="1" applyProtection="1">
      <alignment horizontal="right"/>
      <protection locked="0"/>
    </xf>
    <xf numFmtId="0" fontId="13" fillId="3" borderId="0" xfId="0" applyFont="1" applyFill="1" applyAlignment="1" applyProtection="1">
      <alignment horizontal="right"/>
      <protection locked="0"/>
    </xf>
    <xf numFmtId="0" fontId="3" fillId="2" borderId="36" xfId="0" applyFont="1" applyFill="1" applyBorder="1" applyAlignment="1" applyProtection="1">
      <alignment horizontal="center"/>
    </xf>
    <xf numFmtId="0" fontId="3" fillId="2" borderId="29" xfId="0" applyFont="1" applyFill="1" applyBorder="1" applyAlignment="1" applyProtection="1">
      <alignment horizontal="center"/>
    </xf>
    <xf numFmtId="0" fontId="3" fillId="2" borderId="25" xfId="0" applyFont="1" applyFill="1" applyBorder="1" applyAlignment="1" applyProtection="1">
      <alignment horizontal="center"/>
    </xf>
    <xf numFmtId="0" fontId="8" fillId="0" borderId="0" xfId="0" applyFont="1" applyAlignment="1" applyProtection="1">
      <alignment horizontal="center"/>
    </xf>
    <xf numFmtId="0" fontId="3" fillId="0" borderId="0" xfId="0" applyFont="1" applyAlignment="1" applyProtection="1">
      <alignment horizontal="center"/>
    </xf>
    <xf numFmtId="0" fontId="14" fillId="3" borderId="0" xfId="0" applyFont="1" applyFill="1" applyAlignment="1" applyProtection="1">
      <alignment horizontal="left"/>
      <protection locked="0"/>
    </xf>
    <xf numFmtId="170" fontId="13" fillId="3" borderId="0" xfId="0" applyNumberFormat="1" applyFont="1" applyFill="1" applyAlignment="1" applyProtection="1">
      <alignment horizontal="left"/>
      <protection locked="0"/>
    </xf>
    <xf numFmtId="7" fontId="13" fillId="3" borderId="0" xfId="0" applyNumberFormat="1" applyFont="1" applyFill="1" applyAlignment="1" applyProtection="1">
      <alignment horizontal="right"/>
      <protection locked="0"/>
    </xf>
    <xf numFmtId="0" fontId="3" fillId="0" borderId="0" xfId="0" applyFont="1" applyFill="1" applyAlignment="1" applyProtection="1">
      <alignment horizontal="left"/>
    </xf>
    <xf numFmtId="0" fontId="3" fillId="0" borderId="36" xfId="0" applyFont="1" applyFill="1" applyBorder="1" applyAlignment="1" applyProtection="1">
      <alignment horizontal="left"/>
    </xf>
    <xf numFmtId="0" fontId="3" fillId="0" borderId="29" xfId="0" applyFont="1" applyFill="1" applyBorder="1" applyAlignment="1" applyProtection="1">
      <alignment horizontal="left"/>
    </xf>
    <xf numFmtId="0" fontId="3" fillId="0" borderId="25" xfId="0" applyFont="1" applyFill="1" applyBorder="1" applyAlignment="1" applyProtection="1">
      <alignment horizontal="left"/>
    </xf>
    <xf numFmtId="0" fontId="1" fillId="0" borderId="0" xfId="0" applyFont="1" applyFill="1" applyAlignment="1" applyProtection="1">
      <alignment horizontal="left"/>
    </xf>
    <xf numFmtId="170" fontId="1" fillId="0" borderId="0" xfId="0" applyNumberFormat="1" applyFont="1" applyFill="1" applyAlignment="1" applyProtection="1">
      <alignment horizontal="left"/>
    </xf>
    <xf numFmtId="39" fontId="3" fillId="5" borderId="28" xfId="0" applyNumberFormat="1" applyFont="1" applyFill="1" applyBorder="1" applyAlignment="1">
      <alignment horizontal="center"/>
    </xf>
    <xf numFmtId="174" fontId="8" fillId="0" borderId="0" xfId="0" applyNumberFormat="1" applyFont="1" applyAlignment="1">
      <alignment horizontal="center"/>
    </xf>
    <xf numFmtId="39" fontId="3" fillId="0" borderId="0" xfId="0" applyNumberFormat="1" applyFont="1" applyAlignment="1">
      <alignment horizontal="left"/>
    </xf>
    <xf numFmtId="0" fontId="1" fillId="0" borderId="0" xfId="0" applyNumberFormat="1" applyFont="1" applyAlignment="1">
      <alignment horizontal="left"/>
    </xf>
    <xf numFmtId="39" fontId="1" fillId="0" borderId="0" xfId="0" applyNumberFormat="1" applyFont="1" applyAlignment="1">
      <alignment horizontal="left"/>
    </xf>
    <xf numFmtId="170" fontId="1" fillId="0" borderId="0" xfId="0" applyNumberFormat="1" applyFont="1" applyAlignment="1">
      <alignment horizontal="left"/>
    </xf>
    <xf numFmtId="5" fontId="1" fillId="0" borderId="0" xfId="0" applyNumberFormat="1" applyFont="1" applyAlignment="1"/>
    <xf numFmtId="5" fontId="3" fillId="0" borderId="26" xfId="0" applyNumberFormat="1" applyFont="1" applyBorder="1" applyAlignment="1"/>
    <xf numFmtId="0" fontId="3" fillId="0" borderId="36" xfId="0" applyFont="1" applyFill="1" applyBorder="1" applyAlignment="1" applyProtection="1">
      <alignment horizontal="center"/>
    </xf>
    <xf numFmtId="0" fontId="3" fillId="0" borderId="29" xfId="0" applyFont="1" applyFill="1" applyBorder="1" applyAlignment="1" applyProtection="1">
      <alignment horizontal="center"/>
    </xf>
    <xf numFmtId="0" fontId="3" fillId="0" borderId="25" xfId="0" applyFont="1" applyFill="1" applyBorder="1" applyAlignment="1" applyProtection="1">
      <alignment horizontal="center"/>
    </xf>
    <xf numFmtId="39" fontId="3" fillId="0" borderId="36" xfId="0" applyNumberFormat="1" applyFont="1" applyFill="1" applyBorder="1" applyAlignment="1">
      <alignment horizontal="center"/>
    </xf>
    <xf numFmtId="39" fontId="3" fillId="0" borderId="29" xfId="0" applyNumberFormat="1" applyFont="1" applyFill="1" applyBorder="1" applyAlignment="1">
      <alignment horizontal="center"/>
    </xf>
    <xf numFmtId="39" fontId="3" fillId="0" borderId="25" xfId="0" applyNumberFormat="1" applyFont="1" applyFill="1" applyBorder="1" applyAlignment="1">
      <alignment horizontal="center"/>
    </xf>
    <xf numFmtId="175" fontId="3" fillId="0" borderId="29" xfId="0" applyNumberFormat="1" applyFont="1" applyBorder="1" applyAlignment="1"/>
    <xf numFmtId="175" fontId="3" fillId="0" borderId="25" xfId="0" applyNumberFormat="1" applyFont="1" applyBorder="1" applyAlignment="1"/>
    <xf numFmtId="175" fontId="3" fillId="0" borderId="28" xfId="0" applyNumberFormat="1" applyFont="1" applyBorder="1" applyAlignment="1"/>
    <xf numFmtId="7" fontId="1" fillId="0" borderId="40" xfId="0" applyNumberFormat="1" applyFont="1" applyBorder="1" applyAlignment="1"/>
    <xf numFmtId="7" fontId="1" fillId="0" borderId="0" xfId="0" applyNumberFormat="1" applyFont="1" applyBorder="1" applyAlignment="1"/>
    <xf numFmtId="7" fontId="1" fillId="0" borderId="38" xfId="0" applyNumberFormat="1" applyFont="1" applyBorder="1" applyAlignment="1"/>
    <xf numFmtId="7" fontId="1" fillId="0" borderId="43" xfId="0" applyNumberFormat="1" applyFont="1" applyBorder="1" applyAlignment="1"/>
    <xf numFmtId="174" fontId="3" fillId="5" borderId="36" xfId="0" applyNumberFormat="1" applyFont="1" applyFill="1" applyBorder="1" applyAlignment="1">
      <alignment horizontal="center"/>
    </xf>
    <xf numFmtId="174" fontId="3" fillId="5" borderId="29" xfId="0" applyNumberFormat="1" applyFont="1" applyFill="1" applyBorder="1" applyAlignment="1">
      <alignment horizontal="center"/>
    </xf>
    <xf numFmtId="174" fontId="3" fillId="5" borderId="25" xfId="0" applyNumberFormat="1" applyFont="1" applyFill="1" applyBorder="1" applyAlignment="1">
      <alignment horizontal="center"/>
    </xf>
    <xf numFmtId="0" fontId="3" fillId="5" borderId="36" xfId="0" applyFont="1" applyFill="1" applyBorder="1" applyAlignment="1">
      <alignment horizontal="center"/>
    </xf>
    <xf numFmtId="0" fontId="3" fillId="5" borderId="29" xfId="0" applyFont="1" applyFill="1" applyBorder="1" applyAlignment="1">
      <alignment horizontal="center"/>
    </xf>
    <xf numFmtId="0" fontId="3" fillId="5" borderId="25" xfId="0" applyFont="1" applyFill="1" applyBorder="1" applyAlignment="1">
      <alignment horizontal="center"/>
    </xf>
    <xf numFmtId="39" fontId="23" fillId="0" borderId="0" xfId="0" applyNumberFormat="1" applyFont="1" applyAlignment="1">
      <alignment horizontal="left"/>
    </xf>
    <xf numFmtId="39" fontId="3" fillId="5" borderId="36" xfId="0" applyNumberFormat="1" applyFont="1" applyFill="1" applyBorder="1" applyAlignment="1">
      <alignment horizontal="center"/>
    </xf>
    <xf numFmtId="39" fontId="3" fillId="5" borderId="25" xfId="0" applyNumberFormat="1" applyFont="1" applyFill="1" applyBorder="1" applyAlignment="1">
      <alignment horizontal="center"/>
    </xf>
    <xf numFmtId="7" fontId="1" fillId="0" borderId="32" xfId="0" applyNumberFormat="1" applyFont="1" applyBorder="1" applyAlignment="1"/>
    <xf numFmtId="39" fontId="3" fillId="5" borderId="29" xfId="0" applyNumberFormat="1" applyFont="1" applyFill="1" applyBorder="1" applyAlignment="1">
      <alignment horizontal="center"/>
    </xf>
    <xf numFmtId="7" fontId="1" fillId="0" borderId="41" xfId="0" applyNumberFormat="1" applyFont="1" applyBorder="1" applyAlignment="1"/>
    <xf numFmtId="5" fontId="3" fillId="0" borderId="29" xfId="0" applyNumberFormat="1" applyFont="1" applyBorder="1" applyAlignment="1"/>
    <xf numFmtId="5" fontId="3" fillId="0" borderId="25" xfId="0" applyNumberFormat="1" applyFont="1" applyBorder="1" applyAlignment="1"/>
    <xf numFmtId="39" fontId="1" fillId="0" borderId="0" xfId="0" applyNumberFormat="1" applyFont="1" applyAlignment="1"/>
  </cellXfs>
  <cellStyles count="10">
    <cellStyle name="Between Paragraphs" xfId="1"/>
    <cellStyle name="Currency 2" xfId="8"/>
    <cellStyle name="Fact Sheet Body Text" xfId="2"/>
    <cellStyle name="Fact Sheet Heading 1" xfId="3"/>
    <cellStyle name="Fact Sheet Heading 2" xfId="4"/>
    <cellStyle name="Fact Sheet Heading 3" xfId="5"/>
    <cellStyle name="Normal" xfId="0" builtinId="0"/>
    <cellStyle name="Normal 2" xfId="6"/>
    <cellStyle name="Percent" xfId="7" builtinId="5"/>
    <cellStyle name="Percent 2" xfId="9"/>
  </cellStyles>
  <dxfs count="28">
    <dxf>
      <font>
        <b/>
        <i val="0"/>
        <condense val="0"/>
        <extend val="0"/>
        <color indexed="9"/>
      </font>
      <fill>
        <patternFill>
          <bgColor indexed="10"/>
        </patternFill>
      </fill>
    </dxf>
    <dxf>
      <font>
        <b/>
        <i val="0"/>
        <color theme="0"/>
      </font>
      <fill>
        <patternFill>
          <bgColor rgb="FFFF0000"/>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fill>
    </dxf>
    <dxf>
      <fill>
        <patternFill patternType="lightUp"/>
      </fill>
    </dxf>
    <dxf>
      <fill>
        <patternFill patternType="lightUp"/>
      </fill>
    </dxf>
    <dxf>
      <fill>
        <patternFill patternType="lightUp"/>
      </fill>
    </dxf>
    <dxf>
      <font>
        <b/>
        <i val="0"/>
        <condense val="0"/>
        <extend val="0"/>
        <color indexed="9"/>
      </font>
      <fill>
        <patternFill>
          <bgColor indexed="10"/>
        </patternFill>
      </fill>
    </dxf>
    <dxf>
      <fill>
        <patternFill patternType="lightUp">
          <bgColor indexed="65"/>
        </patternFill>
      </fill>
    </dxf>
    <dxf>
      <fill>
        <patternFill patternType="lightUp"/>
      </fill>
    </dxf>
    <dxf>
      <fill>
        <patternFill patternType="lightUp">
          <bgColor indexed="65"/>
        </patternFill>
      </fill>
    </dxf>
    <dxf>
      <fill>
        <patternFill patternType="lightUp">
          <bgColor indexed="65"/>
        </patternFill>
      </fill>
    </dxf>
    <dxf>
      <fill>
        <patternFill patternType="lightUp"/>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ill>
        <patternFill patternType="lightUp">
          <bgColor indexed="65"/>
        </patternFill>
      </fill>
    </dxf>
    <dxf>
      <fill>
        <patternFill patternType="lightUp"/>
      </fill>
    </dxf>
    <dxf>
      <fill>
        <patternFill patternType="lightUp">
          <bgColor indexed="65"/>
        </patternFill>
      </fill>
    </dxf>
    <dxf>
      <fill>
        <patternFill patternType="lightUp">
          <bgColor indexed="65"/>
        </patternFill>
      </fill>
    </dxf>
    <dxf>
      <fill>
        <patternFill patternType="lightUp"/>
      </fill>
    </dxf>
  </dxfs>
  <tableStyles count="0" defaultTableStyle="TableStyleMedium2" defaultPivotStyle="PivotStyleLight16"/>
  <colors>
    <mruColors>
      <color rgb="FF969696"/>
      <color rgb="FFC0C0C0"/>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7620</xdr:colOff>
      <xdr:row>0</xdr:row>
      <xdr:rowOff>0</xdr:rowOff>
    </xdr:from>
    <xdr:to>
      <xdr:col>7</xdr:col>
      <xdr:colOff>0</xdr:colOff>
      <xdr:row>7</xdr:row>
      <xdr:rowOff>144780</xdr:rowOff>
    </xdr:to>
    <xdr:pic>
      <xdr:nvPicPr>
        <xdr:cNvPr id="19746" name="Picture 5" descr="Description: AESO Banner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615" t="20100" r="4659" b="10303"/>
        <a:stretch>
          <a:fillRect/>
        </a:stretch>
      </xdr:blipFill>
      <xdr:spPr bwMode="auto">
        <a:xfrm>
          <a:off x="7620" y="0"/>
          <a:ext cx="6850380" cy="1318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1</xdr:row>
      <xdr:rowOff>28575</xdr:rowOff>
    </xdr:from>
    <xdr:to>
      <xdr:col>6</xdr:col>
      <xdr:colOff>285750</xdr:colOff>
      <xdr:row>6</xdr:row>
      <xdr:rowOff>133350</xdr:rowOff>
    </xdr:to>
    <xdr:sp macro="" textlink="">
      <xdr:nvSpPr>
        <xdr:cNvPr id="3" name="Text Box 2"/>
        <xdr:cNvSpPr txBox="1">
          <a:spLocks noChangeArrowheads="1"/>
        </xdr:cNvSpPr>
      </xdr:nvSpPr>
      <xdr:spPr bwMode="auto">
        <a:xfrm>
          <a:off x="514350" y="190500"/>
          <a:ext cx="5943600" cy="914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400" b="0" i="0" u="none" strike="noStrike" baseline="0">
              <a:solidFill>
                <a:srgbClr val="FFFFFF"/>
              </a:solidFill>
              <a:latin typeface="Arial"/>
              <a:cs typeface="Arial"/>
            </a:rPr>
            <a:t>Information Document</a:t>
          </a:r>
        </a:p>
        <a:p>
          <a:pPr algn="l" rtl="0">
            <a:defRPr sz="1000"/>
          </a:pPr>
          <a:r>
            <a:rPr lang="en-CA" sz="1400" b="0" i="0" u="none" strike="noStrike" baseline="0">
              <a:solidFill>
                <a:srgbClr val="FFFFFF"/>
              </a:solidFill>
              <a:latin typeface="Arial"/>
              <a:cs typeface="Arial"/>
            </a:rPr>
            <a:t>Payment in Lieu of Notice Calculator for 2018 ISO Tariff</a:t>
          </a:r>
        </a:p>
        <a:p>
          <a:pPr algn="l" rtl="0">
            <a:defRPr sz="1000"/>
          </a:pPr>
          <a:r>
            <a:rPr lang="en-CA" sz="1400" b="0" i="0" u="none" strike="noStrike" baseline="0">
              <a:solidFill>
                <a:srgbClr val="FFFFFF"/>
              </a:solidFill>
              <a:latin typeface="Arial"/>
              <a:cs typeface="Arial"/>
            </a:rPr>
            <a:t>ID No. 2018-010T</a:t>
          </a:r>
        </a:p>
      </xdr:txBody>
    </xdr:sp>
    <xdr:clientData/>
  </xdr:twoCellAnchor>
  <xdr:twoCellAnchor>
    <xdr:from>
      <xdr:col>1</xdr:col>
      <xdr:colOff>0</xdr:colOff>
      <xdr:row>49</xdr:row>
      <xdr:rowOff>160020</xdr:rowOff>
    </xdr:from>
    <xdr:to>
      <xdr:col>2</xdr:col>
      <xdr:colOff>1003911</xdr:colOff>
      <xdr:row>49</xdr:row>
      <xdr:rowOff>160020</xdr:rowOff>
    </xdr:to>
    <xdr:cxnSp macro="">
      <xdr:nvCxnSpPr>
        <xdr:cNvPr id="4" name="Straight Connector 3"/>
        <xdr:cNvCxnSpPr/>
      </xdr:nvCxnSpPr>
      <xdr:spPr>
        <a:xfrm>
          <a:off x="514350" y="8105775"/>
          <a:ext cx="1828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171450</xdr:colOff>
      <xdr:row>59</xdr:row>
      <xdr:rowOff>66675</xdr:rowOff>
    </xdr:from>
    <xdr:to>
      <xdr:col>5</xdr:col>
      <xdr:colOff>655320</xdr:colOff>
      <xdr:row>61</xdr:row>
      <xdr:rowOff>30480</xdr:rowOff>
    </xdr:to>
    <xdr:pic>
      <xdr:nvPicPr>
        <xdr:cNvPr id="6" name="Picture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5800" y="9544050"/>
          <a:ext cx="5293995" cy="3543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7</xdr:col>
      <xdr:colOff>0</xdr:colOff>
      <xdr:row>4</xdr:row>
      <xdr:rowOff>129540</xdr:rowOff>
    </xdr:to>
    <xdr:pic>
      <xdr:nvPicPr>
        <xdr:cNvPr id="2" name="Picture 4" descr="Description: AESO Banner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312" t="21873" r="4312" b="9941"/>
        <a:stretch>
          <a:fillRect/>
        </a:stretch>
      </xdr:blipFill>
      <xdr:spPr bwMode="auto">
        <a:xfrm>
          <a:off x="0" y="38100"/>
          <a:ext cx="6858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6</xdr:col>
      <xdr:colOff>285750</xdr:colOff>
      <xdr:row>4</xdr:row>
      <xdr:rowOff>22</xdr:rowOff>
    </xdr:to>
    <xdr:sp macro="" textlink="">
      <xdr:nvSpPr>
        <xdr:cNvPr id="3" name="Text Box 3"/>
        <xdr:cNvSpPr txBox="1">
          <a:spLocks noChangeArrowheads="1"/>
        </xdr:cNvSpPr>
      </xdr:nvSpPr>
      <xdr:spPr bwMode="auto">
        <a:xfrm>
          <a:off x="525780" y="0"/>
          <a:ext cx="6092190" cy="6648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000" b="0" i="0" u="none" strike="noStrike" baseline="0">
              <a:solidFill>
                <a:srgbClr val="00407A"/>
              </a:solidFill>
              <a:latin typeface="Arial"/>
              <a:cs typeface="Arial"/>
            </a:rPr>
            <a:t>Information Document</a:t>
          </a:r>
        </a:p>
        <a:p>
          <a:pPr algn="l" rtl="0">
            <a:defRPr sz="1000"/>
          </a:pPr>
          <a:r>
            <a:rPr lang="en-CA" sz="1000" b="0" i="0" u="none" strike="noStrike" baseline="0">
              <a:solidFill>
                <a:srgbClr val="00407A"/>
              </a:solidFill>
              <a:latin typeface="Arial"/>
              <a:cs typeface="Arial"/>
            </a:rPr>
            <a:t>Payment in Lieu of Notice Calculator for 2018 ISO Tariff (cont’d)</a:t>
          </a:r>
        </a:p>
        <a:p>
          <a:pPr algn="l" rtl="0">
            <a:defRPr sz="1000"/>
          </a:pPr>
          <a:r>
            <a:rPr lang="en-CA" sz="1000" b="0" i="0" u="none" strike="noStrike" baseline="0">
              <a:solidFill>
                <a:srgbClr val="00407A"/>
              </a:solidFill>
              <a:latin typeface="Arial"/>
              <a:cs typeface="Arial"/>
            </a:rPr>
            <a:t>ID No. 2018-010T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7</xdr:col>
      <xdr:colOff>0</xdr:colOff>
      <xdr:row>4</xdr:row>
      <xdr:rowOff>129540</xdr:rowOff>
    </xdr:to>
    <xdr:pic>
      <xdr:nvPicPr>
        <xdr:cNvPr id="2" name="Picture 4" descr="Description: AESO Banner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312" t="21873" r="4312" b="9941"/>
        <a:stretch>
          <a:fillRect/>
        </a:stretch>
      </xdr:blipFill>
      <xdr:spPr bwMode="auto">
        <a:xfrm>
          <a:off x="0" y="38100"/>
          <a:ext cx="6858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6</xdr:col>
      <xdr:colOff>285750</xdr:colOff>
      <xdr:row>4</xdr:row>
      <xdr:rowOff>22</xdr:rowOff>
    </xdr:to>
    <xdr:sp macro="" textlink="">
      <xdr:nvSpPr>
        <xdr:cNvPr id="3" name="Text Box 3"/>
        <xdr:cNvSpPr txBox="1">
          <a:spLocks noChangeArrowheads="1"/>
        </xdr:cNvSpPr>
      </xdr:nvSpPr>
      <xdr:spPr bwMode="auto">
        <a:xfrm>
          <a:off x="525780" y="0"/>
          <a:ext cx="6092190" cy="6648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000" b="0" i="0" u="none" strike="noStrike" baseline="0">
              <a:solidFill>
                <a:srgbClr val="00407A"/>
              </a:solidFill>
              <a:latin typeface="Arial"/>
              <a:cs typeface="Arial"/>
            </a:rPr>
            <a:t>Information Document</a:t>
          </a:r>
        </a:p>
        <a:p>
          <a:pPr algn="l" rtl="0">
            <a:defRPr sz="1000"/>
          </a:pPr>
          <a:r>
            <a:rPr lang="en-CA" sz="1000" b="0" i="0" u="none" strike="noStrike" baseline="0">
              <a:solidFill>
                <a:srgbClr val="00407A"/>
              </a:solidFill>
              <a:latin typeface="Arial"/>
              <a:cs typeface="Arial"/>
            </a:rPr>
            <a:t>Payment in Lieu of Notice Calculator for 2018 ISO Tariff (cont’d)</a:t>
          </a:r>
        </a:p>
        <a:p>
          <a:pPr algn="l" rtl="0">
            <a:defRPr sz="1000"/>
          </a:pPr>
          <a:r>
            <a:rPr lang="en-CA" sz="1000" b="0" i="0" u="none" strike="noStrike" baseline="0">
              <a:solidFill>
                <a:srgbClr val="00407A"/>
              </a:solidFill>
              <a:latin typeface="Arial"/>
              <a:cs typeface="Arial"/>
            </a:rPr>
            <a:t>ID No. 2018-010T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7</xdr:col>
      <xdr:colOff>0</xdr:colOff>
      <xdr:row>4</xdr:row>
      <xdr:rowOff>129540</xdr:rowOff>
    </xdr:to>
    <xdr:pic>
      <xdr:nvPicPr>
        <xdr:cNvPr id="2" name="Picture 4" descr="Description: AESO Banner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312" t="21873" r="4312" b="9941"/>
        <a:stretch>
          <a:fillRect/>
        </a:stretch>
      </xdr:blipFill>
      <xdr:spPr bwMode="auto">
        <a:xfrm>
          <a:off x="0" y="38100"/>
          <a:ext cx="6858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0</xdr:row>
      <xdr:rowOff>0</xdr:rowOff>
    </xdr:from>
    <xdr:to>
      <xdr:col>6</xdr:col>
      <xdr:colOff>285750</xdr:colOff>
      <xdr:row>4</xdr:row>
      <xdr:rowOff>22</xdr:rowOff>
    </xdr:to>
    <xdr:sp macro="" textlink="">
      <xdr:nvSpPr>
        <xdr:cNvPr id="3" name="Text Box 3"/>
        <xdr:cNvSpPr txBox="1">
          <a:spLocks noChangeArrowheads="1"/>
        </xdr:cNvSpPr>
      </xdr:nvSpPr>
      <xdr:spPr bwMode="auto">
        <a:xfrm>
          <a:off x="525780" y="0"/>
          <a:ext cx="6092190" cy="6648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0" rIns="0" bIns="36576" anchor="b" upright="1"/>
        <a:lstStyle/>
        <a:p>
          <a:pPr algn="l" rtl="0">
            <a:defRPr sz="1000"/>
          </a:pPr>
          <a:r>
            <a:rPr lang="en-CA" sz="1000" b="0" i="0" u="none" strike="noStrike" baseline="0">
              <a:solidFill>
                <a:srgbClr val="00407A"/>
              </a:solidFill>
              <a:latin typeface="Arial"/>
              <a:cs typeface="Arial"/>
            </a:rPr>
            <a:t>Information Document</a:t>
          </a:r>
        </a:p>
        <a:p>
          <a:pPr algn="l" rtl="0">
            <a:defRPr sz="1000"/>
          </a:pPr>
          <a:r>
            <a:rPr lang="en-CA" sz="1000" b="0" i="0" u="none" strike="noStrike" baseline="0">
              <a:solidFill>
                <a:srgbClr val="00407A"/>
              </a:solidFill>
              <a:latin typeface="Arial"/>
              <a:cs typeface="Arial"/>
            </a:rPr>
            <a:t>Payment in Lieu of Notice Calculator for 2018 ISO Tariff (cont’d)</a:t>
          </a:r>
        </a:p>
        <a:p>
          <a:pPr algn="l" rtl="0">
            <a:defRPr sz="1000"/>
          </a:pPr>
          <a:r>
            <a:rPr lang="en-CA" sz="1000" b="0" i="0" u="none" strike="noStrike" baseline="0">
              <a:solidFill>
                <a:srgbClr val="00407A"/>
              </a:solidFill>
              <a:latin typeface="Arial"/>
              <a:cs typeface="Arial"/>
            </a:rPr>
            <a:t>ID No. 2018-010T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F68"/>
  <sheetViews>
    <sheetView showGridLines="0" tabSelected="1" zoomScaleNormal="100" workbookViewId="0">
      <selection activeCell="B10" sqref="B10"/>
    </sheetView>
  </sheetViews>
  <sheetFormatPr defaultRowHeight="13.2" x14ac:dyDescent="0.25"/>
  <cols>
    <col min="1" max="1" width="7.6640625" customWidth="1"/>
    <col min="2" max="2" width="12.6640625" customWidth="1"/>
    <col min="3" max="3" width="19.109375" customWidth="1"/>
    <col min="4" max="4" width="21.109375" customWidth="1"/>
    <col min="5" max="5" width="19.109375" customWidth="1"/>
    <col min="6" max="6" width="12.6640625" customWidth="1"/>
    <col min="7" max="7" width="7.6640625" customWidth="1"/>
  </cols>
  <sheetData>
    <row r="10" spans="2:2" s="71" customFormat="1" ht="12.75" customHeight="1" x14ac:dyDescent="0.25">
      <c r="B10" s="71" t="s">
        <v>191</v>
      </c>
    </row>
    <row r="11" spans="2:2" s="71" customFormat="1" ht="12.75" customHeight="1" x14ac:dyDescent="0.25">
      <c r="B11" s="71" t="s">
        <v>47</v>
      </c>
    </row>
    <row r="12" spans="2:2" s="71" customFormat="1" ht="12.75" customHeight="1" x14ac:dyDescent="0.25">
      <c r="B12" s="71" t="s">
        <v>40</v>
      </c>
    </row>
    <row r="13" spans="2:2" s="71" customFormat="1" ht="12.75" customHeight="1" x14ac:dyDescent="0.25">
      <c r="B13" s="71" t="s">
        <v>41</v>
      </c>
    </row>
    <row r="14" spans="2:2" s="21" customFormat="1" ht="11.4" x14ac:dyDescent="0.2"/>
    <row r="15" spans="2:2" s="20" customFormat="1" ht="15.6" x14ac:dyDescent="0.3">
      <c r="B15" s="20" t="s">
        <v>39</v>
      </c>
    </row>
    <row r="16" spans="2:2" s="82" customFormat="1" ht="6.6" x14ac:dyDescent="0.15"/>
    <row r="17" spans="2:6" ht="12.75" customHeight="1" x14ac:dyDescent="0.25">
      <c r="B17" s="149" t="s">
        <v>312</v>
      </c>
      <c r="F17" s="23"/>
    </row>
    <row r="18" spans="2:6" ht="14.85" customHeight="1" x14ac:dyDescent="0.25">
      <c r="B18" s="22" t="s">
        <v>174</v>
      </c>
      <c r="C18" s="22"/>
    </row>
    <row r="19" spans="2:6" s="21" customFormat="1" ht="11.4" x14ac:dyDescent="0.2"/>
    <row r="20" spans="2:6" x14ac:dyDescent="0.25">
      <c r="B20" s="149" t="s">
        <v>192</v>
      </c>
    </row>
    <row r="21" spans="2:6" x14ac:dyDescent="0.25">
      <c r="B21" s="149" t="s">
        <v>193</v>
      </c>
    </row>
    <row r="22" spans="2:6" x14ac:dyDescent="0.25">
      <c r="B22" s="149" t="s">
        <v>194</v>
      </c>
    </row>
    <row r="23" spans="2:6" x14ac:dyDescent="0.25">
      <c r="B23" s="149" t="s">
        <v>315</v>
      </c>
    </row>
    <row r="24" spans="2:6" x14ac:dyDescent="0.25">
      <c r="B24" s="149" t="s">
        <v>316</v>
      </c>
    </row>
    <row r="25" spans="2:6" s="21" customFormat="1" ht="11.4" x14ac:dyDescent="0.2"/>
    <row r="26" spans="2:6" x14ac:dyDescent="0.25">
      <c r="B26" s="149" t="s">
        <v>195</v>
      </c>
    </row>
    <row r="27" spans="2:6" x14ac:dyDescent="0.25">
      <c r="B27" s="149" t="s">
        <v>196</v>
      </c>
    </row>
    <row r="28" spans="2:6" x14ac:dyDescent="0.25">
      <c r="B28" s="149" t="s">
        <v>317</v>
      </c>
    </row>
    <row r="29" spans="2:6" s="21" customFormat="1" ht="11.4" x14ac:dyDescent="0.2"/>
    <row r="30" spans="2:6" s="20" customFormat="1" ht="15.6" x14ac:dyDescent="0.3">
      <c r="B30" s="20" t="s">
        <v>175</v>
      </c>
    </row>
    <row r="31" spans="2:6" s="82" customFormat="1" ht="6.6" x14ac:dyDescent="0.15"/>
    <row r="32" spans="2:6" s="23" customFormat="1" x14ac:dyDescent="0.25">
      <c r="B32" s="23" t="s">
        <v>197</v>
      </c>
    </row>
    <row r="33" spans="1:6" s="23" customFormat="1" x14ac:dyDescent="0.25">
      <c r="B33" s="23" t="s">
        <v>198</v>
      </c>
    </row>
    <row r="34" spans="1:6" s="23" customFormat="1" x14ac:dyDescent="0.25">
      <c r="B34" s="23" t="s">
        <v>318</v>
      </c>
    </row>
    <row r="35" spans="1:6" s="21" customFormat="1" ht="11.4" x14ac:dyDescent="0.2"/>
    <row r="36" spans="1:6" s="23" customFormat="1" x14ac:dyDescent="0.25">
      <c r="B36" s="385" t="s">
        <v>199</v>
      </c>
      <c r="C36" s="385"/>
      <c r="D36" s="385"/>
      <c r="E36" s="385"/>
      <c r="F36" s="385"/>
    </row>
    <row r="37" spans="1:6" s="23" customFormat="1" ht="15" x14ac:dyDescent="0.25">
      <c r="A37" s="387"/>
      <c r="B37" s="23" t="s">
        <v>200</v>
      </c>
    </row>
    <row r="38" spans="1:6" s="23" customFormat="1" x14ac:dyDescent="0.25">
      <c r="B38" s="23" t="s">
        <v>201</v>
      </c>
    </row>
    <row r="39" spans="1:6" s="23" customFormat="1" x14ac:dyDescent="0.25">
      <c r="B39" s="23" t="s">
        <v>202</v>
      </c>
    </row>
    <row r="40" spans="1:6" s="23" customFormat="1" x14ac:dyDescent="0.25">
      <c r="B40" s="23" t="s">
        <v>203</v>
      </c>
    </row>
    <row r="41" spans="1:6" s="23" customFormat="1" x14ac:dyDescent="0.25">
      <c r="B41" s="23" t="s">
        <v>204</v>
      </c>
    </row>
    <row r="42" spans="1:6" s="23" customFormat="1" x14ac:dyDescent="0.25">
      <c r="B42" s="23" t="s">
        <v>205</v>
      </c>
    </row>
    <row r="43" spans="1:6" s="21" customFormat="1" ht="11.4" x14ac:dyDescent="0.2"/>
    <row r="44" spans="1:6" s="23" customFormat="1" x14ac:dyDescent="0.25">
      <c r="B44" s="23" t="s">
        <v>206</v>
      </c>
    </row>
    <row r="45" spans="1:6" s="23" customFormat="1" x14ac:dyDescent="0.25">
      <c r="B45" s="23" t="s">
        <v>207</v>
      </c>
    </row>
    <row r="46" spans="1:6" s="23" customFormat="1" x14ac:dyDescent="0.25">
      <c r="B46" s="23" t="s">
        <v>208</v>
      </c>
    </row>
    <row r="47" spans="1:6" s="23" customFormat="1" x14ac:dyDescent="0.25">
      <c r="B47" s="23" t="s">
        <v>209</v>
      </c>
    </row>
    <row r="48" spans="1:6" s="23" customFormat="1" x14ac:dyDescent="0.25"/>
    <row r="49" spans="1:6" s="23" customFormat="1" x14ac:dyDescent="0.25"/>
    <row r="50" spans="1:6" x14ac:dyDescent="0.25">
      <c r="B50" s="19"/>
      <c r="C50" s="19"/>
    </row>
    <row r="51" spans="1:6" x14ac:dyDescent="0.25">
      <c r="B51" s="19"/>
      <c r="C51" s="19"/>
    </row>
    <row r="52" spans="1:6" x14ac:dyDescent="0.25">
      <c r="B52" s="19"/>
      <c r="C52" s="19"/>
    </row>
    <row r="54" spans="1:6" s="81" customFormat="1" ht="12" customHeight="1" x14ac:dyDescent="0.2">
      <c r="B54" s="81" t="s">
        <v>44</v>
      </c>
    </row>
    <row r="55" spans="1:6" s="81" customFormat="1" ht="12" customHeight="1" x14ac:dyDescent="0.2">
      <c r="B55" s="81" t="s">
        <v>45</v>
      </c>
    </row>
    <row r="56" spans="1:6" s="81" customFormat="1" ht="12" customHeight="1" x14ac:dyDescent="0.2">
      <c r="B56" s="81" t="s">
        <v>42</v>
      </c>
    </row>
    <row r="57" spans="1:6" s="80" customFormat="1" ht="12" customHeight="1" x14ac:dyDescent="0.2">
      <c r="B57" s="80" t="s">
        <v>43</v>
      </c>
    </row>
    <row r="58" spans="1:6" s="388" customFormat="1" ht="17.399999999999999" x14ac:dyDescent="0.3">
      <c r="A58" s="388" t="s">
        <v>46</v>
      </c>
    </row>
    <row r="59" spans="1:6" s="73" customFormat="1" ht="10.199999999999999" x14ac:dyDescent="0.2">
      <c r="B59" s="373" t="s">
        <v>319</v>
      </c>
      <c r="D59" s="374" t="s">
        <v>307</v>
      </c>
      <c r="F59" s="74" t="s">
        <v>38</v>
      </c>
    </row>
    <row r="60" spans="1:6" s="69" customFormat="1" x14ac:dyDescent="0.25"/>
    <row r="61" spans="1:6" s="17" customFormat="1" ht="18" customHeight="1" x14ac:dyDescent="0.25"/>
    <row r="62" spans="1:6" s="386" customFormat="1" ht="8.4" x14ac:dyDescent="0.15"/>
    <row r="63" spans="1:6" s="17" customFormat="1" x14ac:dyDescent="0.25"/>
    <row r="64" spans="1:6" s="17" customFormat="1" x14ac:dyDescent="0.25"/>
    <row r="65" s="17" customFormat="1" x14ac:dyDescent="0.25"/>
    <row r="66" s="17" customFormat="1" x14ac:dyDescent="0.25"/>
    <row r="67" s="17" customFormat="1" x14ac:dyDescent="0.25"/>
    <row r="68" s="17" customFormat="1" x14ac:dyDescent="0.25"/>
  </sheetData>
  <sheetProtection sheet="1" objects="1" scenarios="1"/>
  <pageMargins left="0.39500000000000002" right="0.39500000000000002" top="0.35" bottom="0" header="0.35" footer="0"/>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F62"/>
  <sheetViews>
    <sheetView showGridLines="0" zoomScaleNormal="100" workbookViewId="0">
      <selection activeCell="A6" sqref="A6"/>
    </sheetView>
  </sheetViews>
  <sheetFormatPr defaultRowHeight="13.2" x14ac:dyDescent="0.25"/>
  <cols>
    <col min="1" max="1" width="7.6640625" customWidth="1"/>
    <col min="2" max="2" width="12.6640625" customWidth="1"/>
    <col min="3" max="3" width="19.109375" customWidth="1"/>
    <col min="4" max="4" width="21.109375" customWidth="1"/>
    <col min="5" max="5" width="19.109375" customWidth="1"/>
    <col min="6" max="6" width="12.6640625" customWidth="1"/>
    <col min="7" max="7" width="7.6640625" customWidth="1"/>
  </cols>
  <sheetData>
    <row r="6" spans="1:2" s="23" customFormat="1" x14ac:dyDescent="0.25">
      <c r="B6" s="23" t="s">
        <v>210</v>
      </c>
    </row>
    <row r="7" spans="1:2" s="23" customFormat="1" x14ac:dyDescent="0.25">
      <c r="B7" s="71" t="s">
        <v>211</v>
      </c>
    </row>
    <row r="8" spans="1:2" s="23" customFormat="1" x14ac:dyDescent="0.25">
      <c r="B8" s="23" t="s">
        <v>212</v>
      </c>
    </row>
    <row r="9" spans="1:2" s="21" customFormat="1" ht="11.4" x14ac:dyDescent="0.2"/>
    <row r="10" spans="1:2" s="385" customFormat="1" x14ac:dyDescent="0.25">
      <c r="B10" s="385" t="s">
        <v>213</v>
      </c>
    </row>
    <row r="11" spans="1:2" s="23" customFormat="1" ht="15" x14ac:dyDescent="0.25">
      <c r="A11" s="387"/>
      <c r="B11" s="23" t="s">
        <v>214</v>
      </c>
    </row>
    <row r="12" spans="1:2" s="23" customFormat="1" x14ac:dyDescent="0.25">
      <c r="B12" s="23" t="s">
        <v>215</v>
      </c>
    </row>
    <row r="13" spans="1:2" s="23" customFormat="1" x14ac:dyDescent="0.25">
      <c r="B13" s="23" t="s">
        <v>216</v>
      </c>
    </row>
    <row r="14" spans="1:2" s="21" customFormat="1" ht="11.4" x14ac:dyDescent="0.2"/>
    <row r="15" spans="1:2" s="385" customFormat="1" x14ac:dyDescent="0.25">
      <c r="B15" s="385" t="s">
        <v>217</v>
      </c>
    </row>
    <row r="16" spans="1:2" s="23" customFormat="1" ht="15" x14ac:dyDescent="0.25">
      <c r="A16" s="387"/>
      <c r="B16" s="23" t="s">
        <v>218</v>
      </c>
    </row>
    <row r="17" spans="2:2" s="23" customFormat="1" x14ac:dyDescent="0.25">
      <c r="B17" s="23" t="s">
        <v>219</v>
      </c>
    </row>
    <row r="18" spans="2:2" s="23" customFormat="1" x14ac:dyDescent="0.25">
      <c r="B18" s="23" t="s">
        <v>220</v>
      </c>
    </row>
    <row r="19" spans="2:2" s="23" customFormat="1" x14ac:dyDescent="0.25">
      <c r="B19" s="23" t="s">
        <v>221</v>
      </c>
    </row>
    <row r="20" spans="2:2" s="21" customFormat="1" ht="11.4" x14ac:dyDescent="0.2"/>
    <row r="21" spans="2:2" s="23" customFormat="1" x14ac:dyDescent="0.25">
      <c r="B21" s="23" t="s">
        <v>222</v>
      </c>
    </row>
    <row r="22" spans="2:2" s="23" customFormat="1" x14ac:dyDescent="0.25">
      <c r="B22" s="23" t="s">
        <v>332</v>
      </c>
    </row>
    <row r="23" spans="2:2" s="23" customFormat="1" x14ac:dyDescent="0.25">
      <c r="B23" s="23" t="s">
        <v>223</v>
      </c>
    </row>
    <row r="24" spans="2:2" s="23" customFormat="1" x14ac:dyDescent="0.25">
      <c r="B24" s="23" t="s">
        <v>224</v>
      </c>
    </row>
    <row r="25" spans="2:2" s="23" customFormat="1" x14ac:dyDescent="0.25">
      <c r="B25" s="23" t="s">
        <v>225</v>
      </c>
    </row>
    <row r="26" spans="2:2" s="21" customFormat="1" ht="11.4" x14ac:dyDescent="0.2"/>
    <row r="27" spans="2:2" s="23" customFormat="1" x14ac:dyDescent="0.25">
      <c r="B27" s="23" t="s">
        <v>226</v>
      </c>
    </row>
    <row r="28" spans="2:2" s="23" customFormat="1" x14ac:dyDescent="0.25">
      <c r="B28" s="23" t="s">
        <v>227</v>
      </c>
    </row>
    <row r="29" spans="2:2" s="23" customFormat="1" x14ac:dyDescent="0.25">
      <c r="B29" s="23" t="s">
        <v>228</v>
      </c>
    </row>
    <row r="30" spans="2:2" s="23" customFormat="1" x14ac:dyDescent="0.25">
      <c r="B30" s="23" t="s">
        <v>229</v>
      </c>
    </row>
    <row r="31" spans="2:2" s="21" customFormat="1" ht="11.4" x14ac:dyDescent="0.2"/>
    <row r="32" spans="2:2" s="23" customFormat="1" x14ac:dyDescent="0.25">
      <c r="B32" s="23" t="s">
        <v>230</v>
      </c>
    </row>
    <row r="33" spans="1:2" s="23" customFormat="1" x14ac:dyDescent="0.25">
      <c r="B33" s="23" t="s">
        <v>231</v>
      </c>
    </row>
    <row r="34" spans="1:2" s="23" customFormat="1" x14ac:dyDescent="0.25">
      <c r="B34" s="23" t="s">
        <v>232</v>
      </c>
    </row>
    <row r="35" spans="1:2" s="21" customFormat="1" ht="11.4" x14ac:dyDescent="0.2"/>
    <row r="36" spans="1:2" s="23" customFormat="1" x14ac:dyDescent="0.25">
      <c r="B36" s="23" t="s">
        <v>233</v>
      </c>
    </row>
    <row r="37" spans="1:2" s="23" customFormat="1" x14ac:dyDescent="0.25">
      <c r="B37" s="23" t="s">
        <v>320</v>
      </c>
    </row>
    <row r="38" spans="1:2" s="23" customFormat="1" x14ac:dyDescent="0.25">
      <c r="B38" s="23" t="s">
        <v>234</v>
      </c>
    </row>
    <row r="39" spans="1:2" s="21" customFormat="1" ht="11.4" x14ac:dyDescent="0.2"/>
    <row r="40" spans="1:2" s="23" customFormat="1" x14ac:dyDescent="0.25">
      <c r="B40" s="23" t="s">
        <v>235</v>
      </c>
    </row>
    <row r="41" spans="1:2" s="23" customFormat="1" x14ac:dyDescent="0.25">
      <c r="B41" s="23" t="s">
        <v>321</v>
      </c>
    </row>
    <row r="42" spans="1:2" s="23" customFormat="1" x14ac:dyDescent="0.25">
      <c r="B42" s="23" t="s">
        <v>239</v>
      </c>
    </row>
    <row r="43" spans="1:2" s="23" customFormat="1" x14ac:dyDescent="0.25">
      <c r="B43" s="23" t="s">
        <v>236</v>
      </c>
    </row>
    <row r="44" spans="1:2" s="23" customFormat="1" x14ac:dyDescent="0.25">
      <c r="B44" s="23" t="s">
        <v>237</v>
      </c>
    </row>
    <row r="45" spans="1:2" s="23" customFormat="1" x14ac:dyDescent="0.25">
      <c r="B45" s="23" t="s">
        <v>238</v>
      </c>
    </row>
    <row r="46" spans="1:2" s="21" customFormat="1" ht="11.4" x14ac:dyDescent="0.2"/>
    <row r="47" spans="1:2" s="385" customFormat="1" x14ac:dyDescent="0.25">
      <c r="B47" s="385" t="s">
        <v>6</v>
      </c>
    </row>
    <row r="48" spans="1:2" s="22" customFormat="1" ht="15" x14ac:dyDescent="0.25">
      <c r="A48" s="387"/>
      <c r="B48" s="22" t="s">
        <v>240</v>
      </c>
    </row>
    <row r="49" spans="2:6" s="23" customFormat="1" x14ac:dyDescent="0.25">
      <c r="B49" s="23" t="s">
        <v>241</v>
      </c>
    </row>
    <row r="50" spans="2:6" s="23" customFormat="1" x14ac:dyDescent="0.25">
      <c r="B50" s="23" t="s">
        <v>242</v>
      </c>
    </row>
    <row r="51" spans="2:6" s="23" customFormat="1" x14ac:dyDescent="0.25">
      <c r="B51" s="23" t="s">
        <v>243</v>
      </c>
    </row>
    <row r="52" spans="2:6" s="21" customFormat="1" ht="11.4" x14ac:dyDescent="0.2"/>
    <row r="53" spans="2:6" s="23" customFormat="1" x14ac:dyDescent="0.25">
      <c r="B53" s="23" t="s">
        <v>244</v>
      </c>
    </row>
    <row r="54" spans="2:6" s="23" customFormat="1" x14ac:dyDescent="0.25">
      <c r="B54" s="23" t="s">
        <v>245</v>
      </c>
    </row>
    <row r="55" spans="2:6" s="23" customFormat="1" x14ac:dyDescent="0.25">
      <c r="B55" s="23" t="s">
        <v>246</v>
      </c>
    </row>
    <row r="56" spans="2:6" s="23" customFormat="1" x14ac:dyDescent="0.25">
      <c r="B56" s="23" t="s">
        <v>247</v>
      </c>
    </row>
    <row r="57" spans="2:6" s="23" customFormat="1" x14ac:dyDescent="0.25"/>
    <row r="58" spans="2:6" s="23" customFormat="1" x14ac:dyDescent="0.25"/>
    <row r="59" spans="2:6" s="70" customFormat="1" ht="18" customHeight="1" x14ac:dyDescent="0.2">
      <c r="B59" s="375" t="s">
        <v>319</v>
      </c>
      <c r="D59" s="376" t="s">
        <v>308</v>
      </c>
      <c r="F59" s="72" t="s">
        <v>38</v>
      </c>
    </row>
    <row r="60" spans="2:6" s="23" customFormat="1" x14ac:dyDescent="0.25"/>
    <row r="61" spans="2:6" s="23" customFormat="1" x14ac:dyDescent="0.25"/>
    <row r="62" spans="2:6" s="23" customFormat="1" x14ac:dyDescent="0.25"/>
  </sheetData>
  <sheetProtection sheet="1" objects="1" scenarios="1"/>
  <pageMargins left="0.39500000000000002" right="0.39500000000000002" top="0.35" bottom="0" header="0.35" footer="0"/>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F62"/>
  <sheetViews>
    <sheetView showGridLines="0" zoomScaleNormal="100" workbookViewId="0">
      <selection activeCell="B6" sqref="B6"/>
    </sheetView>
  </sheetViews>
  <sheetFormatPr defaultRowHeight="13.2" x14ac:dyDescent="0.25"/>
  <cols>
    <col min="1" max="1" width="7.6640625" customWidth="1"/>
    <col min="2" max="2" width="12.6640625" customWidth="1"/>
    <col min="3" max="3" width="19.109375" customWidth="1"/>
    <col min="4" max="4" width="21.109375" customWidth="1"/>
    <col min="5" max="5" width="19.109375" customWidth="1"/>
    <col min="6" max="6" width="12.6640625" customWidth="1"/>
    <col min="7" max="7" width="7.6640625" customWidth="1"/>
  </cols>
  <sheetData>
    <row r="6" spans="2:2" s="23" customFormat="1" x14ac:dyDescent="0.25">
      <c r="B6" s="23" t="s">
        <v>248</v>
      </c>
    </row>
    <row r="7" spans="2:2" s="23" customFormat="1" x14ac:dyDescent="0.25">
      <c r="B7" s="23" t="s">
        <v>249</v>
      </c>
    </row>
    <row r="8" spans="2:2" s="23" customFormat="1" x14ac:dyDescent="0.25">
      <c r="B8" s="23" t="s">
        <v>250</v>
      </c>
    </row>
    <row r="9" spans="2:2" s="23" customFormat="1" x14ac:dyDescent="0.25">
      <c r="B9" s="23" t="s">
        <v>251</v>
      </c>
    </row>
    <row r="10" spans="2:2" s="23" customFormat="1" x14ac:dyDescent="0.25">
      <c r="B10" s="23" t="s">
        <v>252</v>
      </c>
    </row>
    <row r="11" spans="2:2" s="23" customFormat="1" x14ac:dyDescent="0.25">
      <c r="B11" s="23" t="s">
        <v>253</v>
      </c>
    </row>
    <row r="12" spans="2:2" s="21" customFormat="1" ht="11.4" x14ac:dyDescent="0.2"/>
    <row r="13" spans="2:2" s="23" customFormat="1" x14ac:dyDescent="0.25">
      <c r="B13" s="23" t="s">
        <v>254</v>
      </c>
    </row>
    <row r="14" spans="2:2" s="23" customFormat="1" x14ac:dyDescent="0.25">
      <c r="B14" s="23" t="s">
        <v>255</v>
      </c>
    </row>
    <row r="15" spans="2:2" s="23" customFormat="1" x14ac:dyDescent="0.25">
      <c r="B15" s="23" t="s">
        <v>256</v>
      </c>
    </row>
    <row r="16" spans="2:2" s="23" customFormat="1" x14ac:dyDescent="0.25">
      <c r="B16" s="23" t="s">
        <v>257</v>
      </c>
    </row>
    <row r="17" spans="1:2" s="23" customFormat="1" x14ac:dyDescent="0.25">
      <c r="B17" s="23" t="s">
        <v>258</v>
      </c>
    </row>
    <row r="18" spans="1:2" s="21" customFormat="1" ht="11.4" x14ac:dyDescent="0.2"/>
    <row r="19" spans="1:2" s="385" customFormat="1" x14ac:dyDescent="0.25">
      <c r="B19" s="385" t="s">
        <v>259</v>
      </c>
    </row>
    <row r="20" spans="1:2" s="23" customFormat="1" ht="15" x14ac:dyDescent="0.25">
      <c r="A20" s="387"/>
      <c r="B20" s="23" t="s">
        <v>260</v>
      </c>
    </row>
    <row r="21" spans="1:2" s="23" customFormat="1" x14ac:dyDescent="0.25">
      <c r="B21" s="23" t="s">
        <v>261</v>
      </c>
    </row>
    <row r="22" spans="1:2" s="23" customFormat="1" x14ac:dyDescent="0.25">
      <c r="B22" s="23" t="s">
        <v>262</v>
      </c>
    </row>
    <row r="23" spans="1:2" s="23" customFormat="1" x14ac:dyDescent="0.25">
      <c r="B23" s="23" t="s">
        <v>313</v>
      </c>
    </row>
    <row r="24" spans="1:2" s="23" customFormat="1" x14ac:dyDescent="0.25">
      <c r="B24" s="23" t="s">
        <v>314</v>
      </c>
    </row>
    <row r="25" spans="1:2" s="23" customFormat="1" x14ac:dyDescent="0.25">
      <c r="B25" s="23" t="s">
        <v>263</v>
      </c>
    </row>
    <row r="26" spans="1:2" s="21" customFormat="1" ht="11.4" x14ac:dyDescent="0.2"/>
    <row r="27" spans="1:2" s="385" customFormat="1" x14ac:dyDescent="0.25">
      <c r="B27" s="385" t="s">
        <v>264</v>
      </c>
    </row>
    <row r="28" spans="1:2" s="23" customFormat="1" ht="15" x14ac:dyDescent="0.25">
      <c r="A28" s="387"/>
      <c r="B28" s="23" t="s">
        <v>265</v>
      </c>
    </row>
    <row r="29" spans="1:2" s="23" customFormat="1" x14ac:dyDescent="0.25">
      <c r="B29" s="23" t="s">
        <v>266</v>
      </c>
    </row>
    <row r="30" spans="1:2" s="23" customFormat="1" x14ac:dyDescent="0.25">
      <c r="B30" s="23" t="s">
        <v>267</v>
      </c>
    </row>
    <row r="31" spans="1:2" s="23" customFormat="1" x14ac:dyDescent="0.25">
      <c r="B31" s="23" t="s">
        <v>268</v>
      </c>
    </row>
    <row r="32" spans="1:2" s="21" customFormat="1" ht="11.4" x14ac:dyDescent="0.2"/>
    <row r="33" spans="2:2" s="23" customFormat="1" x14ac:dyDescent="0.25">
      <c r="B33" s="23" t="s">
        <v>269</v>
      </c>
    </row>
    <row r="34" spans="2:2" s="23" customFormat="1" x14ac:dyDescent="0.25">
      <c r="B34" s="23" t="s">
        <v>270</v>
      </c>
    </row>
    <row r="35" spans="2:2" s="23" customFormat="1" x14ac:dyDescent="0.25">
      <c r="B35" s="23" t="s">
        <v>271</v>
      </c>
    </row>
    <row r="36" spans="2:2" s="23" customFormat="1" x14ac:dyDescent="0.25">
      <c r="B36" s="23" t="s">
        <v>272</v>
      </c>
    </row>
    <row r="37" spans="2:2" s="21" customFormat="1" ht="11.4" x14ac:dyDescent="0.2"/>
    <row r="38" spans="2:2" s="23" customFormat="1" x14ac:dyDescent="0.25">
      <c r="B38" s="23" t="s">
        <v>273</v>
      </c>
    </row>
    <row r="39" spans="2:2" s="23" customFormat="1" x14ac:dyDescent="0.25">
      <c r="B39" s="23" t="s">
        <v>274</v>
      </c>
    </row>
    <row r="40" spans="2:2" s="23" customFormat="1" x14ac:dyDescent="0.25">
      <c r="B40" s="23" t="s">
        <v>275</v>
      </c>
    </row>
    <row r="41" spans="2:2" s="23" customFormat="1" x14ac:dyDescent="0.25">
      <c r="B41" s="23" t="s">
        <v>276</v>
      </c>
    </row>
    <row r="42" spans="2:2" s="23" customFormat="1" x14ac:dyDescent="0.25">
      <c r="B42" s="23" t="s">
        <v>277</v>
      </c>
    </row>
    <row r="43" spans="2:2" s="23" customFormat="1" x14ac:dyDescent="0.25">
      <c r="B43" s="23" t="s">
        <v>278</v>
      </c>
    </row>
    <row r="44" spans="2:2" s="23" customFormat="1" x14ac:dyDescent="0.25">
      <c r="B44" s="23" t="s">
        <v>279</v>
      </c>
    </row>
    <row r="45" spans="2:2" s="21" customFormat="1" ht="11.4" x14ac:dyDescent="0.2"/>
    <row r="46" spans="2:2" s="20" customFormat="1" ht="15.6" x14ac:dyDescent="0.3">
      <c r="B46" s="20" t="s">
        <v>280</v>
      </c>
    </row>
    <row r="47" spans="2:2" s="82" customFormat="1" ht="6.6" x14ac:dyDescent="0.15"/>
    <row r="48" spans="2:2" s="23" customFormat="1" x14ac:dyDescent="0.25">
      <c r="B48" s="23" t="s">
        <v>281</v>
      </c>
    </row>
    <row r="49" spans="2:6" s="23" customFormat="1" x14ac:dyDescent="0.25">
      <c r="B49" s="23" t="s">
        <v>282</v>
      </c>
    </row>
    <row r="50" spans="2:6" s="23" customFormat="1" x14ac:dyDescent="0.25">
      <c r="B50" s="23" t="s">
        <v>283</v>
      </c>
    </row>
    <row r="51" spans="2:6" s="23" customFormat="1" x14ac:dyDescent="0.25">
      <c r="B51" s="23" t="s">
        <v>284</v>
      </c>
    </row>
    <row r="52" spans="2:6" s="23" customFormat="1" x14ac:dyDescent="0.25">
      <c r="B52" s="23" t="s">
        <v>322</v>
      </c>
    </row>
    <row r="53" spans="2:6" s="21" customFormat="1" ht="11.4" x14ac:dyDescent="0.2"/>
    <row r="54" spans="2:6" s="23" customFormat="1" x14ac:dyDescent="0.25">
      <c r="B54" s="23" t="s">
        <v>285</v>
      </c>
    </row>
    <row r="55" spans="2:6" s="23" customFormat="1" x14ac:dyDescent="0.25">
      <c r="B55" s="23" t="s">
        <v>286</v>
      </c>
    </row>
    <row r="56" spans="2:6" s="23" customFormat="1" x14ac:dyDescent="0.25">
      <c r="B56" s="23" t="s">
        <v>323</v>
      </c>
    </row>
    <row r="57" spans="2:6" s="23" customFormat="1" x14ac:dyDescent="0.25"/>
    <row r="58" spans="2:6" s="23" customFormat="1" x14ac:dyDescent="0.25"/>
    <row r="59" spans="2:6" s="70" customFormat="1" ht="18" customHeight="1" x14ac:dyDescent="0.2">
      <c r="B59" s="375" t="s">
        <v>319</v>
      </c>
      <c r="D59" s="376" t="s">
        <v>309</v>
      </c>
      <c r="F59" s="72" t="s">
        <v>38</v>
      </c>
    </row>
    <row r="60" spans="2:6" s="23" customFormat="1" x14ac:dyDescent="0.25"/>
    <row r="61" spans="2:6" s="23" customFormat="1" x14ac:dyDescent="0.25"/>
    <row r="62" spans="2:6" s="23" customFormat="1" x14ac:dyDescent="0.25"/>
  </sheetData>
  <sheetProtection sheet="1" objects="1" scenarios="1"/>
  <pageMargins left="0.39500000000000002" right="0.39500000000000002" top="0.35" bottom="0" header="0.35" footer="0"/>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G60"/>
  <sheetViews>
    <sheetView showGridLines="0" zoomScaleNormal="100" workbookViewId="0">
      <selection activeCell="A6" sqref="A6"/>
    </sheetView>
  </sheetViews>
  <sheetFormatPr defaultRowHeight="13.2" x14ac:dyDescent="0.25"/>
  <cols>
    <col min="1" max="1" width="7.6640625" customWidth="1"/>
    <col min="2" max="2" width="12.6640625" customWidth="1"/>
    <col min="3" max="3" width="19.109375" customWidth="1"/>
    <col min="4" max="4" width="21.109375" customWidth="1"/>
    <col min="5" max="5" width="19.109375" customWidth="1"/>
    <col min="6" max="6" width="12.6640625" customWidth="1"/>
    <col min="7" max="7" width="7.6640625" customWidth="1"/>
  </cols>
  <sheetData>
    <row r="6" spans="2:2" s="23" customFormat="1" x14ac:dyDescent="0.25">
      <c r="B6" s="23" t="s">
        <v>287</v>
      </c>
    </row>
    <row r="7" spans="2:2" s="23" customFormat="1" x14ac:dyDescent="0.25">
      <c r="B7" s="71" t="s">
        <v>288</v>
      </c>
    </row>
    <row r="8" spans="2:2" s="23" customFormat="1" x14ac:dyDescent="0.25">
      <c r="B8" s="23" t="s">
        <v>289</v>
      </c>
    </row>
    <row r="9" spans="2:2" x14ac:dyDescent="0.25">
      <c r="B9" t="s">
        <v>290</v>
      </c>
    </row>
    <row r="10" spans="2:2" x14ac:dyDescent="0.25">
      <c r="B10" t="s">
        <v>291</v>
      </c>
    </row>
    <row r="11" spans="2:2" x14ac:dyDescent="0.25">
      <c r="B11" t="s">
        <v>292</v>
      </c>
    </row>
    <row r="12" spans="2:2" x14ac:dyDescent="0.25">
      <c r="B12" t="s">
        <v>293</v>
      </c>
    </row>
    <row r="13" spans="2:2" x14ac:dyDescent="0.25">
      <c r="B13" t="s">
        <v>294</v>
      </c>
    </row>
    <row r="14" spans="2:2" s="21" customFormat="1" ht="11.4" x14ac:dyDescent="0.2"/>
    <row r="15" spans="2:2" s="23" customFormat="1" x14ac:dyDescent="0.25">
      <c r="B15" s="23" t="s">
        <v>324</v>
      </c>
    </row>
    <row r="16" spans="2:2" s="23" customFormat="1" x14ac:dyDescent="0.25">
      <c r="B16" s="23" t="s">
        <v>295</v>
      </c>
    </row>
    <row r="17" spans="2:2" s="21" customFormat="1" ht="11.4" x14ac:dyDescent="0.2"/>
    <row r="18" spans="2:2" s="23" customFormat="1" x14ac:dyDescent="0.25">
      <c r="B18" s="23" t="s">
        <v>296</v>
      </c>
    </row>
    <row r="19" spans="2:2" s="23" customFormat="1" x14ac:dyDescent="0.25">
      <c r="B19" s="23" t="s">
        <v>297</v>
      </c>
    </row>
    <row r="20" spans="2:2" s="23" customFormat="1" x14ac:dyDescent="0.25">
      <c r="B20" s="23" t="s">
        <v>298</v>
      </c>
    </row>
    <row r="21" spans="2:2" s="23" customFormat="1" x14ac:dyDescent="0.25">
      <c r="B21" s="23" t="s">
        <v>325</v>
      </c>
    </row>
    <row r="22" spans="2:2" s="21" customFormat="1" ht="11.4" x14ac:dyDescent="0.2"/>
    <row r="23" spans="2:2" s="23" customFormat="1" x14ac:dyDescent="0.25">
      <c r="B23" s="23" t="s">
        <v>299</v>
      </c>
    </row>
    <row r="24" spans="2:2" s="23" customFormat="1" x14ac:dyDescent="0.25">
      <c r="B24" s="23" t="s">
        <v>300</v>
      </c>
    </row>
    <row r="25" spans="2:2" s="21" customFormat="1" ht="11.4" x14ac:dyDescent="0.2"/>
    <row r="26" spans="2:2" s="20" customFormat="1" ht="15.6" x14ac:dyDescent="0.3">
      <c r="B26" s="20" t="s">
        <v>301</v>
      </c>
    </row>
    <row r="27" spans="2:2" s="82" customFormat="1" ht="6.6" x14ac:dyDescent="0.15"/>
    <row r="28" spans="2:2" s="23" customFormat="1" x14ac:dyDescent="0.25">
      <c r="B28" s="23" t="s">
        <v>302</v>
      </c>
    </row>
    <row r="29" spans="2:2" s="23" customFormat="1" x14ac:dyDescent="0.25">
      <c r="B29" s="23" t="s">
        <v>303</v>
      </c>
    </row>
    <row r="30" spans="2:2" s="23" customFormat="1" x14ac:dyDescent="0.25">
      <c r="B30" s="23" t="s">
        <v>304</v>
      </c>
    </row>
    <row r="31" spans="2:2" s="21" customFormat="1" ht="11.4" x14ac:dyDescent="0.2"/>
    <row r="32" spans="2:2" s="23" customFormat="1" x14ac:dyDescent="0.25">
      <c r="B32" s="23" t="s">
        <v>305</v>
      </c>
    </row>
    <row r="33" spans="1:7" s="23" customFormat="1" x14ac:dyDescent="0.25">
      <c r="B33" s="23" t="s">
        <v>327</v>
      </c>
    </row>
    <row r="34" spans="1:7" s="23" customFormat="1" x14ac:dyDescent="0.25">
      <c r="B34" s="23" t="s">
        <v>306</v>
      </c>
    </row>
    <row r="35" spans="1:7" s="21" customFormat="1" ht="11.4" x14ac:dyDescent="0.2"/>
    <row r="36" spans="1:7" ht="15.6" x14ac:dyDescent="0.3">
      <c r="B36" s="24" t="s">
        <v>36</v>
      </c>
      <c r="C36" s="24"/>
      <c r="D36" s="20"/>
      <c r="E36" s="20"/>
      <c r="F36" s="20"/>
    </row>
    <row r="37" spans="1:7" s="82" customFormat="1" ht="6.6" x14ac:dyDescent="0.15"/>
    <row r="38" spans="1:7" s="79" customFormat="1" ht="21.9" customHeight="1" x14ac:dyDescent="0.25">
      <c r="B38" s="75" t="s">
        <v>48</v>
      </c>
      <c r="C38" s="76" t="s">
        <v>23</v>
      </c>
      <c r="D38" s="77"/>
      <c r="E38" s="78"/>
      <c r="F38" s="75" t="s">
        <v>35</v>
      </c>
    </row>
    <row r="39" spans="1:7" s="79" customFormat="1" ht="25.5" customHeight="1" x14ac:dyDescent="0.25">
      <c r="B39" s="377" t="s">
        <v>333</v>
      </c>
      <c r="C39" s="396" t="s">
        <v>311</v>
      </c>
      <c r="D39" s="397"/>
      <c r="E39" s="398"/>
      <c r="F39" s="378" t="s">
        <v>326</v>
      </c>
    </row>
    <row r="40" spans="1:7" s="79" customFormat="1" ht="25.5" customHeight="1" x14ac:dyDescent="0.25">
      <c r="A40" s="390"/>
      <c r="B40" s="391"/>
      <c r="C40" s="399"/>
      <c r="D40" s="400"/>
      <c r="E40" s="400"/>
      <c r="F40" s="392"/>
      <c r="G40" s="390"/>
    </row>
    <row r="41" spans="1:7" s="23" customFormat="1" x14ac:dyDescent="0.25">
      <c r="A41" s="393"/>
      <c r="B41" s="393"/>
      <c r="C41" s="393"/>
      <c r="D41" s="393"/>
      <c r="E41" s="393"/>
      <c r="F41" s="393"/>
      <c r="G41" s="393"/>
    </row>
    <row r="42" spans="1:7" s="23" customFormat="1" x14ac:dyDescent="0.25"/>
    <row r="43" spans="1:7" s="23" customFormat="1" x14ac:dyDescent="0.25"/>
    <row r="44" spans="1:7" s="23" customFormat="1" x14ac:dyDescent="0.25"/>
    <row r="45" spans="1:7" s="23" customFormat="1" x14ac:dyDescent="0.25"/>
    <row r="46" spans="1:7" s="23" customFormat="1" x14ac:dyDescent="0.25"/>
    <row r="47" spans="1:7" s="23" customFormat="1" x14ac:dyDescent="0.25"/>
    <row r="48" spans="1:7" s="23" customFormat="1" x14ac:dyDescent="0.25"/>
    <row r="49" spans="2:6" s="23" customFormat="1" x14ac:dyDescent="0.25"/>
    <row r="50" spans="2:6" s="23" customFormat="1" x14ac:dyDescent="0.25"/>
    <row r="51" spans="2:6" s="23" customFormat="1" x14ac:dyDescent="0.25"/>
    <row r="52" spans="2:6" s="23" customFormat="1" x14ac:dyDescent="0.25"/>
    <row r="53" spans="2:6" s="23" customFormat="1" x14ac:dyDescent="0.25"/>
    <row r="54" spans="2:6" s="23" customFormat="1" x14ac:dyDescent="0.25"/>
    <row r="55" spans="2:6" s="23" customFormat="1" x14ac:dyDescent="0.25"/>
    <row r="56" spans="2:6" s="23" customFormat="1" x14ac:dyDescent="0.25"/>
    <row r="57" spans="2:6" s="70" customFormat="1" ht="18" customHeight="1" x14ac:dyDescent="0.2">
      <c r="B57" s="375" t="s">
        <v>319</v>
      </c>
      <c r="D57" s="376" t="s">
        <v>310</v>
      </c>
      <c r="F57" s="72" t="s">
        <v>38</v>
      </c>
    </row>
    <row r="58" spans="2:6" s="23" customFormat="1" x14ac:dyDescent="0.25"/>
    <row r="59" spans="2:6" s="23" customFormat="1" x14ac:dyDescent="0.25"/>
    <row r="60" spans="2:6" s="23" customFormat="1" x14ac:dyDescent="0.25"/>
  </sheetData>
  <sheetProtection sheet="1" objects="1" scenarios="1"/>
  <mergeCells count="2">
    <mergeCell ref="C39:E39"/>
    <mergeCell ref="C40:E40"/>
  </mergeCells>
  <pageMargins left="0.39500000000000002" right="0.39500000000000002" top="0.35" bottom="0" header="0.35" footer="0"/>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zoomScaleNormal="100" workbookViewId="0">
      <selection activeCell="F14" sqref="F14:G14"/>
    </sheetView>
  </sheetViews>
  <sheetFormatPr defaultColWidth="11.6640625" defaultRowHeight="13.2" x14ac:dyDescent="0.25"/>
  <cols>
    <col min="1" max="1" width="4.33203125" style="38" customWidth="1"/>
    <col min="2" max="3" width="9.33203125" style="38" customWidth="1"/>
    <col min="4" max="9" width="11.33203125" style="38" customWidth="1"/>
    <col min="10" max="16384" width="11.6640625" style="38"/>
  </cols>
  <sheetData>
    <row r="1" spans="1:10" s="36" customFormat="1" ht="17.399999999999999" x14ac:dyDescent="0.45">
      <c r="A1" s="415" t="s">
        <v>57</v>
      </c>
      <c r="B1" s="415"/>
      <c r="C1" s="415"/>
      <c r="D1" s="415"/>
      <c r="E1" s="415"/>
      <c r="F1" s="415"/>
      <c r="G1" s="415"/>
      <c r="H1" s="415"/>
      <c r="I1" s="415"/>
    </row>
    <row r="2" spans="1:10" s="37" customFormat="1" ht="7.8" x14ac:dyDescent="0.15"/>
    <row r="3" spans="1:10" x14ac:dyDescent="0.25">
      <c r="A3" s="38" t="s">
        <v>4</v>
      </c>
      <c r="C3" s="417" t="s">
        <v>176</v>
      </c>
      <c r="D3" s="417"/>
      <c r="E3" s="417"/>
      <c r="F3" s="417"/>
      <c r="G3" s="417"/>
      <c r="H3" s="39" t="s">
        <v>1</v>
      </c>
      <c r="I3" s="85" t="s">
        <v>328</v>
      </c>
    </row>
    <row r="4" spans="1:10" x14ac:dyDescent="0.25">
      <c r="A4" s="38" t="s">
        <v>0</v>
      </c>
      <c r="C4" s="417" t="s">
        <v>177</v>
      </c>
      <c r="D4" s="417"/>
      <c r="E4" s="417"/>
      <c r="F4" s="417"/>
      <c r="G4" s="417"/>
      <c r="H4" s="39" t="s">
        <v>2</v>
      </c>
      <c r="I4" s="394" t="s">
        <v>329</v>
      </c>
    </row>
    <row r="5" spans="1:10" x14ac:dyDescent="0.25">
      <c r="A5" s="38" t="s">
        <v>12</v>
      </c>
      <c r="C5" s="402" t="s">
        <v>178</v>
      </c>
      <c r="D5" s="402"/>
      <c r="E5" s="40" t="s">
        <v>3</v>
      </c>
      <c r="F5" s="402" t="s">
        <v>95</v>
      </c>
      <c r="G5" s="402"/>
      <c r="H5" s="39" t="s">
        <v>11</v>
      </c>
      <c r="I5" s="389" t="s">
        <v>37</v>
      </c>
    </row>
    <row r="6" spans="1:10" x14ac:dyDescent="0.25">
      <c r="A6" s="38" t="s">
        <v>20</v>
      </c>
      <c r="C6" s="402" t="s">
        <v>179</v>
      </c>
      <c r="D6" s="402"/>
      <c r="E6" s="40" t="s">
        <v>21</v>
      </c>
      <c r="F6" s="418" t="s">
        <v>180</v>
      </c>
      <c r="G6" s="418"/>
      <c r="H6" s="41" t="s">
        <v>22</v>
      </c>
      <c r="I6" s="83" t="s">
        <v>326</v>
      </c>
    </row>
    <row r="8" spans="1:10" x14ac:dyDescent="0.25">
      <c r="A8" s="42" t="s">
        <v>18</v>
      </c>
      <c r="B8" s="42"/>
      <c r="C8" s="42"/>
      <c r="D8" s="42"/>
      <c r="E8" s="42"/>
      <c r="F8" s="42"/>
      <c r="G8" s="42"/>
    </row>
    <row r="9" spans="1:10" x14ac:dyDescent="0.25">
      <c r="A9" s="38" t="s">
        <v>25</v>
      </c>
      <c r="B9" s="38" t="s">
        <v>182</v>
      </c>
      <c r="F9" s="411" t="s">
        <v>10</v>
      </c>
      <c r="G9" s="411"/>
      <c r="J9" s="43" t="str">
        <f>IF(AND(ProjectType="STS Only",ReceivePSC="Yes"),"Error: Primary Service Credit is not applicable to an STS Only Project Type!","")</f>
        <v/>
      </c>
    </row>
    <row r="10" spans="1:10" x14ac:dyDescent="0.25">
      <c r="A10" s="38" t="s">
        <v>26</v>
      </c>
      <c r="B10" s="38" t="s">
        <v>16</v>
      </c>
      <c r="F10" s="411" t="s">
        <v>10</v>
      </c>
      <c r="G10" s="411"/>
      <c r="J10" s="43"/>
    </row>
    <row r="12" spans="1:10" s="44" customFormat="1" x14ac:dyDescent="0.25">
      <c r="A12" s="45" t="s">
        <v>19</v>
      </c>
      <c r="B12" s="45"/>
      <c r="C12" s="45"/>
      <c r="D12" s="45"/>
      <c r="E12" s="45"/>
      <c r="F12" s="46"/>
      <c r="G12" s="45"/>
      <c r="H12" s="416" t="s">
        <v>24</v>
      </c>
      <c r="I12" s="416"/>
    </row>
    <row r="13" spans="1:10" x14ac:dyDescent="0.25">
      <c r="A13" s="44" t="s">
        <v>27</v>
      </c>
      <c r="B13" s="84" t="s">
        <v>50</v>
      </c>
      <c r="C13" s="84"/>
      <c r="D13" s="84"/>
      <c r="E13" s="84"/>
      <c r="F13" s="411" t="s">
        <v>181</v>
      </c>
      <c r="G13" s="411"/>
      <c r="H13" s="402"/>
      <c r="I13" s="402"/>
    </row>
    <row r="14" spans="1:10" x14ac:dyDescent="0.25">
      <c r="A14" s="44" t="s">
        <v>28</v>
      </c>
      <c r="B14" s="84" t="s">
        <v>51</v>
      </c>
      <c r="C14" s="84"/>
      <c r="D14" s="84"/>
      <c r="E14" s="84"/>
      <c r="F14" s="410">
        <v>42736</v>
      </c>
      <c r="G14" s="410"/>
      <c r="H14" s="401"/>
      <c r="I14" s="402"/>
    </row>
    <row r="15" spans="1:10" x14ac:dyDescent="0.25">
      <c r="A15" s="44" t="s">
        <v>29</v>
      </c>
      <c r="B15" s="84" t="s">
        <v>84</v>
      </c>
      <c r="C15" s="84"/>
      <c r="D15" s="84"/>
      <c r="E15" s="84"/>
      <c r="F15" s="408">
        <f>DATE(YEAR(RequestDate),MONTH(RequestDate)+1,1)</f>
        <v>42767</v>
      </c>
      <c r="G15" s="408"/>
    </row>
    <row r="16" spans="1:10" x14ac:dyDescent="0.25">
      <c r="A16" s="44" t="s">
        <v>30</v>
      </c>
      <c r="B16" s="44" t="s">
        <v>118</v>
      </c>
      <c r="C16" s="84"/>
      <c r="D16" s="84"/>
      <c r="E16" s="84"/>
      <c r="F16" s="408">
        <f>EffectiveWithPILON-30</f>
        <v>42826</v>
      </c>
      <c r="G16" s="408"/>
    </row>
    <row r="17" spans="1:10" x14ac:dyDescent="0.25">
      <c r="A17" s="44" t="s">
        <v>31</v>
      </c>
      <c r="B17" s="84" t="str">
        <f>"Effective Date of "&amp;IF(ReducedOrTerminated="Reduced","Reduction","Termination")&amp;" With PILON:"</f>
        <v>Effective Date of Reduction With PILON:</v>
      </c>
      <c r="C17" s="84"/>
      <c r="D17" s="84"/>
      <c r="E17" s="84"/>
      <c r="F17" s="410">
        <v>42856</v>
      </c>
      <c r="G17" s="410"/>
      <c r="H17" s="402"/>
      <c r="I17" s="402"/>
      <c r="J17" s="43" t="str">
        <f>IF((EffectiveWithPILON-RequestDate)&lt;120,"Error: Effective Date With PILON must be at least 120 days after Date Request Was Received","")</f>
        <v/>
      </c>
    </row>
    <row r="18" spans="1:10" x14ac:dyDescent="0.25">
      <c r="A18" s="44" t="s">
        <v>32</v>
      </c>
      <c r="B18" s="84" t="str">
        <f>"Effective Date of "&amp;IF(ReducedOrTerminated="Reduced","Reduction","Termination")&amp;" Without PILON:"</f>
        <v>Effective Date of Reduction Without PILON:</v>
      </c>
      <c r="C18" s="84"/>
      <c r="D18" s="84"/>
      <c r="E18" s="84"/>
      <c r="F18" s="408">
        <f>DATE(YEAR(NoticeStartDate),MONTH(NoticeStartDate)+60,1)</f>
        <v>44593</v>
      </c>
      <c r="G18" s="408"/>
      <c r="J18" s="43" t="str">
        <f>IF((EffectiveWithPILON-RequestDate)&lt;120,"(90 days for processing and approval before payment plus 30 days after payment)!","")</f>
        <v/>
      </c>
    </row>
    <row r="19" spans="1:10" x14ac:dyDescent="0.25">
      <c r="A19" s="85" t="s">
        <v>33</v>
      </c>
      <c r="B19" s="38" t="s">
        <v>52</v>
      </c>
      <c r="F19" s="409">
        <v>6.2600000000000003E-2</v>
      </c>
      <c r="G19" s="409"/>
      <c r="H19" s="402" t="s">
        <v>330</v>
      </c>
      <c r="I19" s="402"/>
      <c r="J19" s="43"/>
    </row>
    <row r="20" spans="1:10" s="44" customFormat="1" x14ac:dyDescent="0.25"/>
    <row r="21" spans="1:10" x14ac:dyDescent="0.25">
      <c r="A21" s="412" t="s">
        <v>6</v>
      </c>
      <c r="B21" s="413"/>
      <c r="C21" s="414"/>
      <c r="D21" s="412" t="s">
        <v>114</v>
      </c>
      <c r="E21" s="413"/>
      <c r="F21" s="413"/>
      <c r="G21" s="413"/>
      <c r="H21" s="413"/>
      <c r="I21" s="414"/>
    </row>
    <row r="22" spans="1:10" x14ac:dyDescent="0.25">
      <c r="A22" s="47"/>
      <c r="B22" s="48"/>
      <c r="C22" s="52" t="s">
        <v>55</v>
      </c>
      <c r="D22" s="403" t="s">
        <v>53</v>
      </c>
      <c r="E22" s="404"/>
      <c r="F22" s="405"/>
      <c r="G22" s="403" t="s">
        <v>54</v>
      </c>
      <c r="H22" s="404"/>
      <c r="I22" s="405"/>
    </row>
    <row r="23" spans="1:10" x14ac:dyDescent="0.25">
      <c r="A23" s="49"/>
      <c r="B23" s="50" t="s">
        <v>5</v>
      </c>
      <c r="C23" s="51" t="s">
        <v>56</v>
      </c>
      <c r="D23" s="406" t="s">
        <v>15</v>
      </c>
      <c r="E23" s="407"/>
      <c r="F23" s="52" t="s">
        <v>13</v>
      </c>
      <c r="G23" s="406" t="s">
        <v>15</v>
      </c>
      <c r="H23" s="407"/>
      <c r="I23" s="52" t="s">
        <v>13</v>
      </c>
    </row>
    <row r="24" spans="1:10" x14ac:dyDescent="0.25">
      <c r="A24" s="53" t="s">
        <v>10</v>
      </c>
      <c r="B24" s="54" t="s">
        <v>9</v>
      </c>
      <c r="C24" s="55" t="s">
        <v>113</v>
      </c>
      <c r="D24" s="56" t="str">
        <f>IF(OR(ProjectType="DTS Only",ProjectType="DTS and STS (Dual-Use)"),"DTS","NA")</f>
        <v>DTS</v>
      </c>
      <c r="E24" s="57" t="str">
        <f>IF(OR(ProjectType="STS Only",ProjectType="DTS and STS (Dual-Use)"),"STS","NA")</f>
        <v>NA</v>
      </c>
      <c r="F24" s="58" t="s">
        <v>14</v>
      </c>
      <c r="G24" s="56" t="str">
        <f>IF(OR(ProjectType="DTS Only",ProjectType="DTS and STS (Dual-Use)"),"DTS","NA")</f>
        <v>DTS</v>
      </c>
      <c r="H24" s="57" t="str">
        <f>IF(OR(ProjectType="STS Only",ProjectType="DTS and STS (Dual-Use)"),"STS","NA")</f>
        <v>NA</v>
      </c>
      <c r="I24" s="58" t="s">
        <v>14</v>
      </c>
    </row>
    <row r="25" spans="1:10" x14ac:dyDescent="0.25">
      <c r="A25" s="59">
        <v>1</v>
      </c>
      <c r="B25" s="60">
        <f>NoticeStartDate</f>
        <v>42767</v>
      </c>
      <c r="C25" s="61">
        <f>IF(ISNUMBER(B26),MIN(DAYS360(DATE(YEAR(B25),MONTH(B25),1),DATE(YEAR(B26),MONTH(B26),1))/30,(5*12)),(5*12))</f>
        <v>60</v>
      </c>
      <c r="D25" s="27"/>
      <c r="E25" s="30"/>
      <c r="F25" s="31"/>
      <c r="G25" s="27"/>
      <c r="H25" s="30"/>
      <c r="I25" s="31"/>
      <c r="J25" s="43" t="str">
        <f>IF(AND(ProjectType="DTS Only",SUM(E25:E34,H25:H34)&gt;0),"Error: Project Type is DTS Only but STS Capacity exists in input table!","")</f>
        <v/>
      </c>
    </row>
    <row r="26" spans="1:10" x14ac:dyDescent="0.25">
      <c r="A26" s="62">
        <f t="shared" ref="A26:A34" si="0">IF(ISNUMBER(B26),A25+1,0)</f>
        <v>0</v>
      </c>
      <c r="B26" s="25"/>
      <c r="C26" s="63">
        <f>IF(ISNUMBER(B27),MIN(DAYS360(DATE(YEAR(B26),MONTH(B26),1),DATE(YEAR(B27),MONTH(B27),1))/30,(5*12)-SUM(C$25:C25)),(5*12)-SUM(C$25:C25))</f>
        <v>0</v>
      </c>
      <c r="D26" s="28"/>
      <c r="E26" s="32"/>
      <c r="F26" s="33"/>
      <c r="G26" s="28"/>
      <c r="H26" s="32"/>
      <c r="I26" s="33"/>
      <c r="J26" s="43" t="str">
        <f>IF(AND(ProjectType="STS Only",SUM(D25:D34,G25:G34)&gt;0),"Error: Project Type is STS Only but DTS Capacity exists in input table!","")</f>
        <v/>
      </c>
    </row>
    <row r="27" spans="1:10" x14ac:dyDescent="0.25">
      <c r="A27" s="62">
        <f t="shared" si="0"/>
        <v>0</v>
      </c>
      <c r="B27" s="25"/>
      <c r="C27" s="63">
        <f>IF(ISNUMBER(B28),MIN(DAYS360(DATE(YEAR(B27),MONTH(B27),1),DATE(YEAR(B28),MONTH(B28),1))/30,(5*12)-SUM(C$25:C26)),(5*12)-SUM(C$25:C26))</f>
        <v>0</v>
      </c>
      <c r="D27" s="28"/>
      <c r="E27" s="32"/>
      <c r="F27" s="33"/>
      <c r="G27" s="28"/>
      <c r="H27" s="32"/>
      <c r="I27" s="33"/>
      <c r="J27" s="43" t="str">
        <f>IF(AND(OtherParticipant="No",SUM(F25:F34,I25:I34)&gt;0),"Error: No other participant at substation but Capacity exists for Other Participant!","")</f>
        <v/>
      </c>
    </row>
    <row r="28" spans="1:10" x14ac:dyDescent="0.25">
      <c r="A28" s="62">
        <f t="shared" si="0"/>
        <v>0</v>
      </c>
      <c r="B28" s="25"/>
      <c r="C28" s="63">
        <f>IF(ISNUMBER(B29),MIN(DAYS360(DATE(YEAR(B28),MONTH(B28),1),DATE(YEAR(B29),MONTH(B29),1))/30,(5*12)-SUM(C$25:C27)),(5*12)-SUM(C$25:C27))</f>
        <v>0</v>
      </c>
      <c r="D28" s="28"/>
      <c r="E28" s="32"/>
      <c r="F28" s="33"/>
      <c r="G28" s="28"/>
      <c r="H28" s="32"/>
      <c r="I28" s="33"/>
      <c r="J28" s="43"/>
    </row>
    <row r="29" spans="1:10" x14ac:dyDescent="0.25">
      <c r="A29" s="62">
        <f t="shared" si="0"/>
        <v>0</v>
      </c>
      <c r="B29" s="25"/>
      <c r="C29" s="63">
        <f>IF(ISNUMBER(B30),MIN(DAYS360(DATE(YEAR(B29),MONTH(B29),1),DATE(YEAR(B30),MONTH(B30),1))/30,(5*12)-SUM(C$25:C28)),(5*12)-SUM(C$25:C28))</f>
        <v>0</v>
      </c>
      <c r="D29" s="28"/>
      <c r="E29" s="32"/>
      <c r="F29" s="33"/>
      <c r="G29" s="28"/>
      <c r="H29" s="32"/>
      <c r="I29" s="33"/>
    </row>
    <row r="30" spans="1:10" x14ac:dyDescent="0.25">
      <c r="A30" s="62">
        <f t="shared" si="0"/>
        <v>0</v>
      </c>
      <c r="B30" s="25"/>
      <c r="C30" s="63">
        <f>IF(ISNUMBER(B31),MIN(DAYS360(DATE(YEAR(B30),MONTH(B30),1),DATE(YEAR(B31),MONTH(B31),1))/30,(5*12)-SUM(C$25:C29)),(5*12)-SUM(C$25:C29))</f>
        <v>0</v>
      </c>
      <c r="D30" s="28"/>
      <c r="E30" s="32"/>
      <c r="F30" s="33"/>
      <c r="G30" s="28"/>
      <c r="H30" s="32"/>
      <c r="I30" s="33"/>
    </row>
    <row r="31" spans="1:10" x14ac:dyDescent="0.25">
      <c r="A31" s="62">
        <f t="shared" si="0"/>
        <v>0</v>
      </c>
      <c r="B31" s="25"/>
      <c r="C31" s="63">
        <f>IF(ISNUMBER(B32),MIN(DAYS360(DATE(YEAR(B31),MONTH(B31),1),DATE(YEAR(B32),MONTH(B32),1))/30,(5*12)-SUM(C$25:C30)),(5*12)-SUM(C$25:C30))</f>
        <v>0</v>
      </c>
      <c r="D31" s="28"/>
      <c r="E31" s="32"/>
      <c r="F31" s="33"/>
      <c r="G31" s="28"/>
      <c r="H31" s="32"/>
      <c r="I31" s="33"/>
    </row>
    <row r="32" spans="1:10" x14ac:dyDescent="0.25">
      <c r="A32" s="62">
        <f t="shared" si="0"/>
        <v>0</v>
      </c>
      <c r="B32" s="25"/>
      <c r="C32" s="63">
        <f>IF(ISNUMBER(B33),MIN(DAYS360(DATE(YEAR(B32),MONTH(B32),1),DATE(YEAR(B33),MONTH(B33),1))/30,(5*12)-SUM(C$25:C31)),(5*12)-SUM(C$25:C31))</f>
        <v>0</v>
      </c>
      <c r="D32" s="28"/>
      <c r="E32" s="32"/>
      <c r="F32" s="33"/>
      <c r="G32" s="28"/>
      <c r="H32" s="32"/>
      <c r="I32" s="33"/>
    </row>
    <row r="33" spans="1:9" x14ac:dyDescent="0.25">
      <c r="A33" s="62">
        <f t="shared" si="0"/>
        <v>0</v>
      </c>
      <c r="B33" s="25"/>
      <c r="C33" s="63">
        <f>IF(ISNUMBER(B34),MIN(DAYS360(DATE(YEAR(B33),MONTH(B33),1),DATE(YEAR(B34),MONTH(B34),1))/30,(5*12)-SUM(C$25:C32)),(5*12)-SUM(C$25:C32))</f>
        <v>0</v>
      </c>
      <c r="D33" s="28"/>
      <c r="E33" s="32"/>
      <c r="F33" s="33"/>
      <c r="G33" s="28"/>
      <c r="H33" s="32"/>
      <c r="I33" s="33"/>
    </row>
    <row r="34" spans="1:9" x14ac:dyDescent="0.25">
      <c r="A34" s="64">
        <f t="shared" si="0"/>
        <v>0</v>
      </c>
      <c r="B34" s="26"/>
      <c r="C34" s="65">
        <f>IF(ISNUMBER(B35),MIN(DAYS360(DATE(YEAR(B34),MONTH(B34),1),DATE(YEAR(B35),MONTH(B35),1))/30,(5*12)-SUM(C$25:C33)),(5*12)-SUM(C$25:C33))</f>
        <v>0</v>
      </c>
      <c r="D34" s="29"/>
      <c r="E34" s="34"/>
      <c r="F34" s="35"/>
      <c r="G34" s="29"/>
      <c r="H34" s="34"/>
      <c r="I34" s="35"/>
    </row>
    <row r="35" spans="1:9" x14ac:dyDescent="0.25">
      <c r="A35" s="66"/>
      <c r="B35" s="67" t="s">
        <v>7</v>
      </c>
      <c r="C35" s="68">
        <f>SUM(C25:C34)</f>
        <v>60</v>
      </c>
      <c r="D35" s="42"/>
      <c r="E35" s="42"/>
      <c r="F35" s="42"/>
      <c r="G35" s="42"/>
      <c r="H35" s="42"/>
    </row>
    <row r="37" spans="1:9" s="44" customFormat="1" x14ac:dyDescent="0.25">
      <c r="A37" s="45" t="s">
        <v>78</v>
      </c>
      <c r="B37" s="45"/>
      <c r="C37" s="45"/>
      <c r="D37" s="45"/>
      <c r="E37" s="45"/>
      <c r="F37" s="46"/>
      <c r="G37" s="45"/>
      <c r="H37" s="416" t="s">
        <v>24</v>
      </c>
      <c r="I37" s="416"/>
    </row>
    <row r="38" spans="1:9" x14ac:dyDescent="0.25">
      <c r="A38" s="44" t="s">
        <v>34</v>
      </c>
      <c r="B38" s="85" t="s">
        <v>183</v>
      </c>
      <c r="C38" s="84"/>
      <c r="D38" s="84"/>
      <c r="E38" s="84"/>
      <c r="F38" s="419">
        <v>42.58</v>
      </c>
      <c r="G38" s="419"/>
      <c r="H38" s="402" t="s">
        <v>331</v>
      </c>
      <c r="I38" s="402"/>
    </row>
    <row r="40" spans="1:9" x14ac:dyDescent="0.25">
      <c r="A40" s="412" t="s">
        <v>6</v>
      </c>
      <c r="B40" s="413"/>
      <c r="C40" s="414"/>
      <c r="D40" s="412" t="s">
        <v>77</v>
      </c>
      <c r="E40" s="413"/>
      <c r="F40" s="413"/>
      <c r="G40" s="413"/>
      <c r="H40" s="413"/>
      <c r="I40" s="414"/>
    </row>
    <row r="41" spans="1:9" x14ac:dyDescent="0.25">
      <c r="A41" s="47"/>
      <c r="B41" s="48"/>
      <c r="C41" s="52" t="s">
        <v>55</v>
      </c>
      <c r="D41" s="403" t="s">
        <v>79</v>
      </c>
      <c r="E41" s="404"/>
      <c r="F41" s="405"/>
      <c r="G41" s="403" t="s">
        <v>80</v>
      </c>
      <c r="H41" s="404"/>
      <c r="I41" s="405"/>
    </row>
    <row r="42" spans="1:9" x14ac:dyDescent="0.25">
      <c r="A42" s="49"/>
      <c r="B42" s="50" t="s">
        <v>5</v>
      </c>
      <c r="C42" s="51" t="s">
        <v>56</v>
      </c>
      <c r="D42" s="406" t="s">
        <v>15</v>
      </c>
      <c r="E42" s="407"/>
      <c r="F42" s="52" t="s">
        <v>13</v>
      </c>
      <c r="G42" s="406" t="s">
        <v>15</v>
      </c>
      <c r="H42" s="407"/>
      <c r="I42" s="52" t="s">
        <v>13</v>
      </c>
    </row>
    <row r="43" spans="1:9" x14ac:dyDescent="0.25">
      <c r="A43" s="53" t="s">
        <v>10</v>
      </c>
      <c r="B43" s="54" t="s">
        <v>9</v>
      </c>
      <c r="C43" s="107" t="s">
        <v>113</v>
      </c>
      <c r="D43" s="56" t="str">
        <f>IF(OR(ProjectType="DTS Only",ProjectType="DTS and STS (Dual-Use)"),"DTS","NA")</f>
        <v>DTS</v>
      </c>
      <c r="E43" s="57" t="str">
        <f>IF(OR(ProjectType="STS Only",ProjectType="DTS and STS (Dual-Use)"),"STS","NA")</f>
        <v>NA</v>
      </c>
      <c r="F43" s="58" t="s">
        <v>14</v>
      </c>
      <c r="G43" s="56" t="str">
        <f>IF(OR(ProjectType="DTS Only",ProjectType="DTS and STS (Dual-Use)"),"DTS","NA")</f>
        <v>DTS</v>
      </c>
      <c r="H43" s="57" t="str">
        <f>IF(OR(ProjectType="STS Only",ProjectType="DTS and STS (Dual-Use)"),"STS","NA")</f>
        <v>NA</v>
      </c>
      <c r="I43" s="58" t="s">
        <v>14</v>
      </c>
    </row>
    <row r="44" spans="1:9" x14ac:dyDescent="0.25">
      <c r="A44" s="114">
        <f>IF(ISNUMBER('A1 Contract'!A25),'A1 Contract'!A25,"")</f>
        <v>1</v>
      </c>
      <c r="B44" s="115">
        <f>IF(ISNUMBER('A1 Contract'!B25),'A1 Contract'!B25,"")</f>
        <v>42767</v>
      </c>
      <c r="C44" s="116">
        <f>IF(ISNUMBER('A1 Contract'!C25),'A1 Contract'!C25,"")</f>
        <v>60</v>
      </c>
      <c r="D44" s="117">
        <f>IF(SUM($D25:$F25)&gt;0,SUM(D25)/SUM($D25:$F25),IF(SUM($D26:$F26)&gt;0,SUM(D26)/SUM($D26:$F26),IF(ProjectType="DTS Only",1,IF(ProjectType="STS Only",0,0.5))))</f>
        <v>1</v>
      </c>
      <c r="E44" s="118">
        <f>IF(SUM($D25:$F25)&gt;0,SUM(E25)/SUM($D25:$F25),IF(SUM($D26:$F26)&gt;0,SUM(E26)/SUM($D26:$F26),IF(ProjectType="DTS Only",0,IF(ProjectType="STS Only",1,0.5))))</f>
        <v>0</v>
      </c>
      <c r="F44" s="119">
        <f>IF(SUM($D25:$F25)&gt;0,SUM(F25)/SUM($D25:$F25),IF(SUM($D26:$F26)&gt;0,SUM(F26)/SUM($D26:$F26),0))</f>
        <v>0</v>
      </c>
      <c r="G44" s="117">
        <f>IF(SUM($G25:$I25)&gt;0,SUM(G25)/SUM($G25:$I25),IF(SUM($G26:$I26)&gt;0,SUM(G26)/SUM($G26:$I26),IF(ProjectType="DTS Only",1,IF(ProjectType="STS Only",0,0.5))))</f>
        <v>1</v>
      </c>
      <c r="H44" s="118">
        <f>IF(SUM($G25:$I25)&gt;0,SUM(H25)/SUM($G25:$I25),IF(SUM($G26:$I26)&gt;0,SUM(H26)/SUM($G26:$I26),IF(ProjectType="DTS Only",0,IF(ProjectType="STS Only",1,0.5))))</f>
        <v>0</v>
      </c>
      <c r="I44" s="119">
        <f>IF(SUM($G25:$I25)&gt;0,SUM(I25)/SUM($G25:$I25),IF(SUM($G26:$I26)&gt;0,SUM(I26)/SUM($G26:$I26),0))</f>
        <v>0</v>
      </c>
    </row>
    <row r="45" spans="1:9" x14ac:dyDescent="0.25">
      <c r="A45" s="120">
        <f>IF(ISNUMBER('A1 Contract'!A26),'A1 Contract'!A26,"")</f>
        <v>0</v>
      </c>
      <c r="B45" s="121" t="str">
        <f>IF(ISNUMBER('A1 Contract'!B26),'A1 Contract'!B26,"")</f>
        <v/>
      </c>
      <c r="C45" s="122">
        <f>IF(ISNUMBER('A1 Contract'!C26),'A1 Contract'!C26,"")</f>
        <v>0</v>
      </c>
      <c r="D45" s="123" t="str">
        <f t="shared" ref="D45:D52" si="1">IF(ISNUMBER($B45),IF(SUM($D26:$F26)&gt;0,SUM(D26)/SUM($D26:$F26),IF(SUM($D27:$F27)&gt;0,SUM(D27)/SUM($D27:$F27),IF(SUM($D25:$F25)&gt;0,SUM(D25)/SUM($D25:$F25),IF(ProjectType="DTS Only",1,IF(ProjectType="STS Only",0,0.5))))),"")</f>
        <v/>
      </c>
      <c r="E45" s="124" t="str">
        <f t="shared" ref="E45:E52" si="2">IF(ISNUMBER($B45),IF(SUM($D26:$F26)&gt;0,SUM(E26)/SUM($D26:$F26),IF(SUM($D27:$F27)&gt;0,SUM(E27)/SUM($D27:$F27),IF(SUM($D25:$F25)&gt;0,SUM(E25)/SUM($D25:$F25),IF(ProjectType="DTS Only",0,IF(ProjectType="STS Only",1,0.5))))),"")</f>
        <v/>
      </c>
      <c r="F45" s="125" t="str">
        <f t="shared" ref="F45:F52" si="3">IF(ISNUMBER($B45),IF(SUM($D26:$F26)&gt;0,SUM(F26)/SUM($D26:$F26),IF(SUM($D27:$F27)&gt;0,SUM(F27)/SUM($D27:$F27),IF(SUM($D25:$F25)&gt;0,SUM(F25)/SUM($D25:$F25),0))),"")</f>
        <v/>
      </c>
      <c r="G45" s="123" t="str">
        <f t="shared" ref="G45:G52" si="4">IF(ISNUMBER($B45),IF(SUM($G26:$I26)&gt;0,SUM(G26)/SUM($G26:$I26),IF(SUM($G27:$I27)&gt;0,SUM(G27)/SUM($G27:$I27),IF(SUM($G25:$I25)&gt;0,SUM(G25)/SUM($G25:$I25),IF(ProjectType="DTS Only",1,IF(ProjectType="STS Only",0,0.5))))),"")</f>
        <v/>
      </c>
      <c r="H45" s="124" t="str">
        <f t="shared" ref="H45:H52" si="5">IF(ISNUMBER($B45),IF(SUM($G26:$I26)&gt;0,SUM(H26)/SUM($G26:$I26),IF(SUM($G27:$I27)&gt;0,SUM(H27)/SUM($G27:$I27),IF(SUM($G25:$I25)&gt;0,SUM(H25)/SUM($G25:$I25),IF(ProjectType="DTS Only",0,IF(ProjectType="STS Only",1,0.5))))),"")</f>
        <v/>
      </c>
      <c r="I45" s="125" t="str">
        <f t="shared" ref="I45:I52" si="6">IF(ISNUMBER($B45),IF(SUM($G26:$I26)&gt;0,SUM(I26)/SUM($G26:$I26),IF(SUM($G27:$I27)&gt;0,SUM(I27)/SUM($G27:$I27),IF(SUM($G25:$I25)&gt;0,SUM(I25)/SUM($G25:$I25),0))),"")</f>
        <v/>
      </c>
    </row>
    <row r="46" spans="1:9" x14ac:dyDescent="0.25">
      <c r="A46" s="120">
        <f>IF(ISNUMBER('A1 Contract'!A27),'A1 Contract'!A27,"")</f>
        <v>0</v>
      </c>
      <c r="B46" s="121" t="str">
        <f>IF(ISNUMBER('A1 Contract'!B27),'A1 Contract'!B27,"")</f>
        <v/>
      </c>
      <c r="C46" s="122">
        <f>IF(ISNUMBER('A1 Contract'!C27),'A1 Contract'!C27,"")</f>
        <v>0</v>
      </c>
      <c r="D46" s="123" t="str">
        <f t="shared" si="1"/>
        <v/>
      </c>
      <c r="E46" s="124" t="str">
        <f t="shared" si="2"/>
        <v/>
      </c>
      <c r="F46" s="125" t="str">
        <f t="shared" si="3"/>
        <v/>
      </c>
      <c r="G46" s="123" t="str">
        <f t="shared" si="4"/>
        <v/>
      </c>
      <c r="H46" s="124" t="str">
        <f t="shared" si="5"/>
        <v/>
      </c>
      <c r="I46" s="125" t="str">
        <f t="shared" si="6"/>
        <v/>
      </c>
    </row>
    <row r="47" spans="1:9" x14ac:dyDescent="0.25">
      <c r="A47" s="120">
        <f>IF(ISNUMBER('A1 Contract'!A28),'A1 Contract'!A28,"")</f>
        <v>0</v>
      </c>
      <c r="B47" s="121" t="str">
        <f>IF(ISNUMBER('A1 Contract'!B28),'A1 Contract'!B28,"")</f>
        <v/>
      </c>
      <c r="C47" s="122">
        <f>IF(ISNUMBER('A1 Contract'!C28),'A1 Contract'!C28,"")</f>
        <v>0</v>
      </c>
      <c r="D47" s="123" t="str">
        <f t="shared" si="1"/>
        <v/>
      </c>
      <c r="E47" s="124" t="str">
        <f t="shared" si="2"/>
        <v/>
      </c>
      <c r="F47" s="125" t="str">
        <f t="shared" si="3"/>
        <v/>
      </c>
      <c r="G47" s="123" t="str">
        <f t="shared" si="4"/>
        <v/>
      </c>
      <c r="H47" s="124" t="str">
        <f t="shared" si="5"/>
        <v/>
      </c>
      <c r="I47" s="125" t="str">
        <f t="shared" si="6"/>
        <v/>
      </c>
    </row>
    <row r="48" spans="1:9" x14ac:dyDescent="0.25">
      <c r="A48" s="120">
        <f>IF(ISNUMBER('A1 Contract'!A29),'A1 Contract'!A29,"")</f>
        <v>0</v>
      </c>
      <c r="B48" s="121" t="str">
        <f>IF(ISNUMBER('A1 Contract'!B29),'A1 Contract'!B29,"")</f>
        <v/>
      </c>
      <c r="C48" s="122">
        <f>IF(ISNUMBER('A1 Contract'!C29),'A1 Contract'!C29,"")</f>
        <v>0</v>
      </c>
      <c r="D48" s="123" t="str">
        <f t="shared" si="1"/>
        <v/>
      </c>
      <c r="E48" s="124" t="str">
        <f t="shared" si="2"/>
        <v/>
      </c>
      <c r="F48" s="125" t="str">
        <f t="shared" si="3"/>
        <v/>
      </c>
      <c r="G48" s="123" t="str">
        <f t="shared" si="4"/>
        <v/>
      </c>
      <c r="H48" s="124" t="str">
        <f t="shared" si="5"/>
        <v/>
      </c>
      <c r="I48" s="125" t="str">
        <f t="shared" si="6"/>
        <v/>
      </c>
    </row>
    <row r="49" spans="1:9" x14ac:dyDescent="0.25">
      <c r="A49" s="120">
        <f>IF(ISNUMBER('A1 Contract'!A30),'A1 Contract'!A30,"")</f>
        <v>0</v>
      </c>
      <c r="B49" s="121" t="str">
        <f>IF(ISNUMBER('A1 Contract'!B30),'A1 Contract'!B30,"")</f>
        <v/>
      </c>
      <c r="C49" s="122">
        <f>IF(ISNUMBER('A1 Contract'!C30),'A1 Contract'!C30,"")</f>
        <v>0</v>
      </c>
      <c r="D49" s="123" t="str">
        <f t="shared" si="1"/>
        <v/>
      </c>
      <c r="E49" s="124" t="str">
        <f t="shared" si="2"/>
        <v/>
      </c>
      <c r="F49" s="125" t="str">
        <f t="shared" si="3"/>
        <v/>
      </c>
      <c r="G49" s="123" t="str">
        <f t="shared" si="4"/>
        <v/>
      </c>
      <c r="H49" s="124" t="str">
        <f t="shared" si="5"/>
        <v/>
      </c>
      <c r="I49" s="125" t="str">
        <f t="shared" si="6"/>
        <v/>
      </c>
    </row>
    <row r="50" spans="1:9" x14ac:dyDescent="0.25">
      <c r="A50" s="120">
        <f>IF(ISNUMBER('A1 Contract'!A31),'A1 Contract'!A31,"")</f>
        <v>0</v>
      </c>
      <c r="B50" s="121" t="str">
        <f>IF(ISNUMBER('A1 Contract'!B31),'A1 Contract'!B31,"")</f>
        <v/>
      </c>
      <c r="C50" s="122">
        <f>IF(ISNUMBER('A1 Contract'!C31),'A1 Contract'!C31,"")</f>
        <v>0</v>
      </c>
      <c r="D50" s="123" t="str">
        <f t="shared" si="1"/>
        <v/>
      </c>
      <c r="E50" s="124" t="str">
        <f t="shared" si="2"/>
        <v/>
      </c>
      <c r="F50" s="125" t="str">
        <f t="shared" si="3"/>
        <v/>
      </c>
      <c r="G50" s="123" t="str">
        <f t="shared" si="4"/>
        <v/>
      </c>
      <c r="H50" s="124" t="str">
        <f t="shared" si="5"/>
        <v/>
      </c>
      <c r="I50" s="125" t="str">
        <f t="shared" si="6"/>
        <v/>
      </c>
    </row>
    <row r="51" spans="1:9" x14ac:dyDescent="0.25">
      <c r="A51" s="120">
        <f>IF(ISNUMBER('A1 Contract'!A32),'A1 Contract'!A32,"")</f>
        <v>0</v>
      </c>
      <c r="B51" s="121" t="str">
        <f>IF(ISNUMBER('A1 Contract'!B32),'A1 Contract'!B32,"")</f>
        <v/>
      </c>
      <c r="C51" s="122">
        <f>IF(ISNUMBER('A1 Contract'!C32),'A1 Contract'!C32,"")</f>
        <v>0</v>
      </c>
      <c r="D51" s="123" t="str">
        <f t="shared" si="1"/>
        <v/>
      </c>
      <c r="E51" s="124" t="str">
        <f t="shared" si="2"/>
        <v/>
      </c>
      <c r="F51" s="125" t="str">
        <f t="shared" si="3"/>
        <v/>
      </c>
      <c r="G51" s="123" t="str">
        <f t="shared" si="4"/>
        <v/>
      </c>
      <c r="H51" s="124" t="str">
        <f t="shared" si="5"/>
        <v/>
      </c>
      <c r="I51" s="125" t="str">
        <f t="shared" si="6"/>
        <v/>
      </c>
    </row>
    <row r="52" spans="1:9" x14ac:dyDescent="0.25">
      <c r="A52" s="120">
        <f>IF(ISNUMBER('A1 Contract'!A33),'A1 Contract'!A33,"")</f>
        <v>0</v>
      </c>
      <c r="B52" s="121" t="str">
        <f>IF(ISNUMBER('A1 Contract'!B33),'A1 Contract'!B33,"")</f>
        <v/>
      </c>
      <c r="C52" s="122">
        <f>IF(ISNUMBER('A1 Contract'!C33),'A1 Contract'!C33,"")</f>
        <v>0</v>
      </c>
      <c r="D52" s="123" t="str">
        <f t="shared" si="1"/>
        <v/>
      </c>
      <c r="E52" s="124" t="str">
        <f t="shared" si="2"/>
        <v/>
      </c>
      <c r="F52" s="125" t="str">
        <f t="shared" si="3"/>
        <v/>
      </c>
      <c r="G52" s="123" t="str">
        <f t="shared" si="4"/>
        <v/>
      </c>
      <c r="H52" s="124" t="str">
        <f t="shared" si="5"/>
        <v/>
      </c>
      <c r="I52" s="125" t="str">
        <f t="shared" si="6"/>
        <v/>
      </c>
    </row>
    <row r="53" spans="1:9" x14ac:dyDescent="0.25">
      <c r="A53" s="126">
        <f>IF(ISNUMBER('A1 Contract'!A34),'A1 Contract'!A34,"")</f>
        <v>0</v>
      </c>
      <c r="B53" s="127" t="str">
        <f>IF(ISNUMBER('A1 Contract'!B34),'A1 Contract'!B34,"")</f>
        <v/>
      </c>
      <c r="C53" s="128">
        <f>IF(ISNUMBER('A1 Contract'!C34),'A1 Contract'!C34,"")</f>
        <v>0</v>
      </c>
      <c r="D53" s="129" t="str">
        <f>IF(ISNUMBER($B53),IF(SUM($D34:$F34)&gt;0,SUM(D34)/SUM($D34:$F34),IF(SUM($D33:$F33)&gt;0,SUM(D33)/SUM($D33:$F33),IF(ProjectType="DTS Only",1,IF(ProjectType="STS Only",0,0.5)))),"")</f>
        <v/>
      </c>
      <c r="E53" s="130" t="str">
        <f>IF(ISNUMBER($B53),IF(SUM($D34:$F34)&gt;0,SUM(E34)/SUM($D34:$F34),IF(SUM($D33:$F33)&gt;0,SUM(E33)/SUM($D33:$F33),IF(ProjectType="DTS Only",0,IF(ProjectType="STS Only",1,0.5)))),"")</f>
        <v/>
      </c>
      <c r="F53" s="131" t="str">
        <f>IF(ISNUMBER($B53),IF(SUM($D34:$F34)&gt;0,SUM(F34)/SUM($D34:$F34),IF(SUM($D33:$F33)&gt;0,SUM(F33)/SUM($D33:$F33),0)),"")</f>
        <v/>
      </c>
      <c r="G53" s="129" t="str">
        <f>IF(ISNUMBER($B53),IF(SUM($G34:$I34)&gt;0,SUM(G34)/SUM($G34:$I34),IF(SUM($G33:$I33)&gt;0,SUM(G33)/SUM($G33:$I33),IF(ProjectType="DTS Only",1,IF(ProjectType="STS Only",0,0.5)))),"")</f>
        <v/>
      </c>
      <c r="H53" s="130" t="str">
        <f>IF(ISNUMBER($B53),IF(SUM($G34:$I34)&gt;0,SUM(H34)/SUM($G34:$I34),IF(SUM($G33:$I33)&gt;0,SUM(H33)/SUM($G33:$I33),IF(ProjectType="DTS Only",0,IF(ProjectType="STS Only",1,0.5)))),"")</f>
        <v/>
      </c>
      <c r="I53" s="131" t="str">
        <f>IF(ISNUMBER($B53),IF(SUM($G34:$I34)&gt;0,SUM(I34)/SUM($G34:$I34),IF(SUM($G33:$I33)&gt;0,SUM(I33)/SUM($G33:$I33),0)),"")</f>
        <v/>
      </c>
    </row>
    <row r="54" spans="1:9" x14ac:dyDescent="0.25">
      <c r="A54" s="66"/>
      <c r="B54" s="67" t="s">
        <v>7</v>
      </c>
      <c r="C54" s="132">
        <f>SUM(C44:C53)</f>
        <v>60</v>
      </c>
      <c r="D54" s="133"/>
      <c r="E54" s="133"/>
      <c r="F54" s="134"/>
      <c r="G54" s="135"/>
      <c r="H54" s="135"/>
      <c r="I54" s="135"/>
    </row>
  </sheetData>
  <sheetProtection sheet="1" objects="1" scenarios="1"/>
  <dataConsolidate/>
  <mergeCells count="36">
    <mergeCell ref="A40:C40"/>
    <mergeCell ref="D42:E42"/>
    <mergeCell ref="G42:H42"/>
    <mergeCell ref="A21:C21"/>
    <mergeCell ref="H37:I37"/>
    <mergeCell ref="F38:G38"/>
    <mergeCell ref="H38:I38"/>
    <mergeCell ref="G41:I41"/>
    <mergeCell ref="D40:I40"/>
    <mergeCell ref="D41:F41"/>
    <mergeCell ref="A1:I1"/>
    <mergeCell ref="H12:I12"/>
    <mergeCell ref="C3:G3"/>
    <mergeCell ref="C4:G4"/>
    <mergeCell ref="C5:D5"/>
    <mergeCell ref="C6:D6"/>
    <mergeCell ref="F9:G9"/>
    <mergeCell ref="F10:G10"/>
    <mergeCell ref="F6:G6"/>
    <mergeCell ref="F5:G5"/>
    <mergeCell ref="H14:I14"/>
    <mergeCell ref="H13:I13"/>
    <mergeCell ref="G22:I22"/>
    <mergeCell ref="D23:E23"/>
    <mergeCell ref="F18:G18"/>
    <mergeCell ref="H19:I19"/>
    <mergeCell ref="G23:H23"/>
    <mergeCell ref="H17:I17"/>
    <mergeCell ref="F15:G15"/>
    <mergeCell ref="F19:G19"/>
    <mergeCell ref="F17:G17"/>
    <mergeCell ref="F16:G16"/>
    <mergeCell ref="F13:G13"/>
    <mergeCell ref="F14:G14"/>
    <mergeCell ref="D22:F22"/>
    <mergeCell ref="D21:I21"/>
  </mergeCells>
  <phoneticPr fontId="2" type="noConversion"/>
  <conditionalFormatting sqref="D24">
    <cfRule type="cellIs" dxfId="27" priority="28" stopIfTrue="1" operator="notEqual">
      <formula>"DTS"</formula>
    </cfRule>
  </conditionalFormatting>
  <conditionalFormatting sqref="D25:D34">
    <cfRule type="expression" dxfId="26" priority="29" stopIfTrue="1">
      <formula>$D$24&lt;&gt;"DTS"</formula>
    </cfRule>
  </conditionalFormatting>
  <conditionalFormatting sqref="E25:E34">
    <cfRule type="expression" dxfId="25" priority="30" stopIfTrue="1">
      <formula>$E$24&lt;&gt;"STS"</formula>
    </cfRule>
  </conditionalFormatting>
  <conditionalFormatting sqref="E24">
    <cfRule type="cellIs" dxfId="24" priority="31" stopIfTrue="1" operator="notEqual">
      <formula>"STS"</formula>
    </cfRule>
  </conditionalFormatting>
  <conditionalFormatting sqref="F25:F34">
    <cfRule type="expression" dxfId="23" priority="33" stopIfTrue="1">
      <formula>OtherParticipant="No"</formula>
    </cfRule>
  </conditionalFormatting>
  <conditionalFormatting sqref="F10:G10">
    <cfRule type="expression" dxfId="22" priority="38" stopIfTrue="1">
      <formula>AND(NewOrExpansion="New Service",NewOrExistingSub="Existing Substation",OtherParticipant="No")</formula>
    </cfRule>
  </conditionalFormatting>
  <conditionalFormatting sqref="F5:G5">
    <cfRule type="expression" dxfId="21" priority="39" stopIfTrue="1">
      <formula>OR(LEFT($J$39,5)="Error",LEFT($J$40,5)="Error")</formula>
    </cfRule>
  </conditionalFormatting>
  <conditionalFormatting sqref="F19:G19">
    <cfRule type="expression" dxfId="20" priority="41" stopIfTrue="1">
      <formula>AND(ISNUMBER(B26),ISBLANK(DiscountRate))</formula>
    </cfRule>
  </conditionalFormatting>
  <conditionalFormatting sqref="F9:G9">
    <cfRule type="expression" dxfId="19" priority="42" stopIfTrue="1">
      <formula>LEFT($J$9,5)="Error"</formula>
    </cfRule>
  </conditionalFormatting>
  <conditionalFormatting sqref="F13:G13">
    <cfRule type="expression" dxfId="18" priority="25" stopIfTrue="1">
      <formula>LEFT($J$9,5)="Error"</formula>
    </cfRule>
  </conditionalFormatting>
  <conditionalFormatting sqref="G24">
    <cfRule type="cellIs" dxfId="17" priority="20" stopIfTrue="1" operator="notEqual">
      <formula>"DTS"</formula>
    </cfRule>
  </conditionalFormatting>
  <conditionalFormatting sqref="G25:G34">
    <cfRule type="expression" dxfId="16" priority="21" stopIfTrue="1">
      <formula>$D$24&lt;&gt;"DTS"</formula>
    </cfRule>
  </conditionalFormatting>
  <conditionalFormatting sqref="H25:H34">
    <cfRule type="expression" dxfId="15" priority="22" stopIfTrue="1">
      <formula>$E$24&lt;&gt;"STS"</formula>
    </cfRule>
  </conditionalFormatting>
  <conditionalFormatting sqref="H24">
    <cfRule type="cellIs" dxfId="14" priority="23" stopIfTrue="1" operator="notEqual">
      <formula>"STS"</formula>
    </cfRule>
  </conditionalFormatting>
  <conditionalFormatting sqref="I25:I34">
    <cfRule type="expression" dxfId="13" priority="24" stopIfTrue="1">
      <formula>OtherParticipant="No"</formula>
    </cfRule>
  </conditionalFormatting>
  <conditionalFormatting sqref="F38:G38">
    <cfRule type="expression" dxfId="12" priority="12" stopIfTrue="1">
      <formula>LEFT($J$9,5)="Error"</formula>
    </cfRule>
  </conditionalFormatting>
  <conditionalFormatting sqref="D43">
    <cfRule type="cellIs" dxfId="11" priority="10" stopIfTrue="1" operator="notEqual">
      <formula>"DTS"</formula>
    </cfRule>
  </conditionalFormatting>
  <conditionalFormatting sqref="E43">
    <cfRule type="cellIs" dxfId="10" priority="11" stopIfTrue="1" operator="notEqual">
      <formula>"STS"</formula>
    </cfRule>
  </conditionalFormatting>
  <conditionalFormatting sqref="G43">
    <cfRule type="cellIs" dxfId="9" priority="8" stopIfTrue="1" operator="notEqual">
      <formula>"DTS"</formula>
    </cfRule>
  </conditionalFormatting>
  <conditionalFormatting sqref="H43">
    <cfRule type="cellIs" dxfId="8" priority="9" stopIfTrue="1" operator="notEqual">
      <formula>"STS"</formula>
    </cfRule>
  </conditionalFormatting>
  <conditionalFormatting sqref="G44:G53">
    <cfRule type="expression" dxfId="7" priority="5" stopIfTrue="1">
      <formula>$G$43&lt;&gt;"DTS"</formula>
    </cfRule>
  </conditionalFormatting>
  <conditionalFormatting sqref="H44:H53">
    <cfRule type="expression" dxfId="6" priority="6" stopIfTrue="1">
      <formula>$H$43&lt;&gt;"STS"</formula>
    </cfRule>
  </conditionalFormatting>
  <conditionalFormatting sqref="I44:I53">
    <cfRule type="expression" dxfId="5" priority="7" stopIfTrue="1">
      <formula>OtherParticipant="No"</formula>
    </cfRule>
  </conditionalFormatting>
  <conditionalFormatting sqref="D44:D53">
    <cfRule type="expression" dxfId="4" priority="2" stopIfTrue="1">
      <formula>$D$43&lt;&gt;"DTS"</formula>
    </cfRule>
  </conditionalFormatting>
  <conditionalFormatting sqref="E44:E53">
    <cfRule type="expression" dxfId="3" priority="3" stopIfTrue="1">
      <formula>$E$43&lt;&gt;"STS"</formula>
    </cfRule>
  </conditionalFormatting>
  <conditionalFormatting sqref="F44:F53">
    <cfRule type="expression" dxfId="2" priority="4" stopIfTrue="1">
      <formula>OtherParticipant="No"</formula>
    </cfRule>
  </conditionalFormatting>
  <conditionalFormatting sqref="F17:G17 F14:G14">
    <cfRule type="expression" dxfId="1" priority="1">
      <formula>(EffectiveWithPILON-RequestDate)&lt;120</formula>
    </cfRule>
  </conditionalFormatting>
  <dataValidations count="23">
    <dataValidation type="list" showInputMessage="1" showErrorMessage="1" errorTitle="Type of Service" error="Please select type of service from list." promptTitle="Type of Service" prompt="Select type of system access service being provided to market participant." sqref="F5:G5">
      <formula1>"DTS Only, STS Only, DTS and STS (Dual-Use)"</formula1>
    </dataValidation>
    <dataValidation allowBlank="1" showInputMessage="1" showErrorMessage="1" promptTitle="Market Participant" prompt="Enter name of market participant (customer) who is receiving system access service and who will sign the system access service agreement for this project." sqref="C3:G3"/>
    <dataValidation allowBlank="1" showInputMessage="1" showErrorMessage="1" promptTitle="Project Name" prompt="Enter name of connection project, including substation number if applicable." sqref="C4:G4"/>
    <dataValidation allowBlank="1" showInputMessage="1" showErrorMessage="1" promptTitle="Project Number" prompt="Enter project number (3 or 4 digits) for connection project." sqref="C5:D5"/>
    <dataValidation allowBlank="1" showInputMessage="1" showErrorMessage="1" promptTitle="Preparer Name" prompt="Enter your name." sqref="C6:D6"/>
    <dataValidation allowBlank="1" showInputMessage="1" showErrorMessage="1" promptTitle="Preparation Date" prompt="Enter date on which this PILON calculation is being prepared." sqref="F6:G6"/>
    <dataValidation type="decimal" allowBlank="1" showInputMessage="1" showErrorMessage="1" errorTitle="Invalid Data" error="Discount rate must be between 4% and 12%." promptTitle="Discount Rate" prompt="Enter the discount rate provided in subsection 11 of section 8 of the ISO tariff (applicable to the net present value calculation of a payment in lieu of notice in accordance with subsection 3(3)(a))." sqref="F19:G19">
      <formula1>0.04</formula1>
      <formula2>0.12</formula2>
    </dataValidation>
    <dataValidation type="list" showInputMessage="1" showErrorMessage="1" promptTitle="Primary Service Credit" prompt="Select Yes if the market participant owns and operates its own transformer facilities or if service is provided through an unconventional connection." sqref="F9:G9">
      <formula1>"Yes, No"</formula1>
    </dataValidation>
    <dataValidation type="list" showInputMessage="1" showErrorMessage="1" promptTitle="Other Market Participants" prompt="Select Yes if one or more other market participants receive service at the same saubstation under either Rate DTS or Rate STS." sqref="F10:G10">
      <formula1>"Yes, No"</formula1>
    </dataValidation>
    <dataValidation type="date" operator="greaterThan" allowBlank="1" showInputMessage="1" showErrorMessage="1" errorTitle="Invalid Date" error="Date must be no more than five years before the April 1, 2016 effective date of the 2016 tariff." promptTitle="Start Date" prompt="Enter the start date, in format “mmm d, yyyy”, of any increases or decreases in contract capacity after the date a request for reduction or termination  was received by the AESO." sqref="B26:B34">
      <formula1>42767</formula1>
    </dataValidation>
    <dataValidation type="decimal" operator="greaterThanOrEqual" allowBlank="1" showInputMessage="1" showErrorMessage="1" errorTitle="Invalid Capacity" error="Contract capacity must be 0 MW or greater." promptTitle="Rate DTS Capacity" prompt="Enter the amount, in MW, of contract capacity under Rate DTS that will be contracted for after the request for reduction or termination. The total (not incremental) amount should be entered for each contract stage." sqref="D25:D34">
      <formula1>0</formula1>
    </dataValidation>
    <dataValidation type="decimal" operator="greaterThanOrEqual" allowBlank="1" showInputMessage="1" showErrorMessage="1" errorTitle="Invalid Capacity" error="Contract capacity must be 0 MW or greater." promptTitle="Rate STS Contract Capacity" prompt="Enter the amount, in MW, of contract capacity under Rate STS that will be contracted for after the request for reduction or termination. The total (not incremental) amount should be entered for each contract stage." sqref="E25:E34">
      <formula1>0</formula1>
    </dataValidation>
    <dataValidation type="decimal" operator="greaterThanOrEqual" allowBlank="1" showInputMessage="1" showErrorMessage="1" errorTitle="Invalid Capacity" error="Contract capacity must be 0 MW or greater." promptTitle="Other Participant Capacity" prompt="Enter the total amount, in MW, contracted under Rates DTS and STS by other market participant(s) at the substation after the request for reduction or termination." sqref="F25:F34">
      <formula1>0</formula1>
    </dataValidation>
    <dataValidation type="list" showInputMessage="1" showErrorMessage="1" promptTitle="Reduction or Termination" prompt="Select Reduced if the service will continue at a reduced contract capacity, or select Terminated if the service will no longer be required." sqref="F13:G13">
      <formula1>"Reduced, Terminated"</formula1>
    </dataValidation>
    <dataValidation type="date" operator="greaterThanOrEqual" allowBlank="1" showInputMessage="1" showErrorMessage="1" errorTitle="Invalid Date" error="Date must be no more than five years before the January 1, 2018 effective date of the 2018 tariff." promptTitle="Request Date" prompt="Enter the date, in format “mmm d, yyyy”, when the AESO received the market participant’s request for reduction or termination of contract capacity for the service." sqref="F14:G14">
      <formula1>41275</formula1>
    </dataValidation>
    <dataValidation type="date" operator="greaterThanOrEqual" allowBlank="1" showInputMessage="1" showErrorMessage="1" errorTitle="Invalid Date" error="Date must be on or after the January 1, 2018 effective date of the 2018 tariff." promptTitle="Effective Date With PILON" prompt="Enter the date, in format “mmm d, yyyy”, of the first of the month when the reduction or termination of contract capacity will become effective if a PILON is paid." sqref="F17:G17">
      <formula1>43101</formula1>
    </dataValidation>
    <dataValidation type="decimal" operator="greaterThanOrEqual" allowBlank="1" showInputMessage="1" showErrorMessage="1" errorTitle="Invalid Capacity" error="Contract capacity must be 0 MW or greater." promptTitle="Rate DTS Capacity" prompt="Enter the amount, in MW, of contract capacity under Rate DTS that was previously contracted for prior to a request for reduction or termination. The total (not incremental) amount should be entered for each contract stage." sqref="G25:G34">
      <formula1>0</formula1>
    </dataValidation>
    <dataValidation type="decimal" operator="greaterThanOrEqual" allowBlank="1" showInputMessage="1" showErrorMessage="1" errorTitle="Invalid Capacity" error="Contract capacity must be 0 MW or greater." promptTitle="Rate STS Contract Capacity" prompt="Enter the amount, in MW, of contract capacity under Rate STS that was previously contracted for prior to a request for reduction or termination. The total (not incremental) amount should be entered for each contract stage." sqref="H25:H34">
      <formula1>0</formula1>
    </dataValidation>
    <dataValidation type="decimal" operator="greaterThanOrEqual" allowBlank="1" showInputMessage="1" showErrorMessage="1" errorTitle="Invalid Capacity" error="Contract capacity must be 0 MW or greater." promptTitle="Other Participant Capacity" prompt="Enter the total amount, in MW, that was previously contracted under Rates DTS and STS by other market participant(s) at the substation prior to a request for reduction or termination." sqref="I25:I34">
      <formula1>0</formula1>
    </dataValidation>
    <dataValidation operator="greaterThanOrEqual" allowBlank="1" showInputMessage="1" promptTitle="Date PILON Must Be Received" prompt="The market participant’s payment in lieu of notice must be received by the AESO at least 30 days before the reduction or termination of contract capacity will become effective, in accordance with subsection 3(5) of section 9 of the ISO tariff." sqref="F16:G16"/>
    <dataValidation operator="greaterThanOrEqual" allowBlank="1" showInputMessage="1" promptTitle="Effective Date Without PILON" prompt="If a PILON is not paid, a requested reduction or termination of contract capacity will become effective after five years, in accordance with subsection 3(1) of section 9 of the ISO tariff." sqref="F18:G18"/>
    <dataValidation operator="greaterThanOrEqual" allowBlank="1" showInputMessage="1" promptTitle="Start of Five-Year Notice Period" prompt="The five-year notice period starts on the first day of the month following receipt of the request for reduction or termination of contract capacity." sqref="F15:G15"/>
    <dataValidation type="decimal" operator="greaterThanOrEqual" allowBlank="1" showInputMessage="1" showErrorMessage="1" errorTitle="Invalid Data" error="Pool price must be at least $20.00/MWh." promptTitle="Pool Price" prompt="Enter the average forecast pool price, in $/MWh, for the year when the reduction or termination of contract capacity will be effective." sqref="F38:G38">
      <formula1>20</formula1>
    </dataValidation>
  </dataValidations>
  <pageMargins left="0.75" right="0.75" top="0.5" bottom="0.85" header="0.5" footer="0.5"/>
  <pageSetup orientation="portrait" r:id="rId1"/>
  <headerFooter alignWithMargins="0">
    <oddFooter>&amp;L&amp;8Attachment to PILON Calculator for 2018 Tariff (AESO ID No. 2018-010T)
Filename: &amp;F — Page &amp;P of &amp;N&amp;R&amp;8Confidentiality: Proprietary When Completed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zoomScaleNormal="100" workbookViewId="0">
      <selection activeCell="C15" sqref="C15"/>
    </sheetView>
  </sheetViews>
  <sheetFormatPr defaultColWidth="11.33203125" defaultRowHeight="13.2" x14ac:dyDescent="0.25"/>
  <cols>
    <col min="1" max="2" width="6.33203125" style="38" customWidth="1"/>
    <col min="3" max="3" width="11.109375" style="227" customWidth="1"/>
    <col min="4" max="4" width="11.109375" style="38" customWidth="1"/>
    <col min="5" max="5" width="21.44140625" style="38" customWidth="1"/>
    <col min="6" max="6" width="11.109375" style="248" customWidth="1"/>
    <col min="7" max="11" width="11.109375" style="38" customWidth="1"/>
    <col min="12" max="16384" width="11.33203125" style="38"/>
  </cols>
  <sheetData>
    <row r="1" spans="1:12" s="36" customFormat="1" ht="17.399999999999999" x14ac:dyDescent="0.45">
      <c r="A1" s="415" t="s">
        <v>58</v>
      </c>
      <c r="B1" s="415"/>
      <c r="C1" s="415"/>
      <c r="D1" s="415"/>
      <c r="E1" s="415"/>
      <c r="F1" s="415"/>
      <c r="G1" s="415"/>
      <c r="H1" s="415"/>
      <c r="I1" s="415"/>
      <c r="J1" s="415"/>
      <c r="K1" s="415"/>
    </row>
    <row r="2" spans="1:12" s="37" customFormat="1" ht="7.8" x14ac:dyDescent="0.15">
      <c r="C2" s="219"/>
      <c r="F2" s="239"/>
    </row>
    <row r="3" spans="1:12" s="44" customFormat="1" x14ac:dyDescent="0.25">
      <c r="A3" s="44" t="s">
        <v>4</v>
      </c>
      <c r="C3" s="420" t="str">
        <f>"  "&amp;ParticipantName</f>
        <v>  Name of Market Participant (Customer)</v>
      </c>
      <c r="D3" s="420"/>
      <c r="E3" s="420"/>
      <c r="F3" s="420"/>
      <c r="G3" s="420"/>
      <c r="H3" s="379"/>
      <c r="I3" s="379"/>
      <c r="J3" s="228" t="s">
        <v>1</v>
      </c>
      <c r="K3" s="38" t="str">
        <f>'A1 Contract'!I3</f>
        <v>AESO 2018</v>
      </c>
    </row>
    <row r="4" spans="1:12" s="44" customFormat="1" x14ac:dyDescent="0.25">
      <c r="A4" s="44" t="s">
        <v>0</v>
      </c>
      <c r="C4" s="420" t="str">
        <f>"  "&amp;ProjectName</f>
        <v>  Project Name</v>
      </c>
      <c r="D4" s="420"/>
      <c r="E4" s="420"/>
      <c r="F4" s="420"/>
      <c r="G4" s="420"/>
      <c r="H4" s="379"/>
      <c r="I4" s="379"/>
      <c r="J4" s="228" t="s">
        <v>2</v>
      </c>
      <c r="K4" s="38" t="str">
        <f>'A1 Contract'!I4</f>
        <v>1 Jan 2018</v>
      </c>
    </row>
    <row r="5" spans="1:12" s="44" customFormat="1" x14ac:dyDescent="0.25">
      <c r="A5" s="44" t="s">
        <v>12</v>
      </c>
      <c r="C5" s="424" t="str">
        <f>"  "&amp;ProjectNumber</f>
        <v>  Project Number</v>
      </c>
      <c r="D5" s="424"/>
      <c r="E5" s="424"/>
      <c r="F5" s="40" t="s">
        <v>3</v>
      </c>
      <c r="G5" s="424" t="str">
        <f>ProjectType</f>
        <v>DTS Only</v>
      </c>
      <c r="H5" s="424"/>
      <c r="I5" s="424"/>
      <c r="J5" s="228" t="s">
        <v>11</v>
      </c>
      <c r="K5" s="38" t="str">
        <f>'A1 Contract'!I5</f>
        <v>Current</v>
      </c>
    </row>
    <row r="6" spans="1:12" s="44" customFormat="1" x14ac:dyDescent="0.25">
      <c r="A6" s="44" t="s">
        <v>20</v>
      </c>
      <c r="C6" s="424" t="str">
        <f>"  "&amp;PreparerName</f>
        <v>  Name of Preparer</v>
      </c>
      <c r="D6" s="424"/>
      <c r="E6" s="424"/>
      <c r="F6" s="40" t="s">
        <v>21</v>
      </c>
      <c r="G6" s="425" t="str">
        <f>PreparationDate</f>
        <v>Date Prepared</v>
      </c>
      <c r="H6" s="425"/>
      <c r="I6" s="425"/>
      <c r="J6" s="229" t="s">
        <v>22</v>
      </c>
      <c r="K6" s="86" t="str">
        <f>'A1 Contract'!I6</f>
        <v>2018.0.0</v>
      </c>
    </row>
    <row r="7" spans="1:12" s="44" customFormat="1" x14ac:dyDescent="0.25">
      <c r="C7" s="220"/>
      <c r="F7" s="240"/>
    </row>
    <row r="8" spans="1:12" x14ac:dyDescent="0.25">
      <c r="A8" s="42" t="s">
        <v>76</v>
      </c>
      <c r="B8" s="42"/>
      <c r="C8" s="380"/>
      <c r="D8" s="42"/>
      <c r="E8" s="42"/>
      <c r="F8" s="381"/>
      <c r="G8" s="42"/>
      <c r="H8" s="42"/>
      <c r="I8" s="42"/>
    </row>
    <row r="9" spans="1:12" x14ac:dyDescent="0.25">
      <c r="D9" s="227"/>
      <c r="E9" s="227"/>
      <c r="F9" s="38"/>
      <c r="G9" s="248"/>
    </row>
    <row r="10" spans="1:12" x14ac:dyDescent="0.25">
      <c r="A10" s="90"/>
      <c r="B10" s="90"/>
      <c r="C10" s="221"/>
      <c r="D10" s="363"/>
      <c r="E10" s="363"/>
      <c r="F10" s="87"/>
      <c r="G10" s="241"/>
      <c r="H10" s="87" t="s">
        <v>64</v>
      </c>
      <c r="I10" s="52" t="s">
        <v>64</v>
      </c>
      <c r="J10" s="88"/>
      <c r="K10" s="52"/>
    </row>
    <row r="11" spans="1:12" x14ac:dyDescent="0.25">
      <c r="A11" s="91"/>
      <c r="B11" s="91" t="s">
        <v>67</v>
      </c>
      <c r="C11" s="222"/>
      <c r="D11" s="364"/>
      <c r="E11" s="364"/>
      <c r="F11" s="50"/>
      <c r="G11" s="242" t="s">
        <v>7</v>
      </c>
      <c r="H11" s="50" t="s">
        <v>61</v>
      </c>
      <c r="I11" s="51" t="s">
        <v>66</v>
      </c>
      <c r="J11" s="89"/>
      <c r="K11" s="51"/>
    </row>
    <row r="12" spans="1:12" x14ac:dyDescent="0.25">
      <c r="A12" s="91" t="s">
        <v>17</v>
      </c>
      <c r="B12" s="91" t="s">
        <v>68</v>
      </c>
      <c r="C12" s="222" t="s">
        <v>59</v>
      </c>
      <c r="D12" s="364" t="s">
        <v>169</v>
      </c>
      <c r="E12" s="364" t="s">
        <v>169</v>
      </c>
      <c r="F12" s="50" t="s">
        <v>60</v>
      </c>
      <c r="G12" s="242" t="s">
        <v>62</v>
      </c>
      <c r="H12" s="50" t="s">
        <v>62</v>
      </c>
      <c r="I12" s="51" t="s">
        <v>62</v>
      </c>
      <c r="J12" s="89" t="s">
        <v>71</v>
      </c>
      <c r="K12" s="51" t="s">
        <v>69</v>
      </c>
    </row>
    <row r="13" spans="1:12" x14ac:dyDescent="0.25">
      <c r="A13" s="91" t="s">
        <v>112</v>
      </c>
      <c r="B13" s="91" t="s">
        <v>17</v>
      </c>
      <c r="C13" s="222" t="s">
        <v>17</v>
      </c>
      <c r="D13" s="364" t="s">
        <v>170</v>
      </c>
      <c r="E13" s="364" t="s">
        <v>171</v>
      </c>
      <c r="F13" s="50" t="s">
        <v>49</v>
      </c>
      <c r="G13" s="242" t="s">
        <v>65</v>
      </c>
      <c r="H13" s="50" t="s">
        <v>63</v>
      </c>
      <c r="I13" s="51" t="s">
        <v>63</v>
      </c>
      <c r="J13" s="89" t="s">
        <v>70</v>
      </c>
      <c r="K13" s="51" t="s">
        <v>70</v>
      </c>
    </row>
    <row r="14" spans="1:12" x14ac:dyDescent="0.25">
      <c r="A14" s="104"/>
      <c r="B14" s="105"/>
      <c r="C14" s="223"/>
      <c r="D14" s="365"/>
      <c r="E14" s="365"/>
      <c r="F14" s="106" t="s">
        <v>72</v>
      </c>
      <c r="G14" s="243" t="s">
        <v>73</v>
      </c>
      <c r="H14" s="106" t="s">
        <v>72</v>
      </c>
      <c r="I14" s="107" t="s">
        <v>72</v>
      </c>
      <c r="J14" s="108" t="s">
        <v>74</v>
      </c>
      <c r="K14" s="109" t="s">
        <v>74</v>
      </c>
    </row>
    <row r="15" spans="1:12" x14ac:dyDescent="0.25">
      <c r="A15" s="230" t="str">
        <f>IF(ISBLANK(C15),"",DATE(YEAR(VALUE(C15)),MONTH(VALUE(C15)),1))</f>
        <v/>
      </c>
      <c r="B15" s="92" t="str">
        <f>IF(ISBLANK(C15),"",DAY(DATE(YEAR(C15),MONTH(C15)+1,1)-1))</f>
        <v/>
      </c>
      <c r="C15" s="224"/>
      <c r="D15" s="367"/>
      <c r="E15" s="368"/>
      <c r="F15" s="139"/>
      <c r="G15" s="244"/>
      <c r="H15" s="139"/>
      <c r="I15" s="143"/>
      <c r="J15" s="95" t="str">
        <f t="shared" ref="J15:J38" si="0">IF(ISNUMBER(I15),IF(H15=0,0,I15/H15),"")</f>
        <v/>
      </c>
      <c r="K15" s="96" t="str">
        <f t="shared" ref="K15:K38" si="1">IF(ISNUMBER(G15),IF(OR(H15=0,B15=0),0,G15/(H15*B15*24)),"")</f>
        <v/>
      </c>
      <c r="L15" s="113"/>
    </row>
    <row r="16" spans="1:12" x14ac:dyDescent="0.25">
      <c r="A16" s="231" t="str">
        <f t="shared" ref="A16:A38" si="2">IF(ISBLANK(C16),"",DATE(YEAR(VALUE(C16)),MONTH(VALUE(C16)),1))</f>
        <v/>
      </c>
      <c r="B16" s="93" t="str">
        <f t="shared" ref="B16:B38" si="3">IF(ISBLANK(C16),"",DAY(DATE(YEAR(C16),MONTH(C16)+1,1)-1))</f>
        <v/>
      </c>
      <c r="C16" s="225"/>
      <c r="D16" s="369"/>
      <c r="E16" s="370"/>
      <c r="F16" s="140"/>
      <c r="G16" s="245"/>
      <c r="H16" s="140"/>
      <c r="I16" s="144"/>
      <c r="J16" s="97" t="str">
        <f t="shared" si="0"/>
        <v/>
      </c>
      <c r="K16" s="98" t="str">
        <f t="shared" si="1"/>
        <v/>
      </c>
    </row>
    <row r="17" spans="1:11" x14ac:dyDescent="0.25">
      <c r="A17" s="231" t="str">
        <f t="shared" si="2"/>
        <v/>
      </c>
      <c r="B17" s="93" t="str">
        <f t="shared" si="3"/>
        <v/>
      </c>
      <c r="C17" s="225"/>
      <c r="D17" s="369"/>
      <c r="E17" s="370"/>
      <c r="F17" s="140"/>
      <c r="G17" s="245"/>
      <c r="H17" s="140"/>
      <c r="I17" s="144"/>
      <c r="J17" s="97" t="str">
        <f t="shared" si="0"/>
        <v/>
      </c>
      <c r="K17" s="98" t="str">
        <f t="shared" si="1"/>
        <v/>
      </c>
    </row>
    <row r="18" spans="1:11" x14ac:dyDescent="0.25">
      <c r="A18" s="231" t="str">
        <f t="shared" si="2"/>
        <v/>
      </c>
      <c r="B18" s="93" t="str">
        <f t="shared" si="3"/>
        <v/>
      </c>
      <c r="C18" s="225"/>
      <c r="D18" s="369"/>
      <c r="E18" s="370"/>
      <c r="F18" s="140"/>
      <c r="G18" s="245"/>
      <c r="H18" s="140"/>
      <c r="I18" s="144"/>
      <c r="J18" s="97" t="str">
        <f t="shared" si="0"/>
        <v/>
      </c>
      <c r="K18" s="98" t="str">
        <f t="shared" si="1"/>
        <v/>
      </c>
    </row>
    <row r="19" spans="1:11" x14ac:dyDescent="0.25">
      <c r="A19" s="231" t="str">
        <f t="shared" si="2"/>
        <v/>
      </c>
      <c r="B19" s="93" t="str">
        <f t="shared" si="3"/>
        <v/>
      </c>
      <c r="C19" s="225"/>
      <c r="D19" s="369"/>
      <c r="E19" s="370"/>
      <c r="F19" s="140"/>
      <c r="G19" s="245"/>
      <c r="H19" s="140"/>
      <c r="I19" s="144"/>
      <c r="J19" s="97" t="str">
        <f t="shared" si="0"/>
        <v/>
      </c>
      <c r="K19" s="98" t="str">
        <f t="shared" si="1"/>
        <v/>
      </c>
    </row>
    <row r="20" spans="1:11" x14ac:dyDescent="0.25">
      <c r="A20" s="231" t="str">
        <f t="shared" si="2"/>
        <v/>
      </c>
      <c r="B20" s="93" t="str">
        <f t="shared" si="3"/>
        <v/>
      </c>
      <c r="C20" s="225"/>
      <c r="D20" s="369"/>
      <c r="E20" s="370"/>
      <c r="F20" s="140"/>
      <c r="G20" s="245"/>
      <c r="H20" s="140"/>
      <c r="I20" s="144"/>
      <c r="J20" s="97" t="str">
        <f t="shared" si="0"/>
        <v/>
      </c>
      <c r="K20" s="98" t="str">
        <f t="shared" si="1"/>
        <v/>
      </c>
    </row>
    <row r="21" spans="1:11" x14ac:dyDescent="0.25">
      <c r="A21" s="231" t="str">
        <f t="shared" si="2"/>
        <v/>
      </c>
      <c r="B21" s="93" t="str">
        <f t="shared" si="3"/>
        <v/>
      </c>
      <c r="C21" s="225"/>
      <c r="D21" s="369"/>
      <c r="E21" s="370"/>
      <c r="F21" s="140"/>
      <c r="G21" s="245"/>
      <c r="H21" s="140"/>
      <c r="I21" s="144"/>
      <c r="J21" s="97" t="str">
        <f t="shared" si="0"/>
        <v/>
      </c>
      <c r="K21" s="98" t="str">
        <f t="shared" si="1"/>
        <v/>
      </c>
    </row>
    <row r="22" spans="1:11" x14ac:dyDescent="0.25">
      <c r="A22" s="231" t="str">
        <f t="shared" si="2"/>
        <v/>
      </c>
      <c r="B22" s="93" t="str">
        <f t="shared" si="3"/>
        <v/>
      </c>
      <c r="C22" s="225"/>
      <c r="D22" s="369"/>
      <c r="E22" s="370"/>
      <c r="F22" s="140"/>
      <c r="G22" s="245"/>
      <c r="H22" s="140"/>
      <c r="I22" s="144"/>
      <c r="J22" s="97" t="str">
        <f t="shared" si="0"/>
        <v/>
      </c>
      <c r="K22" s="98" t="str">
        <f t="shared" si="1"/>
        <v/>
      </c>
    </row>
    <row r="23" spans="1:11" x14ac:dyDescent="0.25">
      <c r="A23" s="231" t="str">
        <f t="shared" si="2"/>
        <v/>
      </c>
      <c r="B23" s="93" t="str">
        <f t="shared" si="3"/>
        <v/>
      </c>
      <c r="C23" s="225"/>
      <c r="D23" s="369"/>
      <c r="E23" s="370"/>
      <c r="F23" s="140"/>
      <c r="G23" s="245"/>
      <c r="H23" s="140"/>
      <c r="I23" s="144"/>
      <c r="J23" s="97" t="str">
        <f t="shared" si="0"/>
        <v/>
      </c>
      <c r="K23" s="98" t="str">
        <f t="shared" si="1"/>
        <v/>
      </c>
    </row>
    <row r="24" spans="1:11" x14ac:dyDescent="0.25">
      <c r="A24" s="231" t="str">
        <f t="shared" si="2"/>
        <v/>
      </c>
      <c r="B24" s="93" t="str">
        <f t="shared" si="3"/>
        <v/>
      </c>
      <c r="C24" s="225"/>
      <c r="D24" s="369"/>
      <c r="E24" s="370"/>
      <c r="F24" s="140"/>
      <c r="G24" s="245"/>
      <c r="H24" s="140"/>
      <c r="I24" s="144"/>
      <c r="J24" s="97" t="str">
        <f t="shared" si="0"/>
        <v/>
      </c>
      <c r="K24" s="98" t="str">
        <f t="shared" si="1"/>
        <v/>
      </c>
    </row>
    <row r="25" spans="1:11" x14ac:dyDescent="0.25">
      <c r="A25" s="231" t="str">
        <f t="shared" si="2"/>
        <v/>
      </c>
      <c r="B25" s="93" t="str">
        <f t="shared" si="3"/>
        <v/>
      </c>
      <c r="C25" s="225"/>
      <c r="D25" s="369"/>
      <c r="E25" s="370"/>
      <c r="F25" s="140"/>
      <c r="G25" s="245"/>
      <c r="H25" s="140"/>
      <c r="I25" s="144"/>
      <c r="J25" s="97" t="str">
        <f t="shared" si="0"/>
        <v/>
      </c>
      <c r="K25" s="98" t="str">
        <f t="shared" si="1"/>
        <v/>
      </c>
    </row>
    <row r="26" spans="1:11" x14ac:dyDescent="0.25">
      <c r="A26" s="231" t="str">
        <f t="shared" si="2"/>
        <v/>
      </c>
      <c r="B26" s="93" t="str">
        <f t="shared" si="3"/>
        <v/>
      </c>
      <c r="C26" s="225"/>
      <c r="D26" s="369"/>
      <c r="E26" s="370"/>
      <c r="F26" s="140"/>
      <c r="G26" s="245"/>
      <c r="H26" s="140"/>
      <c r="I26" s="144"/>
      <c r="J26" s="97" t="str">
        <f t="shared" si="0"/>
        <v/>
      </c>
      <c r="K26" s="98" t="str">
        <f t="shared" si="1"/>
        <v/>
      </c>
    </row>
    <row r="27" spans="1:11" x14ac:dyDescent="0.25">
      <c r="A27" s="231" t="str">
        <f t="shared" si="2"/>
        <v/>
      </c>
      <c r="B27" s="93" t="str">
        <f t="shared" si="3"/>
        <v/>
      </c>
      <c r="C27" s="225"/>
      <c r="D27" s="369"/>
      <c r="E27" s="370"/>
      <c r="F27" s="140"/>
      <c r="G27" s="245"/>
      <c r="H27" s="140"/>
      <c r="I27" s="144"/>
      <c r="J27" s="97" t="str">
        <f t="shared" si="0"/>
        <v/>
      </c>
      <c r="K27" s="98" t="str">
        <f t="shared" si="1"/>
        <v/>
      </c>
    </row>
    <row r="28" spans="1:11" x14ac:dyDescent="0.25">
      <c r="A28" s="231" t="str">
        <f t="shared" si="2"/>
        <v/>
      </c>
      <c r="B28" s="93" t="str">
        <f t="shared" si="3"/>
        <v/>
      </c>
      <c r="C28" s="225"/>
      <c r="D28" s="369"/>
      <c r="E28" s="370"/>
      <c r="F28" s="140"/>
      <c r="G28" s="245"/>
      <c r="H28" s="140"/>
      <c r="I28" s="144"/>
      <c r="J28" s="97" t="str">
        <f t="shared" si="0"/>
        <v/>
      </c>
      <c r="K28" s="98" t="str">
        <f t="shared" si="1"/>
        <v/>
      </c>
    </row>
    <row r="29" spans="1:11" x14ac:dyDescent="0.25">
      <c r="A29" s="231" t="str">
        <f t="shared" si="2"/>
        <v/>
      </c>
      <c r="B29" s="93" t="str">
        <f t="shared" si="3"/>
        <v/>
      </c>
      <c r="C29" s="225"/>
      <c r="D29" s="369"/>
      <c r="E29" s="370"/>
      <c r="F29" s="140"/>
      <c r="G29" s="245"/>
      <c r="H29" s="140"/>
      <c r="I29" s="144"/>
      <c r="J29" s="97" t="str">
        <f t="shared" si="0"/>
        <v/>
      </c>
      <c r="K29" s="98" t="str">
        <f t="shared" si="1"/>
        <v/>
      </c>
    </row>
    <row r="30" spans="1:11" x14ac:dyDescent="0.25">
      <c r="A30" s="231" t="str">
        <f t="shared" si="2"/>
        <v/>
      </c>
      <c r="B30" s="93" t="str">
        <f t="shared" si="3"/>
        <v/>
      </c>
      <c r="C30" s="225"/>
      <c r="D30" s="369"/>
      <c r="E30" s="370"/>
      <c r="F30" s="140"/>
      <c r="G30" s="245"/>
      <c r="H30" s="140"/>
      <c r="I30" s="144"/>
      <c r="J30" s="97" t="str">
        <f t="shared" si="0"/>
        <v/>
      </c>
      <c r="K30" s="98" t="str">
        <f t="shared" si="1"/>
        <v/>
      </c>
    </row>
    <row r="31" spans="1:11" x14ac:dyDescent="0.25">
      <c r="A31" s="231" t="str">
        <f t="shared" si="2"/>
        <v/>
      </c>
      <c r="B31" s="93" t="str">
        <f t="shared" si="3"/>
        <v/>
      </c>
      <c r="C31" s="225"/>
      <c r="D31" s="369"/>
      <c r="E31" s="370"/>
      <c r="F31" s="140"/>
      <c r="G31" s="245"/>
      <c r="H31" s="140"/>
      <c r="I31" s="144"/>
      <c r="J31" s="97" t="str">
        <f t="shared" si="0"/>
        <v/>
      </c>
      <c r="K31" s="98" t="str">
        <f t="shared" si="1"/>
        <v/>
      </c>
    </row>
    <row r="32" spans="1:11" x14ac:dyDescent="0.25">
      <c r="A32" s="231" t="str">
        <f t="shared" si="2"/>
        <v/>
      </c>
      <c r="B32" s="93" t="str">
        <f t="shared" si="3"/>
        <v/>
      </c>
      <c r="C32" s="225"/>
      <c r="D32" s="369"/>
      <c r="E32" s="370"/>
      <c r="F32" s="140"/>
      <c r="G32" s="245"/>
      <c r="H32" s="140"/>
      <c r="I32" s="144"/>
      <c r="J32" s="97" t="str">
        <f t="shared" si="0"/>
        <v/>
      </c>
      <c r="K32" s="98" t="str">
        <f t="shared" si="1"/>
        <v/>
      </c>
    </row>
    <row r="33" spans="1:11" x14ac:dyDescent="0.25">
      <c r="A33" s="231" t="str">
        <f t="shared" si="2"/>
        <v/>
      </c>
      <c r="B33" s="93" t="str">
        <f t="shared" si="3"/>
        <v/>
      </c>
      <c r="C33" s="225"/>
      <c r="D33" s="369"/>
      <c r="E33" s="370"/>
      <c r="F33" s="140"/>
      <c r="G33" s="245"/>
      <c r="H33" s="140"/>
      <c r="I33" s="144"/>
      <c r="J33" s="97" t="str">
        <f t="shared" si="0"/>
        <v/>
      </c>
      <c r="K33" s="98" t="str">
        <f t="shared" si="1"/>
        <v/>
      </c>
    </row>
    <row r="34" spans="1:11" x14ac:dyDescent="0.25">
      <c r="A34" s="231" t="str">
        <f t="shared" si="2"/>
        <v/>
      </c>
      <c r="B34" s="93" t="str">
        <f t="shared" si="3"/>
        <v/>
      </c>
      <c r="C34" s="225"/>
      <c r="D34" s="369"/>
      <c r="E34" s="370"/>
      <c r="F34" s="140"/>
      <c r="G34" s="245"/>
      <c r="H34" s="140"/>
      <c r="I34" s="144"/>
      <c r="J34" s="97" t="str">
        <f t="shared" si="0"/>
        <v/>
      </c>
      <c r="K34" s="98" t="str">
        <f t="shared" si="1"/>
        <v/>
      </c>
    </row>
    <row r="35" spans="1:11" x14ac:dyDescent="0.25">
      <c r="A35" s="231" t="str">
        <f t="shared" si="2"/>
        <v/>
      </c>
      <c r="B35" s="93" t="str">
        <f t="shared" si="3"/>
        <v/>
      </c>
      <c r="C35" s="225"/>
      <c r="D35" s="369"/>
      <c r="E35" s="370"/>
      <c r="F35" s="140"/>
      <c r="G35" s="245"/>
      <c r="H35" s="140"/>
      <c r="I35" s="144"/>
      <c r="J35" s="97" t="str">
        <f t="shared" si="0"/>
        <v/>
      </c>
      <c r="K35" s="98" t="str">
        <f t="shared" si="1"/>
        <v/>
      </c>
    </row>
    <row r="36" spans="1:11" x14ac:dyDescent="0.25">
      <c r="A36" s="231" t="str">
        <f t="shared" si="2"/>
        <v/>
      </c>
      <c r="B36" s="93" t="str">
        <f t="shared" si="3"/>
        <v/>
      </c>
      <c r="C36" s="225"/>
      <c r="D36" s="369"/>
      <c r="E36" s="370"/>
      <c r="F36" s="140"/>
      <c r="G36" s="245"/>
      <c r="H36" s="140"/>
      <c r="I36" s="144"/>
      <c r="J36" s="97" t="str">
        <f t="shared" si="0"/>
        <v/>
      </c>
      <c r="K36" s="98" t="str">
        <f t="shared" si="1"/>
        <v/>
      </c>
    </row>
    <row r="37" spans="1:11" x14ac:dyDescent="0.25">
      <c r="A37" s="231" t="str">
        <f t="shared" si="2"/>
        <v/>
      </c>
      <c r="B37" s="93" t="str">
        <f t="shared" si="3"/>
        <v/>
      </c>
      <c r="C37" s="225"/>
      <c r="D37" s="369"/>
      <c r="E37" s="370"/>
      <c r="F37" s="140"/>
      <c r="G37" s="245"/>
      <c r="H37" s="140"/>
      <c r="I37" s="144"/>
      <c r="J37" s="97" t="str">
        <f t="shared" si="0"/>
        <v/>
      </c>
      <c r="K37" s="98" t="str">
        <f t="shared" si="1"/>
        <v/>
      </c>
    </row>
    <row r="38" spans="1:11" x14ac:dyDescent="0.25">
      <c r="A38" s="232" t="str">
        <f t="shared" si="2"/>
        <v/>
      </c>
      <c r="B38" s="94" t="str">
        <f t="shared" si="3"/>
        <v/>
      </c>
      <c r="C38" s="226"/>
      <c r="D38" s="371"/>
      <c r="E38" s="372"/>
      <c r="F38" s="141"/>
      <c r="G38" s="246"/>
      <c r="H38" s="141"/>
      <c r="I38" s="145"/>
      <c r="J38" s="99" t="str">
        <f t="shared" si="0"/>
        <v/>
      </c>
      <c r="K38" s="100" t="str">
        <f t="shared" si="1"/>
        <v/>
      </c>
    </row>
    <row r="39" spans="1:11" x14ac:dyDescent="0.25">
      <c r="A39" s="421" t="s">
        <v>172</v>
      </c>
      <c r="B39" s="422"/>
      <c r="C39" s="422"/>
      <c r="D39" s="422"/>
      <c r="E39" s="423"/>
      <c r="F39" s="366" t="str">
        <f>IF($C15&gt;$C38,IF(ISNUMBER(AVERAGE(F15:F26)),AVERAGE(F15:F26),""),IF(ISNUMBER(AVERAGE(F27:F38)),AVERAGE(F27:F38),""))</f>
        <v/>
      </c>
      <c r="G39" s="101" t="str">
        <f>IF($C15&gt;$C38,IF(ISNUMBER(AVERAGE(G15:G26)),AVERAGE(G15:G26),""),IF(ISNUMBER(AVERAGE(G27:G38)),AVERAGE(G27:G38),""))</f>
        <v/>
      </c>
      <c r="H39" s="142" t="str">
        <f t="shared" ref="H39:K39" si="4">IF($C15&gt;$C38,IF(ISNUMBER(AVERAGE(H15:H26)),AVERAGE(H15:H26),""),IF(ISNUMBER(AVERAGE(H27:H38)),AVERAGE(H27:H38),""))</f>
        <v/>
      </c>
      <c r="I39" s="146" t="str">
        <f t="shared" si="4"/>
        <v/>
      </c>
      <c r="J39" s="102" t="str">
        <f t="shared" si="4"/>
        <v/>
      </c>
      <c r="K39" s="103" t="str">
        <f t="shared" si="4"/>
        <v/>
      </c>
    </row>
    <row r="40" spans="1:11" x14ac:dyDescent="0.25">
      <c r="A40" s="136" t="s">
        <v>173</v>
      </c>
      <c r="B40" s="110"/>
      <c r="C40" s="382"/>
      <c r="D40" s="382"/>
      <c r="E40" s="382"/>
      <c r="F40" s="112"/>
      <c r="G40" s="247"/>
      <c r="H40" s="112"/>
      <c r="I40" s="111" t="s">
        <v>75</v>
      </c>
      <c r="J40" s="383"/>
      <c r="K40" s="384"/>
    </row>
    <row r="41" spans="1:11" x14ac:dyDescent="0.25">
      <c r="C41" s="38"/>
      <c r="F41" s="38"/>
    </row>
    <row r="42" spans="1:11" x14ac:dyDescent="0.25">
      <c r="D42" s="227"/>
      <c r="E42" s="227"/>
      <c r="F42" s="38"/>
      <c r="G42" s="248"/>
    </row>
  </sheetData>
  <sheetProtection sheet="1" objects="1" scenarios="1"/>
  <dataConsolidate/>
  <mergeCells count="8">
    <mergeCell ref="A1:K1"/>
    <mergeCell ref="C3:G3"/>
    <mergeCell ref="C4:G4"/>
    <mergeCell ref="A39:E39"/>
    <mergeCell ref="C5:E5"/>
    <mergeCell ref="C6:E6"/>
    <mergeCell ref="G5:I5"/>
    <mergeCell ref="G6:I6"/>
  </mergeCells>
  <conditionalFormatting sqref="G5">
    <cfRule type="expression" dxfId="0" priority="20" stopIfTrue="1">
      <formula>OR(LEFT($L$11,5)="Error",LEFT($L$12,5)="Error")</formula>
    </cfRule>
  </conditionalFormatting>
  <printOptions horizontalCentered="1"/>
  <pageMargins left="0.75" right="0.75" top="0.5" bottom="0.85" header="0.5" footer="0.5"/>
  <pageSetup orientation="landscape" r:id="rId1"/>
  <headerFooter alignWithMargins="0">
    <oddFooter>&amp;L&amp;8Attachment to PILON Calculator for 2018 Tariff (AESO ID No. 2018-010T)
Filename: &amp;F — Page &amp;P of &amp;N&amp;R&amp;8Confidentiality: Proprietary When Completed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showGridLines="0" zoomScaleNormal="100" workbookViewId="0">
      <selection activeCell="F19" sqref="F19:G19"/>
    </sheetView>
  </sheetViews>
  <sheetFormatPr defaultColWidth="8.88671875" defaultRowHeight="13.2" x14ac:dyDescent="0.25"/>
  <cols>
    <col min="1" max="1" width="8.5546875" style="138" customWidth="1"/>
    <col min="2" max="2" width="8.5546875" style="147" customWidth="1"/>
    <col min="3" max="4" width="8.6640625" style="148" customWidth="1"/>
    <col min="5" max="5" width="8.6640625" style="149" customWidth="1"/>
    <col min="6" max="6" width="10.6640625" style="148" customWidth="1"/>
    <col min="7" max="9" width="8.6640625" style="148" customWidth="1"/>
    <col min="10" max="10" width="10.6640625" style="148" customWidth="1"/>
    <col min="11" max="16384" width="8.88671875" style="149"/>
  </cols>
  <sheetData>
    <row r="1" spans="1:10" ht="17.399999999999999" x14ac:dyDescent="0.45">
      <c r="A1" s="427" t="s">
        <v>100</v>
      </c>
      <c r="B1" s="427"/>
      <c r="C1" s="427"/>
      <c r="D1" s="427"/>
      <c r="E1" s="427"/>
      <c r="F1" s="427"/>
      <c r="G1" s="427"/>
      <c r="H1" s="427"/>
      <c r="I1" s="427"/>
      <c r="J1" s="427"/>
    </row>
    <row r="2" spans="1:10" ht="7.95" customHeight="1" x14ac:dyDescent="0.25"/>
    <row r="3" spans="1:10" x14ac:dyDescent="0.25">
      <c r="A3" s="138" t="s">
        <v>4</v>
      </c>
      <c r="C3" s="428" t="str">
        <f>ParticipantName</f>
        <v>Name of Market Participant (Customer)</v>
      </c>
      <c r="D3" s="428"/>
      <c r="E3" s="428"/>
      <c r="F3" s="428"/>
      <c r="G3" s="428"/>
      <c r="I3" s="148" t="s">
        <v>1</v>
      </c>
      <c r="J3" s="187" t="str">
        <f>'A1 Contract'!I3</f>
        <v>AESO 2018</v>
      </c>
    </row>
    <row r="4" spans="1:10" x14ac:dyDescent="0.25">
      <c r="A4" s="138" t="s">
        <v>0</v>
      </c>
      <c r="C4" s="428" t="str">
        <f>ProjectName</f>
        <v>Project Name</v>
      </c>
      <c r="D4" s="428"/>
      <c r="E4" s="428"/>
      <c r="F4" s="428"/>
      <c r="G4" s="428"/>
      <c r="I4" s="148" t="s">
        <v>2</v>
      </c>
      <c r="J4" s="187" t="str">
        <f>'A1 Contract'!I4</f>
        <v>1 Jan 2018</v>
      </c>
    </row>
    <row r="5" spans="1:10" x14ac:dyDescent="0.25">
      <c r="A5" s="138" t="s">
        <v>12</v>
      </c>
      <c r="C5" s="429" t="str">
        <f>ProjectNumber</f>
        <v>Project Number</v>
      </c>
      <c r="D5" s="429"/>
      <c r="E5" s="429"/>
      <c r="F5" s="176" t="s">
        <v>3</v>
      </c>
      <c r="G5" s="430" t="str">
        <f>ProjectType</f>
        <v>DTS Only</v>
      </c>
      <c r="H5" s="430"/>
      <c r="I5" s="148" t="s">
        <v>11</v>
      </c>
      <c r="J5" s="187" t="str">
        <f>'A1 Contract'!I5</f>
        <v>Current</v>
      </c>
    </row>
    <row r="6" spans="1:10" x14ac:dyDescent="0.25">
      <c r="A6" s="138" t="s">
        <v>20</v>
      </c>
      <c r="C6" s="430" t="str">
        <f>PreparerName</f>
        <v>Name of Preparer</v>
      </c>
      <c r="D6" s="430"/>
      <c r="E6" s="430"/>
      <c r="F6" s="176" t="s">
        <v>21</v>
      </c>
      <c r="G6" s="431" t="str">
        <f>PreparationDate</f>
        <v>Date Prepared</v>
      </c>
      <c r="H6" s="431"/>
      <c r="I6" s="254" t="s">
        <v>22</v>
      </c>
      <c r="J6" s="255" t="str">
        <f>'A1 Contract'!I6</f>
        <v>2018.0.0</v>
      </c>
    </row>
    <row r="7" spans="1:10" x14ac:dyDescent="0.25">
      <c r="C7" s="180"/>
      <c r="D7" s="180"/>
      <c r="E7" s="180"/>
      <c r="F7" s="176"/>
      <c r="G7" s="180"/>
      <c r="H7" s="180"/>
      <c r="J7" s="180"/>
    </row>
    <row r="8" spans="1:10" x14ac:dyDescent="0.25">
      <c r="A8" s="177" t="s">
        <v>101</v>
      </c>
      <c r="B8" s="178"/>
      <c r="C8" s="188"/>
      <c r="D8" s="188"/>
      <c r="E8" s="188"/>
      <c r="F8" s="201"/>
      <c r="G8" s="188"/>
      <c r="H8" s="188"/>
      <c r="I8" s="18"/>
      <c r="J8" s="188"/>
    </row>
    <row r="9" spans="1:10" x14ac:dyDescent="0.25">
      <c r="A9" s="138" t="str">
        <f>"From date of payment to end of five-year notice period ("&amp;TEXT(PILONDate,"mmm yyyy")&amp;" to "&amp;TEXT(EffectiveWithoutPILON-1,"mmm yyyy")&amp;"):"</f>
        <v>From date of payment to end of five-year notice period (Apr 2017 to Jan 2022):</v>
      </c>
      <c r="C9" s="187"/>
      <c r="D9" s="187"/>
      <c r="E9" s="187"/>
      <c r="F9" s="176"/>
      <c r="G9" s="187"/>
      <c r="H9" s="187"/>
      <c r="J9" s="187"/>
    </row>
    <row r="10" spans="1:10" x14ac:dyDescent="0.25">
      <c r="A10" s="138" t="s">
        <v>103</v>
      </c>
      <c r="C10" s="187"/>
      <c r="D10" s="187"/>
      <c r="E10" s="187"/>
      <c r="F10" s="176"/>
      <c r="G10" s="187"/>
      <c r="H10" s="187"/>
      <c r="I10" s="432">
        <f>E35</f>
        <v>0</v>
      </c>
      <c r="J10" s="432"/>
    </row>
    <row r="11" spans="1:10" x14ac:dyDescent="0.25">
      <c r="A11" s="138" t="s">
        <v>104</v>
      </c>
      <c r="C11" s="187"/>
      <c r="D11" s="187"/>
      <c r="E11" s="187"/>
      <c r="F11" s="176"/>
      <c r="G11" s="187"/>
      <c r="H11" s="187"/>
      <c r="I11" s="432">
        <f>I35</f>
        <v>0</v>
      </c>
      <c r="J11" s="432"/>
    </row>
    <row r="12" spans="1:10" x14ac:dyDescent="0.25">
      <c r="A12" s="177" t="s">
        <v>105</v>
      </c>
      <c r="B12" s="178"/>
      <c r="C12" s="188"/>
      <c r="D12" s="188"/>
      <c r="E12" s="188"/>
      <c r="F12" s="201"/>
      <c r="G12" s="188"/>
      <c r="H12" s="188"/>
      <c r="I12" s="433">
        <f>I10-I11</f>
        <v>0</v>
      </c>
      <c r="J12" s="433"/>
    </row>
    <row r="13" spans="1:10" x14ac:dyDescent="0.25">
      <c r="C13" s="187"/>
      <c r="D13" s="187"/>
      <c r="E13" s="187"/>
      <c r="F13" s="176"/>
      <c r="G13" s="187"/>
      <c r="H13" s="187"/>
      <c r="J13" s="187"/>
    </row>
    <row r="14" spans="1:10" x14ac:dyDescent="0.25">
      <c r="A14" s="138" t="s">
        <v>110</v>
      </c>
      <c r="C14" s="187"/>
      <c r="D14" s="187"/>
    </row>
    <row r="15" spans="1:10" x14ac:dyDescent="0.25">
      <c r="C15" s="180"/>
      <c r="D15" s="180"/>
      <c r="H15" s="180"/>
      <c r="J15" s="180"/>
    </row>
    <row r="16" spans="1:10" x14ac:dyDescent="0.25">
      <c r="C16" s="426" t="s">
        <v>107</v>
      </c>
      <c r="D16" s="426"/>
      <c r="E16" s="426"/>
      <c r="F16" s="426" t="s">
        <v>130</v>
      </c>
      <c r="G16" s="426"/>
      <c r="H16" s="426"/>
      <c r="J16" s="180"/>
    </row>
    <row r="17" spans="1:10" x14ac:dyDescent="0.25">
      <c r="C17" s="205" t="s">
        <v>109</v>
      </c>
      <c r="D17" s="205"/>
      <c r="E17" s="205"/>
      <c r="F17" s="205"/>
      <c r="G17" s="205"/>
      <c r="H17" s="205"/>
      <c r="J17" s="180"/>
    </row>
    <row r="18" spans="1:10" x14ac:dyDescent="0.25">
      <c r="C18" s="206" t="s">
        <v>92</v>
      </c>
      <c r="D18" s="207"/>
      <c r="E18" s="209"/>
      <c r="F18" s="342"/>
      <c r="G18" s="207"/>
      <c r="H18" s="209"/>
      <c r="J18" s="180"/>
    </row>
    <row r="19" spans="1:10" x14ac:dyDescent="0.25">
      <c r="C19" s="210" t="s">
        <v>150</v>
      </c>
      <c r="D19" s="211"/>
      <c r="E19" s="277"/>
      <c r="F19" s="443">
        <f>'Rate DTS Charges'!E19</f>
        <v>10177</v>
      </c>
      <c r="G19" s="444"/>
      <c r="H19" s="213" t="s">
        <v>106</v>
      </c>
      <c r="J19" s="180"/>
    </row>
    <row r="20" spans="1:10" x14ac:dyDescent="0.25">
      <c r="C20" s="214" t="s">
        <v>151</v>
      </c>
      <c r="D20" s="215"/>
      <c r="E20" s="350"/>
      <c r="F20" s="445">
        <f>'Rate DTS Charges'!E20</f>
        <v>1.2</v>
      </c>
      <c r="G20" s="446"/>
      <c r="H20" s="217" t="s">
        <v>94</v>
      </c>
      <c r="J20" s="180"/>
    </row>
    <row r="21" spans="1:10" x14ac:dyDescent="0.25">
      <c r="B21" s="149"/>
      <c r="C21" s="206" t="s">
        <v>93</v>
      </c>
      <c r="D21" s="207"/>
      <c r="E21" s="209"/>
      <c r="F21" s="342"/>
      <c r="G21" s="218"/>
      <c r="H21" s="209"/>
      <c r="J21" s="180"/>
    </row>
    <row r="22" spans="1:10" x14ac:dyDescent="0.25">
      <c r="B22" s="149"/>
      <c r="C22" s="210" t="s">
        <v>152</v>
      </c>
      <c r="D22" s="211"/>
      <c r="E22" s="277"/>
      <c r="F22" s="443">
        <f>'Rate DTS Charges'!E22</f>
        <v>2281</v>
      </c>
      <c r="G22" s="444"/>
      <c r="H22" s="213" t="s">
        <v>106</v>
      </c>
      <c r="J22" s="180"/>
    </row>
    <row r="23" spans="1:10" x14ac:dyDescent="0.25">
      <c r="C23" s="214" t="s">
        <v>153</v>
      </c>
      <c r="D23" s="215"/>
      <c r="E23" s="350"/>
      <c r="F23" s="445">
        <f>'Rate DTS Charges'!E23</f>
        <v>0.84</v>
      </c>
      <c r="G23" s="446"/>
      <c r="H23" s="217" t="s">
        <v>94</v>
      </c>
      <c r="J23" s="180"/>
    </row>
    <row r="24" spans="1:10" x14ac:dyDescent="0.25">
      <c r="C24" s="180"/>
      <c r="D24" s="180"/>
      <c r="E24" s="180"/>
      <c r="F24" s="176"/>
      <c r="G24" s="180"/>
      <c r="H24" s="180"/>
      <c r="J24" s="180"/>
    </row>
    <row r="25" spans="1:10" x14ac:dyDescent="0.25">
      <c r="C25" s="450" t="s">
        <v>145</v>
      </c>
      <c r="D25" s="451"/>
      <c r="E25" s="452"/>
      <c r="F25" s="450" t="s">
        <v>139</v>
      </c>
      <c r="G25" s="451"/>
      <c r="H25" s="452"/>
      <c r="J25" s="187"/>
    </row>
    <row r="26" spans="1:10" x14ac:dyDescent="0.25">
      <c r="C26" s="206" t="s">
        <v>156</v>
      </c>
      <c r="D26" s="348"/>
      <c r="E26" s="209"/>
      <c r="F26" s="351"/>
      <c r="G26" s="352">
        <f>IF(ISNUMBER(OverrideCF),OverrideCF,IF(ISNUMBER(AverageCF),AverageCF,75%))</f>
        <v>0.75</v>
      </c>
      <c r="H26" s="209"/>
      <c r="J26" s="187"/>
    </row>
    <row r="27" spans="1:10" x14ac:dyDescent="0.25">
      <c r="C27" s="210" t="s">
        <v>154</v>
      </c>
      <c r="D27" s="275"/>
      <c r="E27" s="277"/>
      <c r="F27" s="353"/>
      <c r="G27" s="354">
        <f>IF(ISNUMBER(OverrideLF),OverrideLF,IF(ISNUMBER(AverageLF),AverageLF,65%))</f>
        <v>0.65</v>
      </c>
      <c r="H27" s="277"/>
      <c r="J27" s="187"/>
    </row>
    <row r="28" spans="1:10" x14ac:dyDescent="0.25">
      <c r="C28" s="349" t="s">
        <v>155</v>
      </c>
      <c r="D28" s="216"/>
      <c r="E28" s="350"/>
      <c r="F28" s="355"/>
      <c r="G28" s="286">
        <f>DiscountRate</f>
        <v>6.2600000000000003E-2</v>
      </c>
      <c r="H28" s="350"/>
      <c r="J28" s="187"/>
    </row>
    <row r="29" spans="1:10" x14ac:dyDescent="0.25">
      <c r="C29" s="187"/>
      <c r="D29" s="187"/>
      <c r="E29" s="187"/>
      <c r="F29" s="176"/>
      <c r="G29" s="187"/>
      <c r="H29" s="187"/>
      <c r="J29" s="187"/>
    </row>
    <row r="30" spans="1:10" x14ac:dyDescent="0.25">
      <c r="A30" s="447" t="s">
        <v>111</v>
      </c>
      <c r="B30" s="448"/>
      <c r="C30" s="448"/>
      <c r="D30" s="448"/>
      <c r="E30" s="448"/>
      <c r="F30" s="448"/>
      <c r="G30" s="448"/>
      <c r="H30" s="448"/>
      <c r="I30" s="448"/>
      <c r="J30" s="449"/>
    </row>
    <row r="31" spans="1:10" x14ac:dyDescent="0.25">
      <c r="A31" s="2"/>
      <c r="B31" s="12"/>
      <c r="C31" s="434" t="s">
        <v>97</v>
      </c>
      <c r="D31" s="435"/>
      <c r="E31" s="435"/>
      <c r="F31" s="436"/>
      <c r="G31" s="437" t="s">
        <v>96</v>
      </c>
      <c r="H31" s="438"/>
      <c r="I31" s="438"/>
      <c r="J31" s="439"/>
    </row>
    <row r="32" spans="1:10" s="137" customFormat="1" x14ac:dyDescent="0.25">
      <c r="A32" s="203"/>
      <c r="B32" s="161" t="s">
        <v>62</v>
      </c>
      <c r="C32" s="16" t="s">
        <v>81</v>
      </c>
      <c r="D32" s="168" t="s">
        <v>88</v>
      </c>
      <c r="E32" s="168" t="s">
        <v>90</v>
      </c>
      <c r="F32" s="159" t="s">
        <v>89</v>
      </c>
      <c r="G32" s="160" t="s">
        <v>81</v>
      </c>
      <c r="H32" s="168" t="s">
        <v>88</v>
      </c>
      <c r="I32" s="168" t="s">
        <v>90</v>
      </c>
      <c r="J32" s="159" t="s">
        <v>89</v>
      </c>
    </row>
    <row r="33" spans="1:10" s="137" customFormat="1" x14ac:dyDescent="0.25">
      <c r="A33" s="203" t="s">
        <v>17</v>
      </c>
      <c r="B33" s="161" t="s">
        <v>63</v>
      </c>
      <c r="C33" s="162" t="s">
        <v>49</v>
      </c>
      <c r="D33" s="163" t="s">
        <v>89</v>
      </c>
      <c r="E33" s="163" t="s">
        <v>89</v>
      </c>
      <c r="F33" s="161" t="s">
        <v>91</v>
      </c>
      <c r="G33" s="179" t="s">
        <v>49</v>
      </c>
      <c r="H33" s="163" t="s">
        <v>89</v>
      </c>
      <c r="I33" s="163" t="s">
        <v>89</v>
      </c>
      <c r="J33" s="161" t="s">
        <v>91</v>
      </c>
    </row>
    <row r="34" spans="1:10" s="137" customFormat="1" x14ac:dyDescent="0.25">
      <c r="A34" s="204"/>
      <c r="B34" s="233" t="s">
        <v>72</v>
      </c>
      <c r="C34" s="234" t="s">
        <v>72</v>
      </c>
      <c r="D34" s="235" t="s">
        <v>98</v>
      </c>
      <c r="E34" s="235" t="s">
        <v>98</v>
      </c>
      <c r="F34" s="236" t="s">
        <v>98</v>
      </c>
      <c r="G34" s="237" t="s">
        <v>72</v>
      </c>
      <c r="H34" s="235" t="s">
        <v>98</v>
      </c>
      <c r="I34" s="235" t="s">
        <v>98</v>
      </c>
      <c r="J34" s="236" t="s">
        <v>98</v>
      </c>
    </row>
    <row r="35" spans="1:10" s="196" customFormat="1" x14ac:dyDescent="0.25">
      <c r="A35" s="197" t="s">
        <v>102</v>
      </c>
      <c r="B35" s="198"/>
      <c r="C35" s="199"/>
      <c r="D35" s="198"/>
      <c r="E35" s="441">
        <f>NPV(DiscountRate/12,F36:F95)</f>
        <v>0</v>
      </c>
      <c r="F35" s="442"/>
      <c r="G35" s="200"/>
      <c r="H35" s="198"/>
      <c r="I35" s="440">
        <f>NPV(DiscountRate/12,J36:J95)</f>
        <v>0</v>
      </c>
      <c r="J35" s="441"/>
    </row>
    <row r="36" spans="1:10" x14ac:dyDescent="0.25">
      <c r="A36" s="192">
        <f>'A4 Demands'!B37</f>
        <v>42767</v>
      </c>
      <c r="B36" s="150">
        <f>'A4 Demands'!C37</f>
        <v>0</v>
      </c>
      <c r="C36" s="153">
        <f>'A4 Demands'!F37</f>
        <v>0</v>
      </c>
      <c r="D36" s="181" t="str">
        <f t="shared" ref="D36:D67" si="0">IF(A36&lt;DATE(YEAR(PILONDate),MONTH(PILONDate),1),"",(B36*G$26*F$19)+(B36*G$27*(DATE(YEAR(A36),MONTH(A36)+1,1)-A36)*24*F$20))</f>
        <v/>
      </c>
      <c r="E36" s="181" t="str">
        <f t="shared" ref="E36:E67" si="1">IF(A36&lt;DATE(YEAR(PILONDate),MONTH(PILONDate),1),"",(C36*F$22)+(B36*G$27*(DATE(YEAR(A36),MONTH(A36)+1,1)-A36)*24*F$23))</f>
        <v/>
      </c>
      <c r="F36" s="182" t="str">
        <f t="shared" ref="F36:F67" si="2">IF(A36&lt;DATE(YEAR(PILONDate),MONTH(PILONDate),1),"",SUM(D36:E36))</f>
        <v/>
      </c>
      <c r="G36" s="6">
        <f>'A4 Demands'!K37</f>
        <v>0</v>
      </c>
      <c r="H36" s="185" t="str">
        <f t="shared" ref="H36:H67" si="3">IF(A36&lt;DATE(YEAR(PILONDate),MONTH(PILONDate),1),"",(B36*G$26*F$19)+(B36*G$27*(DATE(YEAR(A36),MONTH(A36)+1,1)-A36)*24*F$20))</f>
        <v/>
      </c>
      <c r="I36" s="185" t="str">
        <f t="shared" ref="I36:I67" si="4">IF(A36&lt;DATE(YEAR(PILONDate),MONTH(PILONDate),1),"",(G36*F$22)+(B36*G$27*(DATE(YEAR(A36),MONTH(A36)+1,1)-A36)*24*F$23))</f>
        <v/>
      </c>
      <c r="J36" s="182" t="str">
        <f t="shared" ref="J36:J67" si="5">IF(A36&lt;DATE(YEAR(PILONDate),MONTH(PILONDate),1),"",SUM(H36:I36))</f>
        <v/>
      </c>
    </row>
    <row r="37" spans="1:10" x14ac:dyDescent="0.25">
      <c r="A37" s="193">
        <f>'A4 Demands'!B38</f>
        <v>42795</v>
      </c>
      <c r="B37" s="151">
        <f>'A4 Demands'!C38</f>
        <v>0</v>
      </c>
      <c r="C37" s="155">
        <f>'A4 Demands'!F38</f>
        <v>0</v>
      </c>
      <c r="D37" s="183" t="str">
        <f t="shared" si="0"/>
        <v/>
      </c>
      <c r="E37" s="183" t="str">
        <f t="shared" si="1"/>
        <v/>
      </c>
      <c r="F37" s="184" t="str">
        <f t="shared" si="2"/>
        <v/>
      </c>
      <c r="G37" s="8">
        <f>'A4 Demands'!K38</f>
        <v>0</v>
      </c>
      <c r="H37" s="186" t="str">
        <f t="shared" si="3"/>
        <v/>
      </c>
      <c r="I37" s="186" t="str">
        <f t="shared" si="4"/>
        <v/>
      </c>
      <c r="J37" s="184" t="str">
        <f t="shared" si="5"/>
        <v/>
      </c>
    </row>
    <row r="38" spans="1:10" x14ac:dyDescent="0.25">
      <c r="A38" s="193">
        <f>'A4 Demands'!B39</f>
        <v>42826</v>
      </c>
      <c r="B38" s="151">
        <f>'A4 Demands'!C39</f>
        <v>0</v>
      </c>
      <c r="C38" s="155">
        <f>'A4 Demands'!F39</f>
        <v>0</v>
      </c>
      <c r="D38" s="183">
        <f t="shared" si="0"/>
        <v>0</v>
      </c>
      <c r="E38" s="183">
        <f t="shared" si="1"/>
        <v>0</v>
      </c>
      <c r="F38" s="184">
        <f t="shared" si="2"/>
        <v>0</v>
      </c>
      <c r="G38" s="8">
        <f>'A4 Demands'!K39</f>
        <v>0</v>
      </c>
      <c r="H38" s="186">
        <f t="shared" si="3"/>
        <v>0</v>
      </c>
      <c r="I38" s="186">
        <f t="shared" si="4"/>
        <v>0</v>
      </c>
      <c r="J38" s="184">
        <f t="shared" si="5"/>
        <v>0</v>
      </c>
    </row>
    <row r="39" spans="1:10" x14ac:dyDescent="0.25">
      <c r="A39" s="193">
        <f>'A4 Demands'!B40</f>
        <v>42856</v>
      </c>
      <c r="B39" s="151">
        <f>'A4 Demands'!C40</f>
        <v>0</v>
      </c>
      <c r="C39" s="155">
        <f>'A4 Demands'!F40</f>
        <v>0</v>
      </c>
      <c r="D39" s="183">
        <f t="shared" si="0"/>
        <v>0</v>
      </c>
      <c r="E39" s="183">
        <f t="shared" si="1"/>
        <v>0</v>
      </c>
      <c r="F39" s="184">
        <f t="shared" si="2"/>
        <v>0</v>
      </c>
      <c r="G39" s="8">
        <f>'A4 Demands'!K40</f>
        <v>0</v>
      </c>
      <c r="H39" s="186">
        <f t="shared" si="3"/>
        <v>0</v>
      </c>
      <c r="I39" s="186">
        <f t="shared" si="4"/>
        <v>0</v>
      </c>
      <c r="J39" s="184">
        <f t="shared" si="5"/>
        <v>0</v>
      </c>
    </row>
    <row r="40" spans="1:10" x14ac:dyDescent="0.25">
      <c r="A40" s="193">
        <f>'A4 Demands'!B41</f>
        <v>42887</v>
      </c>
      <c r="B40" s="151">
        <f>'A4 Demands'!C41</f>
        <v>0</v>
      </c>
      <c r="C40" s="155">
        <f>'A4 Demands'!F41</f>
        <v>0</v>
      </c>
      <c r="D40" s="183">
        <f t="shared" si="0"/>
        <v>0</v>
      </c>
      <c r="E40" s="183">
        <f t="shared" si="1"/>
        <v>0</v>
      </c>
      <c r="F40" s="184">
        <f t="shared" si="2"/>
        <v>0</v>
      </c>
      <c r="G40" s="8">
        <f>'A4 Demands'!K41</f>
        <v>0</v>
      </c>
      <c r="H40" s="186">
        <f t="shared" si="3"/>
        <v>0</v>
      </c>
      <c r="I40" s="186">
        <f t="shared" si="4"/>
        <v>0</v>
      </c>
      <c r="J40" s="184">
        <f t="shared" si="5"/>
        <v>0</v>
      </c>
    </row>
    <row r="41" spans="1:10" x14ac:dyDescent="0.25">
      <c r="A41" s="193">
        <f>'A4 Demands'!B42</f>
        <v>42917</v>
      </c>
      <c r="B41" s="151">
        <f>'A4 Demands'!C42</f>
        <v>0</v>
      </c>
      <c r="C41" s="155">
        <f>'A4 Demands'!F42</f>
        <v>0</v>
      </c>
      <c r="D41" s="183">
        <f t="shared" si="0"/>
        <v>0</v>
      </c>
      <c r="E41" s="183">
        <f t="shared" si="1"/>
        <v>0</v>
      </c>
      <c r="F41" s="184">
        <f t="shared" si="2"/>
        <v>0</v>
      </c>
      <c r="G41" s="8">
        <f>'A4 Demands'!K42</f>
        <v>0</v>
      </c>
      <c r="H41" s="186">
        <f t="shared" si="3"/>
        <v>0</v>
      </c>
      <c r="I41" s="186">
        <f t="shared" si="4"/>
        <v>0</v>
      </c>
      <c r="J41" s="184">
        <f t="shared" si="5"/>
        <v>0</v>
      </c>
    </row>
    <row r="42" spans="1:10" x14ac:dyDescent="0.25">
      <c r="A42" s="193">
        <f>'A4 Demands'!B43</f>
        <v>42948</v>
      </c>
      <c r="B42" s="151">
        <f>'A4 Demands'!C43</f>
        <v>0</v>
      </c>
      <c r="C42" s="155">
        <f>'A4 Demands'!F43</f>
        <v>0</v>
      </c>
      <c r="D42" s="183">
        <f t="shared" si="0"/>
        <v>0</v>
      </c>
      <c r="E42" s="183">
        <f t="shared" si="1"/>
        <v>0</v>
      </c>
      <c r="F42" s="184">
        <f t="shared" si="2"/>
        <v>0</v>
      </c>
      <c r="G42" s="8">
        <f>'A4 Demands'!K43</f>
        <v>0</v>
      </c>
      <c r="H42" s="186">
        <f t="shared" si="3"/>
        <v>0</v>
      </c>
      <c r="I42" s="186">
        <f t="shared" si="4"/>
        <v>0</v>
      </c>
      <c r="J42" s="184">
        <f t="shared" si="5"/>
        <v>0</v>
      </c>
    </row>
    <row r="43" spans="1:10" x14ac:dyDescent="0.25">
      <c r="A43" s="193">
        <f>'A4 Demands'!B44</f>
        <v>42979</v>
      </c>
      <c r="B43" s="151">
        <f>'A4 Demands'!C44</f>
        <v>0</v>
      </c>
      <c r="C43" s="155">
        <f>'A4 Demands'!F44</f>
        <v>0</v>
      </c>
      <c r="D43" s="183">
        <f t="shared" si="0"/>
        <v>0</v>
      </c>
      <c r="E43" s="183">
        <f t="shared" si="1"/>
        <v>0</v>
      </c>
      <c r="F43" s="184">
        <f t="shared" si="2"/>
        <v>0</v>
      </c>
      <c r="G43" s="8">
        <f>'A4 Demands'!K44</f>
        <v>0</v>
      </c>
      <c r="H43" s="186">
        <f t="shared" si="3"/>
        <v>0</v>
      </c>
      <c r="I43" s="186">
        <f t="shared" si="4"/>
        <v>0</v>
      </c>
      <c r="J43" s="184">
        <f t="shared" si="5"/>
        <v>0</v>
      </c>
    </row>
    <row r="44" spans="1:10" x14ac:dyDescent="0.25">
      <c r="A44" s="193">
        <f>'A4 Demands'!B45</f>
        <v>43009</v>
      </c>
      <c r="B44" s="151">
        <f>'A4 Demands'!C45</f>
        <v>0</v>
      </c>
      <c r="C44" s="155">
        <f>'A4 Demands'!F45</f>
        <v>0</v>
      </c>
      <c r="D44" s="183">
        <f t="shared" si="0"/>
        <v>0</v>
      </c>
      <c r="E44" s="183">
        <f t="shared" si="1"/>
        <v>0</v>
      </c>
      <c r="F44" s="184">
        <f t="shared" si="2"/>
        <v>0</v>
      </c>
      <c r="G44" s="8">
        <f>'A4 Demands'!K45</f>
        <v>0</v>
      </c>
      <c r="H44" s="186">
        <f t="shared" si="3"/>
        <v>0</v>
      </c>
      <c r="I44" s="186">
        <f t="shared" si="4"/>
        <v>0</v>
      </c>
      <c r="J44" s="184">
        <f t="shared" si="5"/>
        <v>0</v>
      </c>
    </row>
    <row r="45" spans="1:10" x14ac:dyDescent="0.25">
      <c r="A45" s="193">
        <f>'A4 Demands'!B46</f>
        <v>43040</v>
      </c>
      <c r="B45" s="151">
        <f>'A4 Demands'!C46</f>
        <v>0</v>
      </c>
      <c r="C45" s="155">
        <f>'A4 Demands'!F46</f>
        <v>0</v>
      </c>
      <c r="D45" s="183">
        <f t="shared" si="0"/>
        <v>0</v>
      </c>
      <c r="E45" s="183">
        <f t="shared" si="1"/>
        <v>0</v>
      </c>
      <c r="F45" s="184">
        <f t="shared" si="2"/>
        <v>0</v>
      </c>
      <c r="G45" s="8">
        <f>'A4 Demands'!K46</f>
        <v>0</v>
      </c>
      <c r="H45" s="186">
        <f t="shared" si="3"/>
        <v>0</v>
      </c>
      <c r="I45" s="186">
        <f t="shared" si="4"/>
        <v>0</v>
      </c>
      <c r="J45" s="184">
        <f t="shared" si="5"/>
        <v>0</v>
      </c>
    </row>
    <row r="46" spans="1:10" x14ac:dyDescent="0.25">
      <c r="A46" s="193">
        <f>'A4 Demands'!B47</f>
        <v>43070</v>
      </c>
      <c r="B46" s="151">
        <f>'A4 Demands'!C47</f>
        <v>0</v>
      </c>
      <c r="C46" s="155">
        <f>'A4 Demands'!F47</f>
        <v>0</v>
      </c>
      <c r="D46" s="183">
        <f t="shared" si="0"/>
        <v>0</v>
      </c>
      <c r="E46" s="183">
        <f t="shared" si="1"/>
        <v>0</v>
      </c>
      <c r="F46" s="184">
        <f t="shared" si="2"/>
        <v>0</v>
      </c>
      <c r="G46" s="8">
        <f>'A4 Demands'!K47</f>
        <v>0</v>
      </c>
      <c r="H46" s="186">
        <f t="shared" si="3"/>
        <v>0</v>
      </c>
      <c r="I46" s="186">
        <f t="shared" si="4"/>
        <v>0</v>
      </c>
      <c r="J46" s="184">
        <f t="shared" si="5"/>
        <v>0</v>
      </c>
    </row>
    <row r="47" spans="1:10" x14ac:dyDescent="0.25">
      <c r="A47" s="193">
        <f>'A4 Demands'!B48</f>
        <v>43101</v>
      </c>
      <c r="B47" s="151">
        <f>'A4 Demands'!C48</f>
        <v>0</v>
      </c>
      <c r="C47" s="155">
        <f>'A4 Demands'!F48</f>
        <v>0</v>
      </c>
      <c r="D47" s="183">
        <f t="shared" si="0"/>
        <v>0</v>
      </c>
      <c r="E47" s="183">
        <f t="shared" si="1"/>
        <v>0</v>
      </c>
      <c r="F47" s="184">
        <f t="shared" si="2"/>
        <v>0</v>
      </c>
      <c r="G47" s="8">
        <f>'A4 Demands'!K48</f>
        <v>0</v>
      </c>
      <c r="H47" s="186">
        <f t="shared" si="3"/>
        <v>0</v>
      </c>
      <c r="I47" s="186">
        <f t="shared" si="4"/>
        <v>0</v>
      </c>
      <c r="J47" s="184">
        <f t="shared" si="5"/>
        <v>0</v>
      </c>
    </row>
    <row r="48" spans="1:10" x14ac:dyDescent="0.25">
      <c r="A48" s="193">
        <f>'A4 Demands'!B49</f>
        <v>43132</v>
      </c>
      <c r="B48" s="151">
        <f>'A4 Demands'!C49</f>
        <v>0</v>
      </c>
      <c r="C48" s="155">
        <f>'A4 Demands'!F49</f>
        <v>0</v>
      </c>
      <c r="D48" s="183">
        <f t="shared" si="0"/>
        <v>0</v>
      </c>
      <c r="E48" s="183">
        <f t="shared" si="1"/>
        <v>0</v>
      </c>
      <c r="F48" s="184">
        <f t="shared" si="2"/>
        <v>0</v>
      </c>
      <c r="G48" s="8">
        <f>'A4 Demands'!K49</f>
        <v>0</v>
      </c>
      <c r="H48" s="186">
        <f t="shared" si="3"/>
        <v>0</v>
      </c>
      <c r="I48" s="186">
        <f t="shared" si="4"/>
        <v>0</v>
      </c>
      <c r="J48" s="184">
        <f t="shared" si="5"/>
        <v>0</v>
      </c>
    </row>
    <row r="49" spans="1:10" x14ac:dyDescent="0.25">
      <c r="A49" s="193">
        <f>'A4 Demands'!B50</f>
        <v>43160</v>
      </c>
      <c r="B49" s="151">
        <f>'A4 Demands'!C50</f>
        <v>0</v>
      </c>
      <c r="C49" s="155">
        <f>'A4 Demands'!F50</f>
        <v>0</v>
      </c>
      <c r="D49" s="183">
        <f t="shared" si="0"/>
        <v>0</v>
      </c>
      <c r="E49" s="183">
        <f t="shared" si="1"/>
        <v>0</v>
      </c>
      <c r="F49" s="184">
        <f t="shared" si="2"/>
        <v>0</v>
      </c>
      <c r="G49" s="8">
        <f>'A4 Demands'!K50</f>
        <v>0</v>
      </c>
      <c r="H49" s="186">
        <f t="shared" si="3"/>
        <v>0</v>
      </c>
      <c r="I49" s="186">
        <f t="shared" si="4"/>
        <v>0</v>
      </c>
      <c r="J49" s="184">
        <f t="shared" si="5"/>
        <v>0</v>
      </c>
    </row>
    <row r="50" spans="1:10" x14ac:dyDescent="0.25">
      <c r="A50" s="193">
        <f>'A4 Demands'!B51</f>
        <v>43191</v>
      </c>
      <c r="B50" s="151">
        <f>'A4 Demands'!C51</f>
        <v>0</v>
      </c>
      <c r="C50" s="155">
        <f>'A4 Demands'!F51</f>
        <v>0</v>
      </c>
      <c r="D50" s="183">
        <f t="shared" si="0"/>
        <v>0</v>
      </c>
      <c r="E50" s="183">
        <f t="shared" si="1"/>
        <v>0</v>
      </c>
      <c r="F50" s="184">
        <f t="shared" si="2"/>
        <v>0</v>
      </c>
      <c r="G50" s="8">
        <f>'A4 Demands'!K51</f>
        <v>0</v>
      </c>
      <c r="H50" s="186">
        <f t="shared" si="3"/>
        <v>0</v>
      </c>
      <c r="I50" s="186">
        <f t="shared" si="4"/>
        <v>0</v>
      </c>
      <c r="J50" s="184">
        <f t="shared" si="5"/>
        <v>0</v>
      </c>
    </row>
    <row r="51" spans="1:10" x14ac:dyDescent="0.25">
      <c r="A51" s="193">
        <f>'A4 Demands'!B52</f>
        <v>43221</v>
      </c>
      <c r="B51" s="151">
        <f>'A4 Demands'!C52</f>
        <v>0</v>
      </c>
      <c r="C51" s="155">
        <f>'A4 Demands'!F52</f>
        <v>0</v>
      </c>
      <c r="D51" s="183">
        <f t="shared" si="0"/>
        <v>0</v>
      </c>
      <c r="E51" s="183">
        <f t="shared" si="1"/>
        <v>0</v>
      </c>
      <c r="F51" s="184">
        <f t="shared" si="2"/>
        <v>0</v>
      </c>
      <c r="G51" s="8">
        <f>'A4 Demands'!K52</f>
        <v>0</v>
      </c>
      <c r="H51" s="186">
        <f t="shared" si="3"/>
        <v>0</v>
      </c>
      <c r="I51" s="186">
        <f t="shared" si="4"/>
        <v>0</v>
      </c>
      <c r="J51" s="184">
        <f t="shared" si="5"/>
        <v>0</v>
      </c>
    </row>
    <row r="52" spans="1:10" x14ac:dyDescent="0.25">
      <c r="A52" s="193">
        <f>'A4 Demands'!B53</f>
        <v>43252</v>
      </c>
      <c r="B52" s="151">
        <f>'A4 Demands'!C53</f>
        <v>0</v>
      </c>
      <c r="C52" s="155">
        <f>'A4 Demands'!F53</f>
        <v>0</v>
      </c>
      <c r="D52" s="183">
        <f t="shared" si="0"/>
        <v>0</v>
      </c>
      <c r="E52" s="183">
        <f t="shared" si="1"/>
        <v>0</v>
      </c>
      <c r="F52" s="184">
        <f t="shared" si="2"/>
        <v>0</v>
      </c>
      <c r="G52" s="8">
        <f>'A4 Demands'!K53</f>
        <v>0</v>
      </c>
      <c r="H52" s="186">
        <f t="shared" si="3"/>
        <v>0</v>
      </c>
      <c r="I52" s="186">
        <f t="shared" si="4"/>
        <v>0</v>
      </c>
      <c r="J52" s="184">
        <f t="shared" si="5"/>
        <v>0</v>
      </c>
    </row>
    <row r="53" spans="1:10" x14ac:dyDescent="0.25">
      <c r="A53" s="193">
        <f>'A4 Demands'!B54</f>
        <v>43282</v>
      </c>
      <c r="B53" s="151">
        <f>'A4 Demands'!C54</f>
        <v>0</v>
      </c>
      <c r="C53" s="155">
        <f>'A4 Demands'!F54</f>
        <v>0</v>
      </c>
      <c r="D53" s="183">
        <f t="shared" si="0"/>
        <v>0</v>
      </c>
      <c r="E53" s="183">
        <f t="shared" si="1"/>
        <v>0</v>
      </c>
      <c r="F53" s="184">
        <f t="shared" si="2"/>
        <v>0</v>
      </c>
      <c r="G53" s="8">
        <f>'A4 Demands'!K54</f>
        <v>0</v>
      </c>
      <c r="H53" s="186">
        <f t="shared" si="3"/>
        <v>0</v>
      </c>
      <c r="I53" s="186">
        <f t="shared" si="4"/>
        <v>0</v>
      </c>
      <c r="J53" s="184">
        <f t="shared" si="5"/>
        <v>0</v>
      </c>
    </row>
    <row r="54" spans="1:10" x14ac:dyDescent="0.25">
      <c r="A54" s="193">
        <f>'A4 Demands'!B55</f>
        <v>43313</v>
      </c>
      <c r="B54" s="151">
        <f>'A4 Demands'!C55</f>
        <v>0</v>
      </c>
      <c r="C54" s="155">
        <f>'A4 Demands'!F55</f>
        <v>0</v>
      </c>
      <c r="D54" s="183">
        <f t="shared" si="0"/>
        <v>0</v>
      </c>
      <c r="E54" s="183">
        <f t="shared" si="1"/>
        <v>0</v>
      </c>
      <c r="F54" s="184">
        <f t="shared" si="2"/>
        <v>0</v>
      </c>
      <c r="G54" s="8">
        <f>'A4 Demands'!K55</f>
        <v>0</v>
      </c>
      <c r="H54" s="186">
        <f t="shared" si="3"/>
        <v>0</v>
      </c>
      <c r="I54" s="186">
        <f t="shared" si="4"/>
        <v>0</v>
      </c>
      <c r="J54" s="184">
        <f t="shared" si="5"/>
        <v>0</v>
      </c>
    </row>
    <row r="55" spans="1:10" x14ac:dyDescent="0.25">
      <c r="A55" s="193">
        <f>'A4 Demands'!B56</f>
        <v>43344</v>
      </c>
      <c r="B55" s="151">
        <f>'A4 Demands'!C56</f>
        <v>0</v>
      </c>
      <c r="C55" s="155">
        <f>'A4 Demands'!F56</f>
        <v>0</v>
      </c>
      <c r="D55" s="183">
        <f t="shared" si="0"/>
        <v>0</v>
      </c>
      <c r="E55" s="183">
        <f t="shared" si="1"/>
        <v>0</v>
      </c>
      <c r="F55" s="184">
        <f t="shared" si="2"/>
        <v>0</v>
      </c>
      <c r="G55" s="8">
        <f>'A4 Demands'!K56</f>
        <v>0</v>
      </c>
      <c r="H55" s="186">
        <f t="shared" si="3"/>
        <v>0</v>
      </c>
      <c r="I55" s="186">
        <f t="shared" si="4"/>
        <v>0</v>
      </c>
      <c r="J55" s="184">
        <f t="shared" si="5"/>
        <v>0</v>
      </c>
    </row>
    <row r="56" spans="1:10" x14ac:dyDescent="0.25">
      <c r="A56" s="193">
        <f>'A4 Demands'!B57</f>
        <v>43374</v>
      </c>
      <c r="B56" s="151">
        <f>'A4 Demands'!C57</f>
        <v>0</v>
      </c>
      <c r="C56" s="155">
        <f>'A4 Demands'!F57</f>
        <v>0</v>
      </c>
      <c r="D56" s="183">
        <f t="shared" si="0"/>
        <v>0</v>
      </c>
      <c r="E56" s="183">
        <f t="shared" si="1"/>
        <v>0</v>
      </c>
      <c r="F56" s="184">
        <f t="shared" si="2"/>
        <v>0</v>
      </c>
      <c r="G56" s="8">
        <f>'A4 Demands'!K57</f>
        <v>0</v>
      </c>
      <c r="H56" s="186">
        <f t="shared" si="3"/>
        <v>0</v>
      </c>
      <c r="I56" s="186">
        <f t="shared" si="4"/>
        <v>0</v>
      </c>
      <c r="J56" s="184">
        <f t="shared" si="5"/>
        <v>0</v>
      </c>
    </row>
    <row r="57" spans="1:10" x14ac:dyDescent="0.25">
      <c r="A57" s="193">
        <f>'A4 Demands'!B58</f>
        <v>43405</v>
      </c>
      <c r="B57" s="151">
        <f>'A4 Demands'!C58</f>
        <v>0</v>
      </c>
      <c r="C57" s="155">
        <f>'A4 Demands'!F58</f>
        <v>0</v>
      </c>
      <c r="D57" s="183">
        <f t="shared" si="0"/>
        <v>0</v>
      </c>
      <c r="E57" s="183">
        <f t="shared" si="1"/>
        <v>0</v>
      </c>
      <c r="F57" s="184">
        <f t="shared" si="2"/>
        <v>0</v>
      </c>
      <c r="G57" s="8">
        <f>'A4 Demands'!K58</f>
        <v>0</v>
      </c>
      <c r="H57" s="186">
        <f t="shared" si="3"/>
        <v>0</v>
      </c>
      <c r="I57" s="186">
        <f t="shared" si="4"/>
        <v>0</v>
      </c>
      <c r="J57" s="184">
        <f t="shared" si="5"/>
        <v>0</v>
      </c>
    </row>
    <row r="58" spans="1:10" x14ac:dyDescent="0.25">
      <c r="A58" s="193">
        <f>'A4 Demands'!B59</f>
        <v>43435</v>
      </c>
      <c r="B58" s="151">
        <f>'A4 Demands'!C59</f>
        <v>0</v>
      </c>
      <c r="C58" s="155">
        <f>'A4 Demands'!F59</f>
        <v>0</v>
      </c>
      <c r="D58" s="183">
        <f t="shared" si="0"/>
        <v>0</v>
      </c>
      <c r="E58" s="183">
        <f t="shared" si="1"/>
        <v>0</v>
      </c>
      <c r="F58" s="184">
        <f t="shared" si="2"/>
        <v>0</v>
      </c>
      <c r="G58" s="8">
        <f>'A4 Demands'!K59</f>
        <v>0</v>
      </c>
      <c r="H58" s="186">
        <f t="shared" si="3"/>
        <v>0</v>
      </c>
      <c r="I58" s="186">
        <f t="shared" si="4"/>
        <v>0</v>
      </c>
      <c r="J58" s="184">
        <f t="shared" si="5"/>
        <v>0</v>
      </c>
    </row>
    <row r="59" spans="1:10" x14ac:dyDescent="0.25">
      <c r="A59" s="193">
        <f>'A4 Demands'!B60</f>
        <v>43466</v>
      </c>
      <c r="B59" s="151">
        <f>'A4 Demands'!C60</f>
        <v>0</v>
      </c>
      <c r="C59" s="155">
        <f>'A4 Demands'!F60</f>
        <v>0</v>
      </c>
      <c r="D59" s="183">
        <f t="shared" si="0"/>
        <v>0</v>
      </c>
      <c r="E59" s="183">
        <f t="shared" si="1"/>
        <v>0</v>
      </c>
      <c r="F59" s="184">
        <f t="shared" si="2"/>
        <v>0</v>
      </c>
      <c r="G59" s="8">
        <f>'A4 Demands'!K60</f>
        <v>0</v>
      </c>
      <c r="H59" s="186">
        <f t="shared" si="3"/>
        <v>0</v>
      </c>
      <c r="I59" s="186">
        <f t="shared" si="4"/>
        <v>0</v>
      </c>
      <c r="J59" s="184">
        <f t="shared" si="5"/>
        <v>0</v>
      </c>
    </row>
    <row r="60" spans="1:10" x14ac:dyDescent="0.25">
      <c r="A60" s="193">
        <f>'A4 Demands'!B61</f>
        <v>43497</v>
      </c>
      <c r="B60" s="151">
        <f>'A4 Demands'!C61</f>
        <v>0</v>
      </c>
      <c r="C60" s="155">
        <f>'A4 Demands'!F61</f>
        <v>0</v>
      </c>
      <c r="D60" s="183">
        <f t="shared" si="0"/>
        <v>0</v>
      </c>
      <c r="E60" s="183">
        <f t="shared" si="1"/>
        <v>0</v>
      </c>
      <c r="F60" s="184">
        <f t="shared" si="2"/>
        <v>0</v>
      </c>
      <c r="G60" s="8">
        <f>'A4 Demands'!K61</f>
        <v>0</v>
      </c>
      <c r="H60" s="186">
        <f t="shared" si="3"/>
        <v>0</v>
      </c>
      <c r="I60" s="186">
        <f t="shared" si="4"/>
        <v>0</v>
      </c>
      <c r="J60" s="184">
        <f t="shared" si="5"/>
        <v>0</v>
      </c>
    </row>
    <row r="61" spans="1:10" x14ac:dyDescent="0.25">
      <c r="A61" s="193">
        <f>'A4 Demands'!B62</f>
        <v>43525</v>
      </c>
      <c r="B61" s="151">
        <f>'A4 Demands'!C62</f>
        <v>0</v>
      </c>
      <c r="C61" s="155">
        <f>'A4 Demands'!F62</f>
        <v>0</v>
      </c>
      <c r="D61" s="183">
        <f t="shared" si="0"/>
        <v>0</v>
      </c>
      <c r="E61" s="183">
        <f t="shared" si="1"/>
        <v>0</v>
      </c>
      <c r="F61" s="184">
        <f t="shared" si="2"/>
        <v>0</v>
      </c>
      <c r="G61" s="8">
        <f>'A4 Demands'!K62</f>
        <v>0</v>
      </c>
      <c r="H61" s="186">
        <f t="shared" si="3"/>
        <v>0</v>
      </c>
      <c r="I61" s="186">
        <f t="shared" si="4"/>
        <v>0</v>
      </c>
      <c r="J61" s="184">
        <f t="shared" si="5"/>
        <v>0</v>
      </c>
    </row>
    <row r="62" spans="1:10" x14ac:dyDescent="0.25">
      <c r="A62" s="193">
        <f>'A4 Demands'!B63</f>
        <v>43556</v>
      </c>
      <c r="B62" s="151">
        <f>'A4 Demands'!C63</f>
        <v>0</v>
      </c>
      <c r="C62" s="155">
        <f>'A4 Demands'!F63</f>
        <v>0</v>
      </c>
      <c r="D62" s="183">
        <f t="shared" si="0"/>
        <v>0</v>
      </c>
      <c r="E62" s="183">
        <f t="shared" si="1"/>
        <v>0</v>
      </c>
      <c r="F62" s="184">
        <f t="shared" si="2"/>
        <v>0</v>
      </c>
      <c r="G62" s="8">
        <f>'A4 Demands'!K63</f>
        <v>0</v>
      </c>
      <c r="H62" s="186">
        <f t="shared" si="3"/>
        <v>0</v>
      </c>
      <c r="I62" s="186">
        <f t="shared" si="4"/>
        <v>0</v>
      </c>
      <c r="J62" s="184">
        <f t="shared" si="5"/>
        <v>0</v>
      </c>
    </row>
    <row r="63" spans="1:10" x14ac:dyDescent="0.25">
      <c r="A63" s="193">
        <f>'A4 Demands'!B64</f>
        <v>43586</v>
      </c>
      <c r="B63" s="151">
        <f>'A4 Demands'!C64</f>
        <v>0</v>
      </c>
      <c r="C63" s="155">
        <f>'A4 Demands'!F64</f>
        <v>0</v>
      </c>
      <c r="D63" s="183">
        <f t="shared" si="0"/>
        <v>0</v>
      </c>
      <c r="E63" s="183">
        <f t="shared" si="1"/>
        <v>0</v>
      </c>
      <c r="F63" s="184">
        <f t="shared" si="2"/>
        <v>0</v>
      </c>
      <c r="G63" s="8">
        <f>'A4 Demands'!K64</f>
        <v>0</v>
      </c>
      <c r="H63" s="186">
        <f t="shared" si="3"/>
        <v>0</v>
      </c>
      <c r="I63" s="186">
        <f t="shared" si="4"/>
        <v>0</v>
      </c>
      <c r="J63" s="184">
        <f t="shared" si="5"/>
        <v>0</v>
      </c>
    </row>
    <row r="64" spans="1:10" x14ac:dyDescent="0.25">
      <c r="A64" s="193">
        <f>'A4 Demands'!B65</f>
        <v>43617</v>
      </c>
      <c r="B64" s="151">
        <f>'A4 Demands'!C65</f>
        <v>0</v>
      </c>
      <c r="C64" s="155">
        <f>'A4 Demands'!F65</f>
        <v>0</v>
      </c>
      <c r="D64" s="183">
        <f t="shared" si="0"/>
        <v>0</v>
      </c>
      <c r="E64" s="183">
        <f t="shared" si="1"/>
        <v>0</v>
      </c>
      <c r="F64" s="184">
        <f t="shared" si="2"/>
        <v>0</v>
      </c>
      <c r="G64" s="8">
        <f>'A4 Demands'!K65</f>
        <v>0</v>
      </c>
      <c r="H64" s="186">
        <f t="shared" si="3"/>
        <v>0</v>
      </c>
      <c r="I64" s="186">
        <f t="shared" si="4"/>
        <v>0</v>
      </c>
      <c r="J64" s="184">
        <f t="shared" si="5"/>
        <v>0</v>
      </c>
    </row>
    <row r="65" spans="1:10" x14ac:dyDescent="0.25">
      <c r="A65" s="193">
        <f>'A4 Demands'!B66</f>
        <v>43647</v>
      </c>
      <c r="B65" s="151">
        <f>'A4 Demands'!C66</f>
        <v>0</v>
      </c>
      <c r="C65" s="155">
        <f>'A4 Demands'!F66</f>
        <v>0</v>
      </c>
      <c r="D65" s="183">
        <f t="shared" si="0"/>
        <v>0</v>
      </c>
      <c r="E65" s="183">
        <f t="shared" si="1"/>
        <v>0</v>
      </c>
      <c r="F65" s="184">
        <f t="shared" si="2"/>
        <v>0</v>
      </c>
      <c r="G65" s="8">
        <f>'A4 Demands'!K66</f>
        <v>0</v>
      </c>
      <c r="H65" s="186">
        <f t="shared" si="3"/>
        <v>0</v>
      </c>
      <c r="I65" s="186">
        <f t="shared" si="4"/>
        <v>0</v>
      </c>
      <c r="J65" s="184">
        <f t="shared" si="5"/>
        <v>0</v>
      </c>
    </row>
    <row r="66" spans="1:10" x14ac:dyDescent="0.25">
      <c r="A66" s="193">
        <f>'A4 Demands'!B67</f>
        <v>43678</v>
      </c>
      <c r="B66" s="151">
        <f>'A4 Demands'!C67</f>
        <v>0</v>
      </c>
      <c r="C66" s="155">
        <f>'A4 Demands'!F67</f>
        <v>0</v>
      </c>
      <c r="D66" s="183">
        <f t="shared" si="0"/>
        <v>0</v>
      </c>
      <c r="E66" s="183">
        <f t="shared" si="1"/>
        <v>0</v>
      </c>
      <c r="F66" s="184">
        <f t="shared" si="2"/>
        <v>0</v>
      </c>
      <c r="G66" s="8">
        <f>'A4 Demands'!K67</f>
        <v>0</v>
      </c>
      <c r="H66" s="186">
        <f t="shared" si="3"/>
        <v>0</v>
      </c>
      <c r="I66" s="186">
        <f t="shared" si="4"/>
        <v>0</v>
      </c>
      <c r="J66" s="184">
        <f t="shared" si="5"/>
        <v>0</v>
      </c>
    </row>
    <row r="67" spans="1:10" x14ac:dyDescent="0.25">
      <c r="A67" s="193">
        <f>'A4 Demands'!B68</f>
        <v>43709</v>
      </c>
      <c r="B67" s="151">
        <f>'A4 Demands'!C68</f>
        <v>0</v>
      </c>
      <c r="C67" s="155">
        <f>'A4 Demands'!F68</f>
        <v>0</v>
      </c>
      <c r="D67" s="183">
        <f t="shared" si="0"/>
        <v>0</v>
      </c>
      <c r="E67" s="183">
        <f t="shared" si="1"/>
        <v>0</v>
      </c>
      <c r="F67" s="184">
        <f t="shared" si="2"/>
        <v>0</v>
      </c>
      <c r="G67" s="8">
        <f>'A4 Demands'!K68</f>
        <v>0</v>
      </c>
      <c r="H67" s="186">
        <f t="shared" si="3"/>
        <v>0</v>
      </c>
      <c r="I67" s="186">
        <f t="shared" si="4"/>
        <v>0</v>
      </c>
      <c r="J67" s="184">
        <f t="shared" si="5"/>
        <v>0</v>
      </c>
    </row>
    <row r="68" spans="1:10" x14ac:dyDescent="0.25">
      <c r="A68" s="193">
        <f>'A4 Demands'!B69</f>
        <v>43739</v>
      </c>
      <c r="B68" s="151">
        <f>'A4 Demands'!C69</f>
        <v>0</v>
      </c>
      <c r="C68" s="155">
        <f>'A4 Demands'!F69</f>
        <v>0</v>
      </c>
      <c r="D68" s="183">
        <f t="shared" ref="D68:D95" si="6">IF(A68&lt;DATE(YEAR(PILONDate),MONTH(PILONDate),1),"",(B68*G$26*F$19)+(B68*G$27*(DATE(YEAR(A68),MONTH(A68)+1,1)-A68)*24*F$20))</f>
        <v>0</v>
      </c>
      <c r="E68" s="183">
        <f t="shared" ref="E68:E95" si="7">IF(A68&lt;DATE(YEAR(PILONDate),MONTH(PILONDate),1),"",(C68*F$22)+(B68*G$27*(DATE(YEAR(A68),MONTH(A68)+1,1)-A68)*24*F$23))</f>
        <v>0</v>
      </c>
      <c r="F68" s="184">
        <f t="shared" ref="F68:F95" si="8">IF(A68&lt;DATE(YEAR(PILONDate),MONTH(PILONDate),1),"",SUM(D68:E68))</f>
        <v>0</v>
      </c>
      <c r="G68" s="8">
        <f>'A4 Demands'!K69</f>
        <v>0</v>
      </c>
      <c r="H68" s="186">
        <f t="shared" ref="H68:H95" si="9">IF(A68&lt;DATE(YEAR(PILONDate),MONTH(PILONDate),1),"",(B68*G$26*F$19)+(B68*G$27*(DATE(YEAR(A68),MONTH(A68)+1,1)-A68)*24*F$20))</f>
        <v>0</v>
      </c>
      <c r="I68" s="186">
        <f t="shared" ref="I68:I95" si="10">IF(A68&lt;DATE(YEAR(PILONDate),MONTH(PILONDate),1),"",(G68*F$22)+(B68*G$27*(DATE(YEAR(A68),MONTH(A68)+1,1)-A68)*24*F$23))</f>
        <v>0</v>
      </c>
      <c r="J68" s="184">
        <f t="shared" ref="J68:J95" si="11">IF(A68&lt;DATE(YEAR(PILONDate),MONTH(PILONDate),1),"",SUM(H68:I68))</f>
        <v>0</v>
      </c>
    </row>
    <row r="69" spans="1:10" x14ac:dyDescent="0.25">
      <c r="A69" s="193">
        <f>'A4 Demands'!B70</f>
        <v>43770</v>
      </c>
      <c r="B69" s="151">
        <f>'A4 Demands'!C70</f>
        <v>0</v>
      </c>
      <c r="C69" s="155">
        <f>'A4 Demands'!F70</f>
        <v>0</v>
      </c>
      <c r="D69" s="183">
        <f t="shared" si="6"/>
        <v>0</v>
      </c>
      <c r="E69" s="183">
        <f t="shared" si="7"/>
        <v>0</v>
      </c>
      <c r="F69" s="184">
        <f t="shared" si="8"/>
        <v>0</v>
      </c>
      <c r="G69" s="8">
        <f>'A4 Demands'!K70</f>
        <v>0</v>
      </c>
      <c r="H69" s="186">
        <f t="shared" si="9"/>
        <v>0</v>
      </c>
      <c r="I69" s="186">
        <f t="shared" si="10"/>
        <v>0</v>
      </c>
      <c r="J69" s="184">
        <f t="shared" si="11"/>
        <v>0</v>
      </c>
    </row>
    <row r="70" spans="1:10" x14ac:dyDescent="0.25">
      <c r="A70" s="193">
        <f>'A4 Demands'!B71</f>
        <v>43800</v>
      </c>
      <c r="B70" s="151">
        <f>'A4 Demands'!C71</f>
        <v>0</v>
      </c>
      <c r="C70" s="155">
        <f>'A4 Demands'!F71</f>
        <v>0</v>
      </c>
      <c r="D70" s="183">
        <f t="shared" si="6"/>
        <v>0</v>
      </c>
      <c r="E70" s="183">
        <f t="shared" si="7"/>
        <v>0</v>
      </c>
      <c r="F70" s="184">
        <f t="shared" si="8"/>
        <v>0</v>
      </c>
      <c r="G70" s="8">
        <f>'A4 Demands'!K71</f>
        <v>0</v>
      </c>
      <c r="H70" s="186">
        <f t="shared" si="9"/>
        <v>0</v>
      </c>
      <c r="I70" s="186">
        <f t="shared" si="10"/>
        <v>0</v>
      </c>
      <c r="J70" s="184">
        <f t="shared" si="11"/>
        <v>0</v>
      </c>
    </row>
    <row r="71" spans="1:10" x14ac:dyDescent="0.25">
      <c r="A71" s="193">
        <f>'A4 Demands'!B72</f>
        <v>43831</v>
      </c>
      <c r="B71" s="151">
        <f>'A4 Demands'!C72</f>
        <v>0</v>
      </c>
      <c r="C71" s="155">
        <f>'A4 Demands'!F72</f>
        <v>0</v>
      </c>
      <c r="D71" s="183">
        <f t="shared" si="6"/>
        <v>0</v>
      </c>
      <c r="E71" s="183">
        <f t="shared" si="7"/>
        <v>0</v>
      </c>
      <c r="F71" s="184">
        <f t="shared" si="8"/>
        <v>0</v>
      </c>
      <c r="G71" s="8">
        <f>'A4 Demands'!K72</f>
        <v>0</v>
      </c>
      <c r="H71" s="186">
        <f t="shared" si="9"/>
        <v>0</v>
      </c>
      <c r="I71" s="186">
        <f t="shared" si="10"/>
        <v>0</v>
      </c>
      <c r="J71" s="184">
        <f t="shared" si="11"/>
        <v>0</v>
      </c>
    </row>
    <row r="72" spans="1:10" x14ac:dyDescent="0.25">
      <c r="A72" s="193">
        <f>'A4 Demands'!B73</f>
        <v>43862</v>
      </c>
      <c r="B72" s="151">
        <f>'A4 Demands'!C73</f>
        <v>0</v>
      </c>
      <c r="C72" s="155">
        <f>'A4 Demands'!F73</f>
        <v>0</v>
      </c>
      <c r="D72" s="183">
        <f t="shared" si="6"/>
        <v>0</v>
      </c>
      <c r="E72" s="183">
        <f t="shared" si="7"/>
        <v>0</v>
      </c>
      <c r="F72" s="184">
        <f t="shared" si="8"/>
        <v>0</v>
      </c>
      <c r="G72" s="8">
        <f>'A4 Demands'!K73</f>
        <v>0</v>
      </c>
      <c r="H72" s="186">
        <f t="shared" si="9"/>
        <v>0</v>
      </c>
      <c r="I72" s="186">
        <f t="shared" si="10"/>
        <v>0</v>
      </c>
      <c r="J72" s="184">
        <f t="shared" si="11"/>
        <v>0</v>
      </c>
    </row>
    <row r="73" spans="1:10" x14ac:dyDescent="0.25">
      <c r="A73" s="193">
        <f>'A4 Demands'!B74</f>
        <v>43891</v>
      </c>
      <c r="B73" s="151">
        <f>'A4 Demands'!C74</f>
        <v>0</v>
      </c>
      <c r="C73" s="155">
        <f>'A4 Demands'!F74</f>
        <v>0</v>
      </c>
      <c r="D73" s="183">
        <f t="shared" si="6"/>
        <v>0</v>
      </c>
      <c r="E73" s="183">
        <f t="shared" si="7"/>
        <v>0</v>
      </c>
      <c r="F73" s="184">
        <f t="shared" si="8"/>
        <v>0</v>
      </c>
      <c r="G73" s="8">
        <f>'A4 Demands'!K74</f>
        <v>0</v>
      </c>
      <c r="H73" s="186">
        <f t="shared" si="9"/>
        <v>0</v>
      </c>
      <c r="I73" s="186">
        <f t="shared" si="10"/>
        <v>0</v>
      </c>
      <c r="J73" s="184">
        <f t="shared" si="11"/>
        <v>0</v>
      </c>
    </row>
    <row r="74" spans="1:10" x14ac:dyDescent="0.25">
      <c r="A74" s="193">
        <f>'A4 Demands'!B75</f>
        <v>43922</v>
      </c>
      <c r="B74" s="151">
        <f>'A4 Demands'!C75</f>
        <v>0</v>
      </c>
      <c r="C74" s="155">
        <f>'A4 Demands'!F75</f>
        <v>0</v>
      </c>
      <c r="D74" s="183">
        <f t="shared" si="6"/>
        <v>0</v>
      </c>
      <c r="E74" s="183">
        <f t="shared" si="7"/>
        <v>0</v>
      </c>
      <c r="F74" s="184">
        <f t="shared" si="8"/>
        <v>0</v>
      </c>
      <c r="G74" s="8">
        <f>'A4 Demands'!K75</f>
        <v>0</v>
      </c>
      <c r="H74" s="186">
        <f t="shared" si="9"/>
        <v>0</v>
      </c>
      <c r="I74" s="186">
        <f t="shared" si="10"/>
        <v>0</v>
      </c>
      <c r="J74" s="184">
        <f t="shared" si="11"/>
        <v>0</v>
      </c>
    </row>
    <row r="75" spans="1:10" x14ac:dyDescent="0.25">
      <c r="A75" s="193">
        <f>'A4 Demands'!B76</f>
        <v>43952</v>
      </c>
      <c r="B75" s="151">
        <f>'A4 Demands'!C76</f>
        <v>0</v>
      </c>
      <c r="C75" s="155">
        <f>'A4 Demands'!F76</f>
        <v>0</v>
      </c>
      <c r="D75" s="183">
        <f t="shared" si="6"/>
        <v>0</v>
      </c>
      <c r="E75" s="183">
        <f t="shared" si="7"/>
        <v>0</v>
      </c>
      <c r="F75" s="184">
        <f t="shared" si="8"/>
        <v>0</v>
      </c>
      <c r="G75" s="8">
        <f>'A4 Demands'!K76</f>
        <v>0</v>
      </c>
      <c r="H75" s="186">
        <f t="shared" si="9"/>
        <v>0</v>
      </c>
      <c r="I75" s="186">
        <f t="shared" si="10"/>
        <v>0</v>
      </c>
      <c r="J75" s="184">
        <f t="shared" si="11"/>
        <v>0</v>
      </c>
    </row>
    <row r="76" spans="1:10" x14ac:dyDescent="0.25">
      <c r="A76" s="193">
        <f>'A4 Demands'!B77</f>
        <v>43983</v>
      </c>
      <c r="B76" s="151">
        <f>'A4 Demands'!C77</f>
        <v>0</v>
      </c>
      <c r="C76" s="155">
        <f>'A4 Demands'!F77</f>
        <v>0</v>
      </c>
      <c r="D76" s="183">
        <f t="shared" si="6"/>
        <v>0</v>
      </c>
      <c r="E76" s="183">
        <f t="shared" si="7"/>
        <v>0</v>
      </c>
      <c r="F76" s="184">
        <f t="shared" si="8"/>
        <v>0</v>
      </c>
      <c r="G76" s="8">
        <f>'A4 Demands'!K77</f>
        <v>0</v>
      </c>
      <c r="H76" s="186">
        <f t="shared" si="9"/>
        <v>0</v>
      </c>
      <c r="I76" s="186">
        <f t="shared" si="10"/>
        <v>0</v>
      </c>
      <c r="J76" s="184">
        <f t="shared" si="11"/>
        <v>0</v>
      </c>
    </row>
    <row r="77" spans="1:10" x14ac:dyDescent="0.25">
      <c r="A77" s="193">
        <f>'A4 Demands'!B78</f>
        <v>44013</v>
      </c>
      <c r="B77" s="151">
        <f>'A4 Demands'!C78</f>
        <v>0</v>
      </c>
      <c r="C77" s="155">
        <f>'A4 Demands'!F78</f>
        <v>0</v>
      </c>
      <c r="D77" s="183">
        <f t="shared" si="6"/>
        <v>0</v>
      </c>
      <c r="E77" s="183">
        <f t="shared" si="7"/>
        <v>0</v>
      </c>
      <c r="F77" s="184">
        <f t="shared" si="8"/>
        <v>0</v>
      </c>
      <c r="G77" s="8">
        <f>'A4 Demands'!K78</f>
        <v>0</v>
      </c>
      <c r="H77" s="186">
        <f t="shared" si="9"/>
        <v>0</v>
      </c>
      <c r="I77" s="186">
        <f t="shared" si="10"/>
        <v>0</v>
      </c>
      <c r="J77" s="184">
        <f t="shared" si="11"/>
        <v>0</v>
      </c>
    </row>
    <row r="78" spans="1:10" x14ac:dyDescent="0.25">
      <c r="A78" s="193">
        <f>'A4 Demands'!B79</f>
        <v>44044</v>
      </c>
      <c r="B78" s="151">
        <f>'A4 Demands'!C79</f>
        <v>0</v>
      </c>
      <c r="C78" s="155">
        <f>'A4 Demands'!F79</f>
        <v>0</v>
      </c>
      <c r="D78" s="183">
        <f t="shared" si="6"/>
        <v>0</v>
      </c>
      <c r="E78" s="183">
        <f t="shared" si="7"/>
        <v>0</v>
      </c>
      <c r="F78" s="184">
        <f t="shared" si="8"/>
        <v>0</v>
      </c>
      <c r="G78" s="8">
        <f>'A4 Demands'!K79</f>
        <v>0</v>
      </c>
      <c r="H78" s="186">
        <f t="shared" si="9"/>
        <v>0</v>
      </c>
      <c r="I78" s="186">
        <f t="shared" si="10"/>
        <v>0</v>
      </c>
      <c r="J78" s="184">
        <f t="shared" si="11"/>
        <v>0</v>
      </c>
    </row>
    <row r="79" spans="1:10" x14ac:dyDescent="0.25">
      <c r="A79" s="193">
        <f>'A4 Demands'!B80</f>
        <v>44075</v>
      </c>
      <c r="B79" s="151">
        <f>'A4 Demands'!C80</f>
        <v>0</v>
      </c>
      <c r="C79" s="155">
        <f>'A4 Demands'!F80</f>
        <v>0</v>
      </c>
      <c r="D79" s="183">
        <f t="shared" si="6"/>
        <v>0</v>
      </c>
      <c r="E79" s="183">
        <f t="shared" si="7"/>
        <v>0</v>
      </c>
      <c r="F79" s="184">
        <f t="shared" si="8"/>
        <v>0</v>
      </c>
      <c r="G79" s="8">
        <f>'A4 Demands'!K80</f>
        <v>0</v>
      </c>
      <c r="H79" s="186">
        <f t="shared" si="9"/>
        <v>0</v>
      </c>
      <c r="I79" s="186">
        <f t="shared" si="10"/>
        <v>0</v>
      </c>
      <c r="J79" s="184">
        <f t="shared" si="11"/>
        <v>0</v>
      </c>
    </row>
    <row r="80" spans="1:10" x14ac:dyDescent="0.25">
      <c r="A80" s="193">
        <f>'A4 Demands'!B81</f>
        <v>44105</v>
      </c>
      <c r="B80" s="151">
        <f>'A4 Demands'!C81</f>
        <v>0</v>
      </c>
      <c r="C80" s="155">
        <f>'A4 Demands'!F81</f>
        <v>0</v>
      </c>
      <c r="D80" s="183">
        <f t="shared" si="6"/>
        <v>0</v>
      </c>
      <c r="E80" s="183">
        <f t="shared" si="7"/>
        <v>0</v>
      </c>
      <c r="F80" s="184">
        <f t="shared" si="8"/>
        <v>0</v>
      </c>
      <c r="G80" s="8">
        <f>'A4 Demands'!K81</f>
        <v>0</v>
      </c>
      <c r="H80" s="186">
        <f t="shared" si="9"/>
        <v>0</v>
      </c>
      <c r="I80" s="186">
        <f t="shared" si="10"/>
        <v>0</v>
      </c>
      <c r="J80" s="184">
        <f t="shared" si="11"/>
        <v>0</v>
      </c>
    </row>
    <row r="81" spans="1:10" x14ac:dyDescent="0.25">
      <c r="A81" s="193">
        <f>'A4 Demands'!B82</f>
        <v>44136</v>
      </c>
      <c r="B81" s="151">
        <f>'A4 Demands'!C82</f>
        <v>0</v>
      </c>
      <c r="C81" s="155">
        <f>'A4 Demands'!F82</f>
        <v>0</v>
      </c>
      <c r="D81" s="183">
        <f t="shared" si="6"/>
        <v>0</v>
      </c>
      <c r="E81" s="183">
        <f t="shared" si="7"/>
        <v>0</v>
      </c>
      <c r="F81" s="184">
        <f t="shared" si="8"/>
        <v>0</v>
      </c>
      <c r="G81" s="8">
        <f>'A4 Demands'!K82</f>
        <v>0</v>
      </c>
      <c r="H81" s="186">
        <f t="shared" si="9"/>
        <v>0</v>
      </c>
      <c r="I81" s="186">
        <f t="shared" si="10"/>
        <v>0</v>
      </c>
      <c r="J81" s="184">
        <f t="shared" si="11"/>
        <v>0</v>
      </c>
    </row>
    <row r="82" spans="1:10" x14ac:dyDescent="0.25">
      <c r="A82" s="193">
        <f>'A4 Demands'!B83</f>
        <v>44166</v>
      </c>
      <c r="B82" s="151">
        <f>'A4 Demands'!C83</f>
        <v>0</v>
      </c>
      <c r="C82" s="155">
        <f>'A4 Demands'!F83</f>
        <v>0</v>
      </c>
      <c r="D82" s="183">
        <f t="shared" si="6"/>
        <v>0</v>
      </c>
      <c r="E82" s="183">
        <f t="shared" si="7"/>
        <v>0</v>
      </c>
      <c r="F82" s="184">
        <f t="shared" si="8"/>
        <v>0</v>
      </c>
      <c r="G82" s="8">
        <f>'A4 Demands'!K83</f>
        <v>0</v>
      </c>
      <c r="H82" s="186">
        <f t="shared" si="9"/>
        <v>0</v>
      </c>
      <c r="I82" s="186">
        <f t="shared" si="10"/>
        <v>0</v>
      </c>
      <c r="J82" s="184">
        <f t="shared" si="11"/>
        <v>0</v>
      </c>
    </row>
    <row r="83" spans="1:10" x14ac:dyDescent="0.25">
      <c r="A83" s="193">
        <f>'A4 Demands'!B84</f>
        <v>44197</v>
      </c>
      <c r="B83" s="151">
        <f>'A4 Demands'!C84</f>
        <v>0</v>
      </c>
      <c r="C83" s="155">
        <f>'A4 Demands'!F84</f>
        <v>0</v>
      </c>
      <c r="D83" s="183">
        <f t="shared" si="6"/>
        <v>0</v>
      </c>
      <c r="E83" s="183">
        <f t="shared" si="7"/>
        <v>0</v>
      </c>
      <c r="F83" s="184">
        <f t="shared" si="8"/>
        <v>0</v>
      </c>
      <c r="G83" s="8">
        <f>'A4 Demands'!K84</f>
        <v>0</v>
      </c>
      <c r="H83" s="186">
        <f t="shared" si="9"/>
        <v>0</v>
      </c>
      <c r="I83" s="186">
        <f t="shared" si="10"/>
        <v>0</v>
      </c>
      <c r="J83" s="184">
        <f t="shared" si="11"/>
        <v>0</v>
      </c>
    </row>
    <row r="84" spans="1:10" x14ac:dyDescent="0.25">
      <c r="A84" s="193">
        <f>'A4 Demands'!B85</f>
        <v>44228</v>
      </c>
      <c r="B84" s="151">
        <f>'A4 Demands'!C85</f>
        <v>0</v>
      </c>
      <c r="C84" s="155">
        <f>'A4 Demands'!F85</f>
        <v>0</v>
      </c>
      <c r="D84" s="183">
        <f t="shared" si="6"/>
        <v>0</v>
      </c>
      <c r="E84" s="183">
        <f t="shared" si="7"/>
        <v>0</v>
      </c>
      <c r="F84" s="184">
        <f t="shared" si="8"/>
        <v>0</v>
      </c>
      <c r="G84" s="8">
        <f>'A4 Demands'!K85</f>
        <v>0</v>
      </c>
      <c r="H84" s="186">
        <f t="shared" si="9"/>
        <v>0</v>
      </c>
      <c r="I84" s="186">
        <f t="shared" si="10"/>
        <v>0</v>
      </c>
      <c r="J84" s="184">
        <f t="shared" si="11"/>
        <v>0</v>
      </c>
    </row>
    <row r="85" spans="1:10" x14ac:dyDescent="0.25">
      <c r="A85" s="193">
        <f>'A4 Demands'!B86</f>
        <v>44256</v>
      </c>
      <c r="B85" s="151">
        <f>'A4 Demands'!C86</f>
        <v>0</v>
      </c>
      <c r="C85" s="155">
        <f>'A4 Demands'!F86</f>
        <v>0</v>
      </c>
      <c r="D85" s="183">
        <f t="shared" si="6"/>
        <v>0</v>
      </c>
      <c r="E85" s="183">
        <f t="shared" si="7"/>
        <v>0</v>
      </c>
      <c r="F85" s="184">
        <f t="shared" si="8"/>
        <v>0</v>
      </c>
      <c r="G85" s="8">
        <f>'A4 Demands'!K86</f>
        <v>0</v>
      </c>
      <c r="H85" s="186">
        <f t="shared" si="9"/>
        <v>0</v>
      </c>
      <c r="I85" s="186">
        <f t="shared" si="10"/>
        <v>0</v>
      </c>
      <c r="J85" s="184">
        <f t="shared" si="11"/>
        <v>0</v>
      </c>
    </row>
    <row r="86" spans="1:10" x14ac:dyDescent="0.25">
      <c r="A86" s="193">
        <f>'A4 Demands'!B87</f>
        <v>44287</v>
      </c>
      <c r="B86" s="151">
        <f>'A4 Demands'!C87</f>
        <v>0</v>
      </c>
      <c r="C86" s="155">
        <f>'A4 Demands'!F87</f>
        <v>0</v>
      </c>
      <c r="D86" s="183">
        <f t="shared" si="6"/>
        <v>0</v>
      </c>
      <c r="E86" s="183">
        <f t="shared" si="7"/>
        <v>0</v>
      </c>
      <c r="F86" s="184">
        <f t="shared" si="8"/>
        <v>0</v>
      </c>
      <c r="G86" s="8">
        <f>'A4 Demands'!K87</f>
        <v>0</v>
      </c>
      <c r="H86" s="186">
        <f t="shared" si="9"/>
        <v>0</v>
      </c>
      <c r="I86" s="186">
        <f t="shared" si="10"/>
        <v>0</v>
      </c>
      <c r="J86" s="184">
        <f t="shared" si="11"/>
        <v>0</v>
      </c>
    </row>
    <row r="87" spans="1:10" x14ac:dyDescent="0.25">
      <c r="A87" s="193">
        <f>'A4 Demands'!B88</f>
        <v>44317</v>
      </c>
      <c r="B87" s="151">
        <f>'A4 Demands'!C88</f>
        <v>0</v>
      </c>
      <c r="C87" s="155">
        <f>'A4 Demands'!F88</f>
        <v>0</v>
      </c>
      <c r="D87" s="183">
        <f t="shared" si="6"/>
        <v>0</v>
      </c>
      <c r="E87" s="183">
        <f t="shared" si="7"/>
        <v>0</v>
      </c>
      <c r="F87" s="184">
        <f t="shared" si="8"/>
        <v>0</v>
      </c>
      <c r="G87" s="8">
        <f>'A4 Demands'!K88</f>
        <v>0</v>
      </c>
      <c r="H87" s="186">
        <f t="shared" si="9"/>
        <v>0</v>
      </c>
      <c r="I87" s="186">
        <f t="shared" si="10"/>
        <v>0</v>
      </c>
      <c r="J87" s="184">
        <f t="shared" si="11"/>
        <v>0</v>
      </c>
    </row>
    <row r="88" spans="1:10" x14ac:dyDescent="0.25">
      <c r="A88" s="193">
        <f>'A4 Demands'!B89</f>
        <v>44348</v>
      </c>
      <c r="B88" s="151">
        <f>'A4 Demands'!C89</f>
        <v>0</v>
      </c>
      <c r="C88" s="155">
        <f>'A4 Demands'!F89</f>
        <v>0</v>
      </c>
      <c r="D88" s="183">
        <f t="shared" si="6"/>
        <v>0</v>
      </c>
      <c r="E88" s="183">
        <f t="shared" si="7"/>
        <v>0</v>
      </c>
      <c r="F88" s="184">
        <f t="shared" si="8"/>
        <v>0</v>
      </c>
      <c r="G88" s="8">
        <f>'A4 Demands'!K89</f>
        <v>0</v>
      </c>
      <c r="H88" s="186">
        <f t="shared" si="9"/>
        <v>0</v>
      </c>
      <c r="I88" s="186">
        <f t="shared" si="10"/>
        <v>0</v>
      </c>
      <c r="J88" s="184">
        <f t="shared" si="11"/>
        <v>0</v>
      </c>
    </row>
    <row r="89" spans="1:10" x14ac:dyDescent="0.25">
      <c r="A89" s="193">
        <f>'A4 Demands'!B90</f>
        <v>44378</v>
      </c>
      <c r="B89" s="151">
        <f>'A4 Demands'!C90</f>
        <v>0</v>
      </c>
      <c r="C89" s="155">
        <f>'A4 Demands'!F90</f>
        <v>0</v>
      </c>
      <c r="D89" s="183">
        <f t="shared" si="6"/>
        <v>0</v>
      </c>
      <c r="E89" s="183">
        <f t="shared" si="7"/>
        <v>0</v>
      </c>
      <c r="F89" s="184">
        <f t="shared" si="8"/>
        <v>0</v>
      </c>
      <c r="G89" s="8">
        <f>'A4 Demands'!K90</f>
        <v>0</v>
      </c>
      <c r="H89" s="186">
        <f t="shared" si="9"/>
        <v>0</v>
      </c>
      <c r="I89" s="186">
        <f t="shared" si="10"/>
        <v>0</v>
      </c>
      <c r="J89" s="184">
        <f t="shared" si="11"/>
        <v>0</v>
      </c>
    </row>
    <row r="90" spans="1:10" x14ac:dyDescent="0.25">
      <c r="A90" s="193">
        <f>'A4 Demands'!B91</f>
        <v>44409</v>
      </c>
      <c r="B90" s="151">
        <f>'A4 Demands'!C91</f>
        <v>0</v>
      </c>
      <c r="C90" s="155">
        <f>'A4 Demands'!F91</f>
        <v>0</v>
      </c>
      <c r="D90" s="183">
        <f t="shared" si="6"/>
        <v>0</v>
      </c>
      <c r="E90" s="183">
        <f t="shared" si="7"/>
        <v>0</v>
      </c>
      <c r="F90" s="184">
        <f t="shared" si="8"/>
        <v>0</v>
      </c>
      <c r="G90" s="8">
        <f>'A4 Demands'!K91</f>
        <v>0</v>
      </c>
      <c r="H90" s="186">
        <f t="shared" si="9"/>
        <v>0</v>
      </c>
      <c r="I90" s="186">
        <f t="shared" si="10"/>
        <v>0</v>
      </c>
      <c r="J90" s="184">
        <f t="shared" si="11"/>
        <v>0</v>
      </c>
    </row>
    <row r="91" spans="1:10" x14ac:dyDescent="0.25">
      <c r="A91" s="193">
        <f>'A4 Demands'!B92</f>
        <v>44440</v>
      </c>
      <c r="B91" s="151">
        <f>'A4 Demands'!C92</f>
        <v>0</v>
      </c>
      <c r="C91" s="155">
        <f>'A4 Demands'!F92</f>
        <v>0</v>
      </c>
      <c r="D91" s="183">
        <f t="shared" si="6"/>
        <v>0</v>
      </c>
      <c r="E91" s="183">
        <f t="shared" si="7"/>
        <v>0</v>
      </c>
      <c r="F91" s="184">
        <f t="shared" si="8"/>
        <v>0</v>
      </c>
      <c r="G91" s="8">
        <f>'A4 Demands'!K92</f>
        <v>0</v>
      </c>
      <c r="H91" s="186">
        <f t="shared" si="9"/>
        <v>0</v>
      </c>
      <c r="I91" s="186">
        <f t="shared" si="10"/>
        <v>0</v>
      </c>
      <c r="J91" s="184">
        <f t="shared" si="11"/>
        <v>0</v>
      </c>
    </row>
    <row r="92" spans="1:10" x14ac:dyDescent="0.25">
      <c r="A92" s="193">
        <f>'A4 Demands'!B93</f>
        <v>44470</v>
      </c>
      <c r="B92" s="151">
        <f>'A4 Demands'!C93</f>
        <v>0</v>
      </c>
      <c r="C92" s="155">
        <f>'A4 Demands'!F93</f>
        <v>0</v>
      </c>
      <c r="D92" s="183">
        <f t="shared" si="6"/>
        <v>0</v>
      </c>
      <c r="E92" s="183">
        <f t="shared" si="7"/>
        <v>0</v>
      </c>
      <c r="F92" s="184">
        <f t="shared" si="8"/>
        <v>0</v>
      </c>
      <c r="G92" s="8">
        <f>'A4 Demands'!K93</f>
        <v>0</v>
      </c>
      <c r="H92" s="186">
        <f t="shared" si="9"/>
        <v>0</v>
      </c>
      <c r="I92" s="186">
        <f t="shared" si="10"/>
        <v>0</v>
      </c>
      <c r="J92" s="184">
        <f t="shared" si="11"/>
        <v>0</v>
      </c>
    </row>
    <row r="93" spans="1:10" x14ac:dyDescent="0.25">
      <c r="A93" s="193">
        <f>'A4 Demands'!B94</f>
        <v>44501</v>
      </c>
      <c r="B93" s="151">
        <f>'A4 Demands'!C94</f>
        <v>0</v>
      </c>
      <c r="C93" s="155">
        <f>'A4 Demands'!F94</f>
        <v>0</v>
      </c>
      <c r="D93" s="183">
        <f t="shared" si="6"/>
        <v>0</v>
      </c>
      <c r="E93" s="183">
        <f t="shared" si="7"/>
        <v>0</v>
      </c>
      <c r="F93" s="184">
        <f t="shared" si="8"/>
        <v>0</v>
      </c>
      <c r="G93" s="8">
        <f>'A4 Demands'!K94</f>
        <v>0</v>
      </c>
      <c r="H93" s="186">
        <f t="shared" si="9"/>
        <v>0</v>
      </c>
      <c r="I93" s="186">
        <f t="shared" si="10"/>
        <v>0</v>
      </c>
      <c r="J93" s="184">
        <f t="shared" si="11"/>
        <v>0</v>
      </c>
    </row>
    <row r="94" spans="1:10" x14ac:dyDescent="0.25">
      <c r="A94" s="193">
        <f>'A4 Demands'!B95</f>
        <v>44531</v>
      </c>
      <c r="B94" s="151">
        <f>'A4 Demands'!C95</f>
        <v>0</v>
      </c>
      <c r="C94" s="155">
        <f>'A4 Demands'!F95</f>
        <v>0</v>
      </c>
      <c r="D94" s="183">
        <f t="shared" si="6"/>
        <v>0</v>
      </c>
      <c r="E94" s="183">
        <f t="shared" si="7"/>
        <v>0</v>
      </c>
      <c r="F94" s="184">
        <f t="shared" si="8"/>
        <v>0</v>
      </c>
      <c r="G94" s="8">
        <f>'A4 Demands'!K95</f>
        <v>0</v>
      </c>
      <c r="H94" s="186">
        <f t="shared" si="9"/>
        <v>0</v>
      </c>
      <c r="I94" s="186">
        <f t="shared" si="10"/>
        <v>0</v>
      </c>
      <c r="J94" s="184">
        <f t="shared" si="11"/>
        <v>0</v>
      </c>
    </row>
    <row r="95" spans="1:10" x14ac:dyDescent="0.25">
      <c r="A95" s="194">
        <f>'A4 Demands'!B96</f>
        <v>44562</v>
      </c>
      <c r="B95" s="152">
        <f>'A4 Demands'!C96</f>
        <v>0</v>
      </c>
      <c r="C95" s="157">
        <f>'A4 Demands'!F96</f>
        <v>0</v>
      </c>
      <c r="D95" s="189">
        <f t="shared" si="6"/>
        <v>0</v>
      </c>
      <c r="E95" s="189">
        <f t="shared" si="7"/>
        <v>0</v>
      </c>
      <c r="F95" s="190">
        <f t="shared" si="8"/>
        <v>0</v>
      </c>
      <c r="G95" s="10">
        <f>'A4 Demands'!K96</f>
        <v>0</v>
      </c>
      <c r="H95" s="191">
        <f t="shared" si="9"/>
        <v>0</v>
      </c>
      <c r="I95" s="191">
        <f t="shared" si="10"/>
        <v>0</v>
      </c>
      <c r="J95" s="190">
        <f t="shared" si="11"/>
        <v>0</v>
      </c>
    </row>
  </sheetData>
  <sheetProtection sheet="1" objects="1" scenarios="1"/>
  <mergeCells count="23">
    <mergeCell ref="C31:F31"/>
    <mergeCell ref="G31:J31"/>
    <mergeCell ref="I35:J35"/>
    <mergeCell ref="E35:F35"/>
    <mergeCell ref="F19:G19"/>
    <mergeCell ref="F20:G20"/>
    <mergeCell ref="A30:J30"/>
    <mergeCell ref="F22:G22"/>
    <mergeCell ref="F23:G23"/>
    <mergeCell ref="C25:E25"/>
    <mergeCell ref="F25:H25"/>
    <mergeCell ref="F16:H16"/>
    <mergeCell ref="C16:E16"/>
    <mergeCell ref="A1:J1"/>
    <mergeCell ref="C3:G3"/>
    <mergeCell ref="C4:G4"/>
    <mergeCell ref="C5:E5"/>
    <mergeCell ref="G5:H5"/>
    <mergeCell ref="C6:E6"/>
    <mergeCell ref="G6:H6"/>
    <mergeCell ref="I10:J10"/>
    <mergeCell ref="I11:J11"/>
    <mergeCell ref="I12:J12"/>
  </mergeCells>
  <pageMargins left="0.75" right="0.75" top="0.5" bottom="0.85" header="0.5" footer="0.5"/>
  <pageSetup orientation="portrait" r:id="rId1"/>
  <headerFooter alignWithMargins="0">
    <oddFooter>&amp;L&amp;8Attachment to PILON Calculator for 2018 Tariff (AESO ID No. 2018-010T)
Filename: &amp;F — Page &amp;P of &amp;N&amp;R&amp;8Confidentiality: Proprietary When Completed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showGridLines="0" zoomScaleNormal="100" workbookViewId="0">
      <selection sqref="A1:K1"/>
    </sheetView>
  </sheetViews>
  <sheetFormatPr defaultColWidth="8.88671875" defaultRowHeight="13.2" x14ac:dyDescent="0.25"/>
  <cols>
    <col min="1" max="1" width="6" style="138" customWidth="1"/>
    <col min="2" max="2" width="7.6640625" style="147" customWidth="1"/>
    <col min="3" max="4" width="8.5546875" style="148" customWidth="1"/>
    <col min="5" max="5" width="8.5546875" style="149" customWidth="1"/>
    <col min="6" max="11" width="8.5546875" style="148" customWidth="1"/>
    <col min="12" max="16384" width="8.88671875" style="149"/>
  </cols>
  <sheetData>
    <row r="1" spans="1:11" ht="17.399999999999999" x14ac:dyDescent="0.45">
      <c r="A1" s="427" t="s">
        <v>99</v>
      </c>
      <c r="B1" s="427"/>
      <c r="C1" s="427"/>
      <c r="D1" s="427"/>
      <c r="E1" s="427"/>
      <c r="F1" s="427"/>
      <c r="G1" s="427"/>
      <c r="H1" s="427"/>
      <c r="I1" s="427"/>
      <c r="J1" s="427"/>
      <c r="K1" s="427"/>
    </row>
    <row r="2" spans="1:11" ht="7.95" customHeight="1" x14ac:dyDescent="0.25"/>
    <row r="3" spans="1:11" x14ac:dyDescent="0.25">
      <c r="A3" s="138" t="s">
        <v>4</v>
      </c>
      <c r="C3" s="428" t="str">
        <f>ParticipantName</f>
        <v>Name of Market Participant (Customer)</v>
      </c>
      <c r="D3" s="428"/>
      <c r="E3" s="428"/>
      <c r="F3" s="428"/>
      <c r="G3" s="428"/>
      <c r="I3" s="148" t="s">
        <v>1</v>
      </c>
      <c r="J3" s="430" t="str">
        <f>'A1 Contract'!I3</f>
        <v>AESO 2018</v>
      </c>
      <c r="K3" s="430"/>
    </row>
    <row r="4" spans="1:11" x14ac:dyDescent="0.25">
      <c r="A4" s="138" t="s">
        <v>0</v>
      </c>
      <c r="C4" s="428" t="str">
        <f>ProjectName</f>
        <v>Project Name</v>
      </c>
      <c r="D4" s="428"/>
      <c r="E4" s="428"/>
      <c r="F4" s="428"/>
      <c r="G4" s="428"/>
      <c r="I4" s="148" t="s">
        <v>2</v>
      </c>
      <c r="J4" s="430" t="str">
        <f>'A1 Contract'!I4</f>
        <v>1 Jan 2018</v>
      </c>
      <c r="K4" s="430"/>
    </row>
    <row r="5" spans="1:11" x14ac:dyDescent="0.25">
      <c r="A5" s="138" t="s">
        <v>12</v>
      </c>
      <c r="C5" s="429" t="str">
        <f>ProjectNumber</f>
        <v>Project Number</v>
      </c>
      <c r="D5" s="429"/>
      <c r="E5" s="176" t="s">
        <v>3</v>
      </c>
      <c r="F5" s="430" t="str">
        <f>ProjectType</f>
        <v>DTS Only</v>
      </c>
      <c r="G5" s="430"/>
      <c r="H5" s="430"/>
      <c r="I5" s="148" t="s">
        <v>11</v>
      </c>
      <c r="J5" s="430" t="str">
        <f>'A1 Contract'!I5</f>
        <v>Current</v>
      </c>
      <c r="K5" s="430"/>
    </row>
    <row r="6" spans="1:11" x14ac:dyDescent="0.25">
      <c r="A6" s="138" t="s">
        <v>20</v>
      </c>
      <c r="C6" s="430" t="str">
        <f>PreparerName</f>
        <v>Name of Preparer</v>
      </c>
      <c r="D6" s="430"/>
      <c r="E6" s="176" t="s">
        <v>21</v>
      </c>
      <c r="F6" s="431" t="str">
        <f>PreparationDate</f>
        <v>Date Prepared</v>
      </c>
      <c r="G6" s="431"/>
      <c r="H6" s="431"/>
      <c r="I6" s="254" t="s">
        <v>22</v>
      </c>
      <c r="J6" s="453" t="str">
        <f>'A1 Contract'!I6</f>
        <v>2018.0.0</v>
      </c>
      <c r="K6" s="453"/>
    </row>
    <row r="8" spans="1:11" x14ac:dyDescent="0.25">
      <c r="A8" s="177" t="s">
        <v>117</v>
      </c>
      <c r="B8" s="178"/>
      <c r="C8" s="18"/>
      <c r="D8" s="18"/>
      <c r="E8" s="1"/>
      <c r="F8" s="18"/>
      <c r="G8" s="18"/>
      <c r="H8" s="18"/>
      <c r="I8" s="18"/>
      <c r="J8" s="18"/>
      <c r="K8" s="18"/>
    </row>
    <row r="10" spans="1:11" x14ac:dyDescent="0.25">
      <c r="A10" s="16"/>
      <c r="B10" s="3"/>
      <c r="C10" s="4" t="s">
        <v>62</v>
      </c>
      <c r="D10" s="434" t="s">
        <v>115</v>
      </c>
      <c r="E10" s="435"/>
      <c r="F10" s="436"/>
      <c r="G10" s="437" t="s">
        <v>116</v>
      </c>
      <c r="H10" s="438"/>
      <c r="I10" s="438"/>
      <c r="J10" s="438"/>
      <c r="K10" s="439"/>
    </row>
    <row r="11" spans="1:11" s="137" customFormat="1" x14ac:dyDescent="0.25">
      <c r="A11" s="202"/>
      <c r="B11" s="195"/>
      <c r="C11" s="161" t="s">
        <v>63</v>
      </c>
      <c r="D11" s="16" t="s">
        <v>82</v>
      </c>
      <c r="E11" s="168" t="s">
        <v>60</v>
      </c>
      <c r="F11" s="159" t="s">
        <v>81</v>
      </c>
      <c r="G11" s="160" t="s">
        <v>82</v>
      </c>
      <c r="H11" s="168" t="s">
        <v>60</v>
      </c>
      <c r="I11" s="168" t="s">
        <v>86</v>
      </c>
      <c r="J11" s="168" t="s">
        <v>85</v>
      </c>
      <c r="K11" s="159" t="s">
        <v>81</v>
      </c>
    </row>
    <row r="12" spans="1:11" s="137" customFormat="1" x14ac:dyDescent="0.25">
      <c r="A12" s="164" t="s">
        <v>8</v>
      </c>
      <c r="B12" s="165" t="s">
        <v>17</v>
      </c>
      <c r="C12" s="233" t="s">
        <v>72</v>
      </c>
      <c r="D12" s="5" t="s">
        <v>83</v>
      </c>
      <c r="E12" s="167" t="s">
        <v>49</v>
      </c>
      <c r="F12" s="166" t="s">
        <v>49</v>
      </c>
      <c r="G12" s="169" t="s">
        <v>83</v>
      </c>
      <c r="H12" s="167" t="s">
        <v>49</v>
      </c>
      <c r="I12" s="167" t="s">
        <v>87</v>
      </c>
      <c r="J12" s="167" t="s">
        <v>49</v>
      </c>
      <c r="K12" s="166" t="s">
        <v>49</v>
      </c>
    </row>
    <row r="13" spans="1:11" x14ac:dyDescent="0.25">
      <c r="A13" s="170">
        <f>IF(B13&lt;MIN('A1 Contract'!$B$25:$B$34),0,IF(B13&gt;MAX('A1 Contract'!$B$25:$B$34),MAX('A1 Contract'!$A$25:$A$34),LOOKUP(B13,'A1 Contract'!$B$25:$B$34,'A1 Contract'!$A$25:$A$34)))</f>
        <v>0</v>
      </c>
      <c r="B13" s="173">
        <f>DATE(YEAR(NoticeStartDate),MONTH(NoticeStartDate)-24,1)</f>
        <v>42036</v>
      </c>
      <c r="C13" s="150">
        <f t="shared" ref="C13:C44" si="0">IF(ISNUMBER(VLOOKUP($B13,HistoryLookup,8,FALSE)),VLOOKUP($B13,HistoryLookup,8,FALSE),IF(AND($B13&lt;EffectiveWithPILON,ISNUMBER(AverageDemand)),AverageDemand,VLOOKUP($A13,ContractLookup,4,FALSE)))</f>
        <v>0</v>
      </c>
      <c r="D13" s="153" t="str">
        <f>IF($A13=0,"",MAX(C$13:C13))</f>
        <v/>
      </c>
      <c r="E13" s="154" t="str">
        <f t="shared" ref="E13:E44" si="1">IF($A13=0,"",VLOOKUP($A13,ContractLookup,7,FALSE))</f>
        <v/>
      </c>
      <c r="F13" s="150" t="str">
        <f>IF($A13=0,"",MAX(C13,90%*D13,90%*E13))</f>
        <v/>
      </c>
      <c r="G13" s="6" t="str">
        <f t="shared" ref="G13:G44" si="2">IF(AND(ReducedOrTerminated="Terminated",$B13&gt;=EffectiveWithPILON),0,IF(AND($B13&gt;=EffectiveWithPILON,$B13&lt;DATE(YEAR(EffectiveWithPILON),MONTH(EffectiveWithPILON)+24,1)),D13-MAX((E13-J13),0),IF(B13&gt;=NoticeStartDate,D13,"")))</f>
        <v/>
      </c>
      <c r="H13" s="13" t="str">
        <f t="shared" ref="H13:H44" si="3">IF(AND(ReducedOrTerminated="Terminated",$B13&gt;=EffectiveWithPILON),0,IF(A13=0,"",IF(B13&lt;EffectiveWithPILON,VLOOKUP(A13,ContractLookup,7,FALSE),VLOOKUP(A13,ContractLookup,4,FALSE))))</f>
        <v/>
      </c>
      <c r="I13" s="13" t="str">
        <f t="shared" ref="I13:I44" si="4">IF(AND($B13&gt;=NoticeStartDate,$B13&lt;EffectiveWithPILON),IF(C13&gt;E13,C13-E13,""),"")</f>
        <v/>
      </c>
      <c r="J13" s="13" t="str">
        <f>IF(AND(ReducedOrTerminated="Terminated",$B13&gt;=EffectiveWithPILON),0,IF(B13&gt;=EffectiveWithPILON,H13+MAX(I$13:I13),IF(B13&gt;=NoticeStartDate,H13,"")))</f>
        <v/>
      </c>
      <c r="K13" s="7" t="str">
        <f>IF(A13=0,"",MAX(C13,90%*G13,90%*J13))</f>
        <v/>
      </c>
    </row>
    <row r="14" spans="1:11" x14ac:dyDescent="0.25">
      <c r="A14" s="171">
        <f>IF(B14&lt;MIN('A1 Contract'!$B$25:$B$34),0,IF(B14&gt;MAX('A1 Contract'!$B$25:$B$34),MAX('A1 Contract'!$A$25:$A$34),LOOKUP(B14,'A1 Contract'!$B$25:$B$34,'A1 Contract'!$A$25:$A$34)))</f>
        <v>0</v>
      </c>
      <c r="B14" s="174">
        <f>DATE(YEAR(B13),MONTH(B13)+1,1)</f>
        <v>42064</v>
      </c>
      <c r="C14" s="151">
        <f t="shared" si="0"/>
        <v>0</v>
      </c>
      <c r="D14" s="155" t="str">
        <f>IF($A14=0,"",MAX(C$13:C14))</f>
        <v/>
      </c>
      <c r="E14" s="156" t="str">
        <f t="shared" si="1"/>
        <v/>
      </c>
      <c r="F14" s="151" t="str">
        <f t="shared" ref="F14:F77" si="5">IF($A14=0,"",MAX(C14,90%*D14,90%*E14))</f>
        <v/>
      </c>
      <c r="G14" s="8" t="str">
        <f t="shared" si="2"/>
        <v/>
      </c>
      <c r="H14" s="14" t="str">
        <f t="shared" si="3"/>
        <v/>
      </c>
      <c r="I14" s="14" t="str">
        <f t="shared" si="4"/>
        <v/>
      </c>
      <c r="J14" s="14" t="str">
        <f>IF(AND(ReducedOrTerminated="Terminated",$B14&gt;=EffectiveWithPILON),0,IF(B14&gt;=EffectiveWithPILON,H14+MAX(I$13:I14),IF(B14&gt;=NoticeStartDate,H14,"")))</f>
        <v/>
      </c>
      <c r="K14" s="9" t="str">
        <f t="shared" ref="K14:K77" si="6">IF(A14=0,"",MAX(C14,90%*G14,90%*J14))</f>
        <v/>
      </c>
    </row>
    <row r="15" spans="1:11" x14ac:dyDescent="0.25">
      <c r="A15" s="171">
        <f>IF(B15&lt;MIN('A1 Contract'!$B$25:$B$34),0,IF(B15&gt;MAX('A1 Contract'!$B$25:$B$34),MAX('A1 Contract'!$A$25:$A$34),LOOKUP(B15,'A1 Contract'!$B$25:$B$34,'A1 Contract'!$A$25:$A$34)))</f>
        <v>0</v>
      </c>
      <c r="B15" s="174">
        <f t="shared" ref="B15:B78" si="7">DATE(YEAR(B14),MONTH(B14)+1,1)</f>
        <v>42095</v>
      </c>
      <c r="C15" s="151">
        <f t="shared" si="0"/>
        <v>0</v>
      </c>
      <c r="D15" s="155" t="str">
        <f>IF($A15=0,"",MAX(C$13:C15))</f>
        <v/>
      </c>
      <c r="E15" s="156" t="str">
        <f t="shared" si="1"/>
        <v/>
      </c>
      <c r="F15" s="151" t="str">
        <f t="shared" si="5"/>
        <v/>
      </c>
      <c r="G15" s="8" t="str">
        <f t="shared" si="2"/>
        <v/>
      </c>
      <c r="H15" s="14" t="str">
        <f t="shared" si="3"/>
        <v/>
      </c>
      <c r="I15" s="14" t="str">
        <f t="shared" si="4"/>
        <v/>
      </c>
      <c r="J15" s="14" t="str">
        <f>IF(AND(ReducedOrTerminated="Terminated",$B15&gt;=EffectiveWithPILON),0,IF(B15&gt;=EffectiveWithPILON,H15+MAX(I$13:I15),IF(B15&gt;=NoticeStartDate,H15,"")))</f>
        <v/>
      </c>
      <c r="K15" s="9" t="str">
        <f t="shared" si="6"/>
        <v/>
      </c>
    </row>
    <row r="16" spans="1:11" x14ac:dyDescent="0.25">
      <c r="A16" s="171">
        <f>IF(B16&lt;MIN('A1 Contract'!$B$25:$B$34),0,IF(B16&gt;MAX('A1 Contract'!$B$25:$B$34),MAX('A1 Contract'!$A$25:$A$34),LOOKUP(B16,'A1 Contract'!$B$25:$B$34,'A1 Contract'!$A$25:$A$34)))</f>
        <v>0</v>
      </c>
      <c r="B16" s="174">
        <f t="shared" si="7"/>
        <v>42125</v>
      </c>
      <c r="C16" s="151">
        <f t="shared" si="0"/>
        <v>0</v>
      </c>
      <c r="D16" s="155" t="str">
        <f>IF($A16=0,"",MAX(C$13:C16))</f>
        <v/>
      </c>
      <c r="E16" s="156" t="str">
        <f t="shared" si="1"/>
        <v/>
      </c>
      <c r="F16" s="151" t="str">
        <f t="shared" si="5"/>
        <v/>
      </c>
      <c r="G16" s="8" t="str">
        <f t="shared" si="2"/>
        <v/>
      </c>
      <c r="H16" s="14" t="str">
        <f t="shared" si="3"/>
        <v/>
      </c>
      <c r="I16" s="14" t="str">
        <f t="shared" si="4"/>
        <v/>
      </c>
      <c r="J16" s="14" t="str">
        <f>IF(AND(ReducedOrTerminated="Terminated",$B16&gt;=EffectiveWithPILON),0,IF(B16&gt;=EffectiveWithPILON,H16+MAX(I$13:I16),IF(B16&gt;=NoticeStartDate,H16,"")))</f>
        <v/>
      </c>
      <c r="K16" s="9" t="str">
        <f t="shared" si="6"/>
        <v/>
      </c>
    </row>
    <row r="17" spans="1:11" x14ac:dyDescent="0.25">
      <c r="A17" s="171">
        <f>IF(B17&lt;MIN('A1 Contract'!$B$25:$B$34),0,IF(B17&gt;MAX('A1 Contract'!$B$25:$B$34),MAX('A1 Contract'!$A$25:$A$34),LOOKUP(B17,'A1 Contract'!$B$25:$B$34,'A1 Contract'!$A$25:$A$34)))</f>
        <v>0</v>
      </c>
      <c r="B17" s="174">
        <f t="shared" si="7"/>
        <v>42156</v>
      </c>
      <c r="C17" s="151">
        <f t="shared" si="0"/>
        <v>0</v>
      </c>
      <c r="D17" s="155" t="str">
        <f>IF($A17=0,"",MAX(C$13:C17))</f>
        <v/>
      </c>
      <c r="E17" s="156" t="str">
        <f t="shared" si="1"/>
        <v/>
      </c>
      <c r="F17" s="151" t="str">
        <f t="shared" si="5"/>
        <v/>
      </c>
      <c r="G17" s="8" t="str">
        <f t="shared" si="2"/>
        <v/>
      </c>
      <c r="H17" s="14" t="str">
        <f t="shared" si="3"/>
        <v/>
      </c>
      <c r="I17" s="14" t="str">
        <f t="shared" si="4"/>
        <v/>
      </c>
      <c r="J17" s="14" t="str">
        <f>IF(AND(ReducedOrTerminated="Terminated",$B17&gt;=EffectiveWithPILON),0,IF(B17&gt;=EffectiveWithPILON,H17+MAX(I$13:I17),IF(B17&gt;=NoticeStartDate,H17,"")))</f>
        <v/>
      </c>
      <c r="K17" s="9" t="str">
        <f t="shared" si="6"/>
        <v/>
      </c>
    </row>
    <row r="18" spans="1:11" x14ac:dyDescent="0.25">
      <c r="A18" s="171">
        <f>IF(B18&lt;MIN('A1 Contract'!$B$25:$B$34),0,IF(B18&gt;MAX('A1 Contract'!$B$25:$B$34),MAX('A1 Contract'!$A$25:$A$34),LOOKUP(B18,'A1 Contract'!$B$25:$B$34,'A1 Contract'!$A$25:$A$34)))</f>
        <v>0</v>
      </c>
      <c r="B18" s="174">
        <f t="shared" si="7"/>
        <v>42186</v>
      </c>
      <c r="C18" s="151">
        <f t="shared" si="0"/>
        <v>0</v>
      </c>
      <c r="D18" s="155" t="str">
        <f>IF($A18=0,"",MAX(C$13:C18))</f>
        <v/>
      </c>
      <c r="E18" s="156" t="str">
        <f t="shared" si="1"/>
        <v/>
      </c>
      <c r="F18" s="151" t="str">
        <f t="shared" si="5"/>
        <v/>
      </c>
      <c r="G18" s="8" t="str">
        <f t="shared" si="2"/>
        <v/>
      </c>
      <c r="H18" s="14" t="str">
        <f t="shared" si="3"/>
        <v/>
      </c>
      <c r="I18" s="14" t="str">
        <f t="shared" si="4"/>
        <v/>
      </c>
      <c r="J18" s="14" t="str">
        <f>IF(AND(ReducedOrTerminated="Terminated",$B18&gt;=EffectiveWithPILON),0,IF(B18&gt;=EffectiveWithPILON,H18+MAX(I$13:I18),IF(B18&gt;=NoticeStartDate,H18,"")))</f>
        <v/>
      </c>
      <c r="K18" s="9" t="str">
        <f t="shared" si="6"/>
        <v/>
      </c>
    </row>
    <row r="19" spans="1:11" x14ac:dyDescent="0.25">
      <c r="A19" s="171">
        <f>IF(B19&lt;MIN('A1 Contract'!$B$25:$B$34),0,IF(B19&gt;MAX('A1 Contract'!$B$25:$B$34),MAX('A1 Contract'!$A$25:$A$34),LOOKUP(B19,'A1 Contract'!$B$25:$B$34,'A1 Contract'!$A$25:$A$34)))</f>
        <v>0</v>
      </c>
      <c r="B19" s="174">
        <f t="shared" si="7"/>
        <v>42217</v>
      </c>
      <c r="C19" s="151">
        <f t="shared" si="0"/>
        <v>0</v>
      </c>
      <c r="D19" s="155" t="str">
        <f>IF($A19=0,"",MAX(C$13:C19))</f>
        <v/>
      </c>
      <c r="E19" s="156" t="str">
        <f t="shared" si="1"/>
        <v/>
      </c>
      <c r="F19" s="151" t="str">
        <f t="shared" si="5"/>
        <v/>
      </c>
      <c r="G19" s="8" t="str">
        <f t="shared" si="2"/>
        <v/>
      </c>
      <c r="H19" s="14" t="str">
        <f t="shared" si="3"/>
        <v/>
      </c>
      <c r="I19" s="14" t="str">
        <f t="shared" si="4"/>
        <v/>
      </c>
      <c r="J19" s="14" t="str">
        <f>IF(AND(ReducedOrTerminated="Terminated",$B19&gt;=EffectiveWithPILON),0,IF(B19&gt;=EffectiveWithPILON,H19+MAX(I$13:I19),IF(B19&gt;=NoticeStartDate,H19,"")))</f>
        <v/>
      </c>
      <c r="K19" s="9" t="str">
        <f t="shared" si="6"/>
        <v/>
      </c>
    </row>
    <row r="20" spans="1:11" x14ac:dyDescent="0.25">
      <c r="A20" s="171">
        <f>IF(B20&lt;MIN('A1 Contract'!$B$25:$B$34),0,IF(B20&gt;MAX('A1 Contract'!$B$25:$B$34),MAX('A1 Contract'!$A$25:$A$34),LOOKUP(B20,'A1 Contract'!$B$25:$B$34,'A1 Contract'!$A$25:$A$34)))</f>
        <v>0</v>
      </c>
      <c r="B20" s="174">
        <f t="shared" si="7"/>
        <v>42248</v>
      </c>
      <c r="C20" s="151">
        <f t="shared" si="0"/>
        <v>0</v>
      </c>
      <c r="D20" s="155" t="str">
        <f>IF($A20=0,"",MAX(C$13:C20))</f>
        <v/>
      </c>
      <c r="E20" s="156" t="str">
        <f t="shared" si="1"/>
        <v/>
      </c>
      <c r="F20" s="151" t="str">
        <f t="shared" si="5"/>
        <v/>
      </c>
      <c r="G20" s="8" t="str">
        <f t="shared" si="2"/>
        <v/>
      </c>
      <c r="H20" s="14" t="str">
        <f t="shared" si="3"/>
        <v/>
      </c>
      <c r="I20" s="14" t="str">
        <f t="shared" si="4"/>
        <v/>
      </c>
      <c r="J20" s="14" t="str">
        <f>IF(AND(ReducedOrTerminated="Terminated",$B20&gt;=EffectiveWithPILON),0,IF(B20&gt;=EffectiveWithPILON,H20+MAX(I$13:I20),IF(B20&gt;=NoticeStartDate,H20,"")))</f>
        <v/>
      </c>
      <c r="K20" s="9" t="str">
        <f t="shared" si="6"/>
        <v/>
      </c>
    </row>
    <row r="21" spans="1:11" x14ac:dyDescent="0.25">
      <c r="A21" s="171">
        <f>IF(B21&lt;MIN('A1 Contract'!$B$25:$B$34),0,IF(B21&gt;MAX('A1 Contract'!$B$25:$B$34),MAX('A1 Contract'!$A$25:$A$34),LOOKUP(B21,'A1 Contract'!$B$25:$B$34,'A1 Contract'!$A$25:$A$34)))</f>
        <v>0</v>
      </c>
      <c r="B21" s="174">
        <f t="shared" si="7"/>
        <v>42278</v>
      </c>
      <c r="C21" s="151">
        <f t="shared" si="0"/>
        <v>0</v>
      </c>
      <c r="D21" s="155" t="str">
        <f>IF($A21=0,"",MAX(C$13:C21))</f>
        <v/>
      </c>
      <c r="E21" s="156" t="str">
        <f t="shared" si="1"/>
        <v/>
      </c>
      <c r="F21" s="151" t="str">
        <f t="shared" si="5"/>
        <v/>
      </c>
      <c r="G21" s="8" t="str">
        <f t="shared" si="2"/>
        <v/>
      </c>
      <c r="H21" s="14" t="str">
        <f t="shared" si="3"/>
        <v/>
      </c>
      <c r="I21" s="14" t="str">
        <f t="shared" si="4"/>
        <v/>
      </c>
      <c r="J21" s="14" t="str">
        <f>IF(AND(ReducedOrTerminated="Terminated",$B21&gt;=EffectiveWithPILON),0,IF(B21&gt;=EffectiveWithPILON,H21+MAX(I$13:I21),IF(B21&gt;=NoticeStartDate,H21,"")))</f>
        <v/>
      </c>
      <c r="K21" s="9" t="str">
        <f t="shared" si="6"/>
        <v/>
      </c>
    </row>
    <row r="22" spans="1:11" x14ac:dyDescent="0.25">
      <c r="A22" s="171">
        <f>IF(B22&lt;MIN('A1 Contract'!$B$25:$B$34),0,IF(B22&gt;MAX('A1 Contract'!$B$25:$B$34),MAX('A1 Contract'!$A$25:$A$34),LOOKUP(B22,'A1 Contract'!$B$25:$B$34,'A1 Contract'!$A$25:$A$34)))</f>
        <v>0</v>
      </c>
      <c r="B22" s="174">
        <f t="shared" si="7"/>
        <v>42309</v>
      </c>
      <c r="C22" s="151">
        <f t="shared" si="0"/>
        <v>0</v>
      </c>
      <c r="D22" s="155" t="str">
        <f>IF($A22=0,"",MAX(C$13:C22))</f>
        <v/>
      </c>
      <c r="E22" s="156" t="str">
        <f t="shared" si="1"/>
        <v/>
      </c>
      <c r="F22" s="151" t="str">
        <f t="shared" si="5"/>
        <v/>
      </c>
      <c r="G22" s="8" t="str">
        <f t="shared" si="2"/>
        <v/>
      </c>
      <c r="H22" s="14" t="str">
        <f t="shared" si="3"/>
        <v/>
      </c>
      <c r="I22" s="14" t="str">
        <f t="shared" si="4"/>
        <v/>
      </c>
      <c r="J22" s="14" t="str">
        <f>IF(AND(ReducedOrTerminated="Terminated",$B22&gt;=EffectiveWithPILON),0,IF(B22&gt;=EffectiveWithPILON,H22+MAX(I$13:I22),IF(B22&gt;=NoticeStartDate,H22,"")))</f>
        <v/>
      </c>
      <c r="K22" s="9" t="str">
        <f t="shared" si="6"/>
        <v/>
      </c>
    </row>
    <row r="23" spans="1:11" x14ac:dyDescent="0.25">
      <c r="A23" s="171">
        <f>IF(B23&lt;MIN('A1 Contract'!$B$25:$B$34),0,IF(B23&gt;MAX('A1 Contract'!$B$25:$B$34),MAX('A1 Contract'!$A$25:$A$34),LOOKUP(B23,'A1 Contract'!$B$25:$B$34,'A1 Contract'!$A$25:$A$34)))</f>
        <v>0</v>
      </c>
      <c r="B23" s="174">
        <f t="shared" si="7"/>
        <v>42339</v>
      </c>
      <c r="C23" s="151">
        <f t="shared" si="0"/>
        <v>0</v>
      </c>
      <c r="D23" s="155" t="str">
        <f>IF($A23=0,"",MAX(C$13:C23))</f>
        <v/>
      </c>
      <c r="E23" s="156" t="str">
        <f t="shared" si="1"/>
        <v/>
      </c>
      <c r="F23" s="151" t="str">
        <f t="shared" si="5"/>
        <v/>
      </c>
      <c r="G23" s="8" t="str">
        <f t="shared" si="2"/>
        <v/>
      </c>
      <c r="H23" s="14" t="str">
        <f t="shared" si="3"/>
        <v/>
      </c>
      <c r="I23" s="14" t="str">
        <f t="shared" si="4"/>
        <v/>
      </c>
      <c r="J23" s="14" t="str">
        <f>IF(AND(ReducedOrTerminated="Terminated",$B23&gt;=EffectiveWithPILON),0,IF(B23&gt;=EffectiveWithPILON,H23+MAX(I$13:I23),IF(B23&gt;=NoticeStartDate,H23,"")))</f>
        <v/>
      </c>
      <c r="K23" s="9" t="str">
        <f t="shared" si="6"/>
        <v/>
      </c>
    </row>
    <row r="24" spans="1:11" x14ac:dyDescent="0.25">
      <c r="A24" s="171">
        <f>IF(B24&lt;MIN('A1 Contract'!$B$25:$B$34),0,IF(B24&gt;MAX('A1 Contract'!$B$25:$B$34),MAX('A1 Contract'!$A$25:$A$34),LOOKUP(B24,'A1 Contract'!$B$25:$B$34,'A1 Contract'!$A$25:$A$34)))</f>
        <v>0</v>
      </c>
      <c r="B24" s="174">
        <f t="shared" si="7"/>
        <v>42370</v>
      </c>
      <c r="C24" s="151">
        <f t="shared" si="0"/>
        <v>0</v>
      </c>
      <c r="D24" s="155" t="str">
        <f>IF($A24=0,"",MAX(C$13:C24))</f>
        <v/>
      </c>
      <c r="E24" s="156" t="str">
        <f t="shared" si="1"/>
        <v/>
      </c>
      <c r="F24" s="151" t="str">
        <f t="shared" si="5"/>
        <v/>
      </c>
      <c r="G24" s="8" t="str">
        <f t="shared" si="2"/>
        <v/>
      </c>
      <c r="H24" s="14" t="str">
        <f t="shared" si="3"/>
        <v/>
      </c>
      <c r="I24" s="14" t="str">
        <f t="shared" si="4"/>
        <v/>
      </c>
      <c r="J24" s="14" t="str">
        <f>IF(AND(ReducedOrTerminated="Terminated",$B24&gt;=EffectiveWithPILON),0,IF(B24&gt;=EffectiveWithPILON,H24+MAX(I$13:I24),IF(B24&gt;=NoticeStartDate,H24,"")))</f>
        <v/>
      </c>
      <c r="K24" s="9" t="str">
        <f t="shared" si="6"/>
        <v/>
      </c>
    </row>
    <row r="25" spans="1:11" x14ac:dyDescent="0.25">
      <c r="A25" s="171">
        <f>IF(B25&lt;MIN('A1 Contract'!$B$25:$B$34),0,IF(B25&gt;MAX('A1 Contract'!$B$25:$B$34),MAX('A1 Contract'!$A$25:$A$34),LOOKUP(B25,'A1 Contract'!$B$25:$B$34,'A1 Contract'!$A$25:$A$34)))</f>
        <v>0</v>
      </c>
      <c r="B25" s="174">
        <f t="shared" si="7"/>
        <v>42401</v>
      </c>
      <c r="C25" s="151">
        <f t="shared" si="0"/>
        <v>0</v>
      </c>
      <c r="D25" s="155" t="str">
        <f>IF($A25=0,"",MAX(C$13:C25))</f>
        <v/>
      </c>
      <c r="E25" s="156" t="str">
        <f t="shared" si="1"/>
        <v/>
      </c>
      <c r="F25" s="151" t="str">
        <f t="shared" si="5"/>
        <v/>
      </c>
      <c r="G25" s="8" t="str">
        <f t="shared" si="2"/>
        <v/>
      </c>
      <c r="H25" s="14" t="str">
        <f t="shared" si="3"/>
        <v/>
      </c>
      <c r="I25" s="14" t="str">
        <f t="shared" si="4"/>
        <v/>
      </c>
      <c r="J25" s="14" t="str">
        <f>IF(AND(ReducedOrTerminated="Terminated",$B25&gt;=EffectiveWithPILON),0,IF(B25&gt;=EffectiveWithPILON,H25+MAX(I$13:I25),IF(B25&gt;=NoticeStartDate,H25,"")))</f>
        <v/>
      </c>
      <c r="K25" s="9" t="str">
        <f t="shared" si="6"/>
        <v/>
      </c>
    </row>
    <row r="26" spans="1:11" x14ac:dyDescent="0.25">
      <c r="A26" s="171">
        <f>IF(B26&lt;MIN('A1 Contract'!$B$25:$B$34),0,IF(B26&gt;MAX('A1 Contract'!$B$25:$B$34),MAX('A1 Contract'!$A$25:$A$34),LOOKUP(B26,'A1 Contract'!$B$25:$B$34,'A1 Contract'!$A$25:$A$34)))</f>
        <v>0</v>
      </c>
      <c r="B26" s="174">
        <f t="shared" si="7"/>
        <v>42430</v>
      </c>
      <c r="C26" s="151">
        <f t="shared" si="0"/>
        <v>0</v>
      </c>
      <c r="D26" s="155" t="str">
        <f>IF($A26=0,"",MAX(C$13:C26))</f>
        <v/>
      </c>
      <c r="E26" s="156" t="str">
        <f t="shared" si="1"/>
        <v/>
      </c>
      <c r="F26" s="151" t="str">
        <f t="shared" si="5"/>
        <v/>
      </c>
      <c r="G26" s="8" t="str">
        <f t="shared" si="2"/>
        <v/>
      </c>
      <c r="H26" s="14" t="str">
        <f t="shared" si="3"/>
        <v/>
      </c>
      <c r="I26" s="14" t="str">
        <f t="shared" si="4"/>
        <v/>
      </c>
      <c r="J26" s="14" t="str">
        <f>IF(AND(ReducedOrTerminated="Terminated",$B26&gt;=EffectiveWithPILON),0,IF(B26&gt;=EffectiveWithPILON,H26+MAX(I$13:I26),IF(B26&gt;=NoticeStartDate,H26,"")))</f>
        <v/>
      </c>
      <c r="K26" s="9" t="str">
        <f t="shared" si="6"/>
        <v/>
      </c>
    </row>
    <row r="27" spans="1:11" x14ac:dyDescent="0.25">
      <c r="A27" s="171">
        <f>IF(B27&lt;MIN('A1 Contract'!$B$25:$B$34),0,IF(B27&gt;MAX('A1 Contract'!$B$25:$B$34),MAX('A1 Contract'!$A$25:$A$34),LOOKUP(B27,'A1 Contract'!$B$25:$B$34,'A1 Contract'!$A$25:$A$34)))</f>
        <v>0</v>
      </c>
      <c r="B27" s="174">
        <f t="shared" si="7"/>
        <v>42461</v>
      </c>
      <c r="C27" s="151">
        <f t="shared" si="0"/>
        <v>0</v>
      </c>
      <c r="D27" s="155" t="str">
        <f>IF($A27=0,"",MAX(C$13:C27))</f>
        <v/>
      </c>
      <c r="E27" s="156" t="str">
        <f t="shared" si="1"/>
        <v/>
      </c>
      <c r="F27" s="151" t="str">
        <f t="shared" si="5"/>
        <v/>
      </c>
      <c r="G27" s="8" t="str">
        <f t="shared" si="2"/>
        <v/>
      </c>
      <c r="H27" s="14" t="str">
        <f t="shared" si="3"/>
        <v/>
      </c>
      <c r="I27" s="14" t="str">
        <f t="shared" si="4"/>
        <v/>
      </c>
      <c r="J27" s="14" t="str">
        <f>IF(AND(ReducedOrTerminated="Terminated",$B27&gt;=EffectiveWithPILON),0,IF(B27&gt;=EffectiveWithPILON,H27+MAX(I$13:I27),IF(B27&gt;=NoticeStartDate,H27,"")))</f>
        <v/>
      </c>
      <c r="K27" s="9" t="str">
        <f t="shared" si="6"/>
        <v/>
      </c>
    </row>
    <row r="28" spans="1:11" x14ac:dyDescent="0.25">
      <c r="A28" s="171">
        <f>IF(B28&lt;MIN('A1 Contract'!$B$25:$B$34),0,IF(B28&gt;MAX('A1 Contract'!$B$25:$B$34),MAX('A1 Contract'!$A$25:$A$34),LOOKUP(B28,'A1 Contract'!$B$25:$B$34,'A1 Contract'!$A$25:$A$34)))</f>
        <v>0</v>
      </c>
      <c r="B28" s="174">
        <f t="shared" si="7"/>
        <v>42491</v>
      </c>
      <c r="C28" s="151">
        <f t="shared" si="0"/>
        <v>0</v>
      </c>
      <c r="D28" s="155" t="str">
        <f>IF($A28=0,"",MAX(C$13:C28))</f>
        <v/>
      </c>
      <c r="E28" s="156" t="str">
        <f t="shared" si="1"/>
        <v/>
      </c>
      <c r="F28" s="151" t="str">
        <f t="shared" si="5"/>
        <v/>
      </c>
      <c r="G28" s="8" t="str">
        <f t="shared" si="2"/>
        <v/>
      </c>
      <c r="H28" s="14" t="str">
        <f t="shared" si="3"/>
        <v/>
      </c>
      <c r="I28" s="14" t="str">
        <f t="shared" si="4"/>
        <v/>
      </c>
      <c r="J28" s="14" t="str">
        <f>IF(AND(ReducedOrTerminated="Terminated",$B28&gt;=EffectiveWithPILON),0,IF(B28&gt;=EffectiveWithPILON,H28+MAX(I$13:I28),IF(B28&gt;=NoticeStartDate,H28,"")))</f>
        <v/>
      </c>
      <c r="K28" s="9" t="str">
        <f t="shared" si="6"/>
        <v/>
      </c>
    </row>
    <row r="29" spans="1:11" x14ac:dyDescent="0.25">
      <c r="A29" s="171">
        <f>IF(B29&lt;MIN('A1 Contract'!$B$25:$B$34),0,IF(B29&gt;MAX('A1 Contract'!$B$25:$B$34),MAX('A1 Contract'!$A$25:$A$34),LOOKUP(B29,'A1 Contract'!$B$25:$B$34,'A1 Contract'!$A$25:$A$34)))</f>
        <v>0</v>
      </c>
      <c r="B29" s="174">
        <f t="shared" si="7"/>
        <v>42522</v>
      </c>
      <c r="C29" s="151">
        <f t="shared" si="0"/>
        <v>0</v>
      </c>
      <c r="D29" s="155" t="str">
        <f>IF($A29=0,"",MAX(C$13:C29))</f>
        <v/>
      </c>
      <c r="E29" s="156" t="str">
        <f t="shared" si="1"/>
        <v/>
      </c>
      <c r="F29" s="151" t="str">
        <f t="shared" si="5"/>
        <v/>
      </c>
      <c r="G29" s="8" t="str">
        <f t="shared" si="2"/>
        <v/>
      </c>
      <c r="H29" s="14" t="str">
        <f t="shared" si="3"/>
        <v/>
      </c>
      <c r="I29" s="14" t="str">
        <f t="shared" si="4"/>
        <v/>
      </c>
      <c r="J29" s="14" t="str">
        <f>IF(AND(ReducedOrTerminated="Terminated",$B29&gt;=EffectiveWithPILON),0,IF(B29&gt;=EffectiveWithPILON,H29+MAX(I$13:I29),IF(B29&gt;=NoticeStartDate,H29,"")))</f>
        <v/>
      </c>
      <c r="K29" s="9" t="str">
        <f t="shared" si="6"/>
        <v/>
      </c>
    </row>
    <row r="30" spans="1:11" x14ac:dyDescent="0.25">
      <c r="A30" s="171">
        <f>IF(B30&lt;MIN('A1 Contract'!$B$25:$B$34),0,IF(B30&gt;MAX('A1 Contract'!$B$25:$B$34),MAX('A1 Contract'!$A$25:$A$34),LOOKUP(B30,'A1 Contract'!$B$25:$B$34,'A1 Contract'!$A$25:$A$34)))</f>
        <v>0</v>
      </c>
      <c r="B30" s="174">
        <f t="shared" si="7"/>
        <v>42552</v>
      </c>
      <c r="C30" s="151">
        <f t="shared" si="0"/>
        <v>0</v>
      </c>
      <c r="D30" s="155" t="str">
        <f>IF($A30=0,"",MAX(C$13:C30))</f>
        <v/>
      </c>
      <c r="E30" s="156" t="str">
        <f t="shared" si="1"/>
        <v/>
      </c>
      <c r="F30" s="151" t="str">
        <f t="shared" si="5"/>
        <v/>
      </c>
      <c r="G30" s="8" t="str">
        <f t="shared" si="2"/>
        <v/>
      </c>
      <c r="H30" s="14" t="str">
        <f t="shared" si="3"/>
        <v/>
      </c>
      <c r="I30" s="14" t="str">
        <f t="shared" si="4"/>
        <v/>
      </c>
      <c r="J30" s="14" t="str">
        <f>IF(AND(ReducedOrTerminated="Terminated",$B30&gt;=EffectiveWithPILON),0,IF(B30&gt;=EffectiveWithPILON,H30+MAX(I$13:I30),IF(B30&gt;=NoticeStartDate,H30,"")))</f>
        <v/>
      </c>
      <c r="K30" s="9" t="str">
        <f t="shared" si="6"/>
        <v/>
      </c>
    </row>
    <row r="31" spans="1:11" x14ac:dyDescent="0.25">
      <c r="A31" s="171">
        <f>IF(B31&lt;MIN('A1 Contract'!$B$25:$B$34),0,IF(B31&gt;MAX('A1 Contract'!$B$25:$B$34),MAX('A1 Contract'!$A$25:$A$34),LOOKUP(B31,'A1 Contract'!$B$25:$B$34,'A1 Contract'!$A$25:$A$34)))</f>
        <v>0</v>
      </c>
      <c r="B31" s="174">
        <f t="shared" si="7"/>
        <v>42583</v>
      </c>
      <c r="C31" s="151">
        <f t="shared" si="0"/>
        <v>0</v>
      </c>
      <c r="D31" s="155" t="str">
        <f>IF($A31=0,"",MAX(C$13:C31))</f>
        <v/>
      </c>
      <c r="E31" s="156" t="str">
        <f t="shared" si="1"/>
        <v/>
      </c>
      <c r="F31" s="151" t="str">
        <f t="shared" si="5"/>
        <v/>
      </c>
      <c r="G31" s="8" t="str">
        <f t="shared" si="2"/>
        <v/>
      </c>
      <c r="H31" s="14" t="str">
        <f t="shared" si="3"/>
        <v/>
      </c>
      <c r="I31" s="14" t="str">
        <f t="shared" si="4"/>
        <v/>
      </c>
      <c r="J31" s="14" t="str">
        <f>IF(AND(ReducedOrTerminated="Terminated",$B31&gt;=EffectiveWithPILON),0,IF(B31&gt;=EffectiveWithPILON,H31+MAX(I$13:I31),IF(B31&gt;=NoticeStartDate,H31,"")))</f>
        <v/>
      </c>
      <c r="K31" s="9" t="str">
        <f t="shared" si="6"/>
        <v/>
      </c>
    </row>
    <row r="32" spans="1:11" x14ac:dyDescent="0.25">
      <c r="A32" s="171">
        <f>IF(B32&lt;MIN('A1 Contract'!$B$25:$B$34),0,IF(B32&gt;MAX('A1 Contract'!$B$25:$B$34),MAX('A1 Contract'!$A$25:$A$34),LOOKUP(B32,'A1 Contract'!$B$25:$B$34,'A1 Contract'!$A$25:$A$34)))</f>
        <v>0</v>
      </c>
      <c r="B32" s="174">
        <f t="shared" si="7"/>
        <v>42614</v>
      </c>
      <c r="C32" s="151">
        <f t="shared" si="0"/>
        <v>0</v>
      </c>
      <c r="D32" s="155" t="str">
        <f>IF($A32=0,"",MAX(C$13:C32))</f>
        <v/>
      </c>
      <c r="E32" s="156" t="str">
        <f t="shared" si="1"/>
        <v/>
      </c>
      <c r="F32" s="151" t="str">
        <f t="shared" si="5"/>
        <v/>
      </c>
      <c r="G32" s="8" t="str">
        <f t="shared" si="2"/>
        <v/>
      </c>
      <c r="H32" s="14" t="str">
        <f t="shared" si="3"/>
        <v/>
      </c>
      <c r="I32" s="14" t="str">
        <f t="shared" si="4"/>
        <v/>
      </c>
      <c r="J32" s="14" t="str">
        <f>IF(AND(ReducedOrTerminated="Terminated",$B32&gt;=EffectiveWithPILON),0,IF(B32&gt;=EffectiveWithPILON,H32+MAX(I$13:I32),IF(B32&gt;=NoticeStartDate,H32,"")))</f>
        <v/>
      </c>
      <c r="K32" s="9" t="str">
        <f t="shared" si="6"/>
        <v/>
      </c>
    </row>
    <row r="33" spans="1:13" x14ac:dyDescent="0.25">
      <c r="A33" s="171">
        <f>IF(B33&lt;MIN('A1 Contract'!$B$25:$B$34),0,IF(B33&gt;MAX('A1 Contract'!$B$25:$B$34),MAX('A1 Contract'!$A$25:$A$34),LOOKUP(B33,'A1 Contract'!$B$25:$B$34,'A1 Contract'!$A$25:$A$34)))</f>
        <v>0</v>
      </c>
      <c r="B33" s="174">
        <f t="shared" si="7"/>
        <v>42644</v>
      </c>
      <c r="C33" s="151">
        <f t="shared" si="0"/>
        <v>0</v>
      </c>
      <c r="D33" s="155" t="str">
        <f>IF($A33=0,"",MAX(C$13:C33))</f>
        <v/>
      </c>
      <c r="E33" s="156" t="str">
        <f t="shared" si="1"/>
        <v/>
      </c>
      <c r="F33" s="151" t="str">
        <f t="shared" si="5"/>
        <v/>
      </c>
      <c r="G33" s="8" t="str">
        <f t="shared" si="2"/>
        <v/>
      </c>
      <c r="H33" s="14" t="str">
        <f t="shared" si="3"/>
        <v/>
      </c>
      <c r="I33" s="14" t="str">
        <f t="shared" si="4"/>
        <v/>
      </c>
      <c r="J33" s="14" t="str">
        <f>IF(AND(ReducedOrTerminated="Terminated",$B33&gt;=EffectiveWithPILON),0,IF(B33&gt;=EffectiveWithPILON,H33+MAX(I$13:I33),IF(B33&gt;=NoticeStartDate,H33,"")))</f>
        <v/>
      </c>
      <c r="K33" s="9" t="str">
        <f t="shared" si="6"/>
        <v/>
      </c>
    </row>
    <row r="34" spans="1:13" x14ac:dyDescent="0.25">
      <c r="A34" s="171">
        <f>IF(B34&lt;MIN('A1 Contract'!$B$25:$B$34),0,IF(B34&gt;MAX('A1 Contract'!$B$25:$B$34),MAX('A1 Contract'!$A$25:$A$34),LOOKUP(B34,'A1 Contract'!$B$25:$B$34,'A1 Contract'!$A$25:$A$34)))</f>
        <v>0</v>
      </c>
      <c r="B34" s="174">
        <f t="shared" si="7"/>
        <v>42675</v>
      </c>
      <c r="C34" s="151">
        <f t="shared" si="0"/>
        <v>0</v>
      </c>
      <c r="D34" s="155" t="str">
        <f>IF($A34=0,"",MAX(C$13:C34))</f>
        <v/>
      </c>
      <c r="E34" s="156" t="str">
        <f t="shared" si="1"/>
        <v/>
      </c>
      <c r="F34" s="151" t="str">
        <f t="shared" si="5"/>
        <v/>
      </c>
      <c r="G34" s="8" t="str">
        <f t="shared" si="2"/>
        <v/>
      </c>
      <c r="H34" s="14" t="str">
        <f t="shared" si="3"/>
        <v/>
      </c>
      <c r="I34" s="14" t="str">
        <f t="shared" si="4"/>
        <v/>
      </c>
      <c r="J34" s="14" t="str">
        <f>IF(AND(ReducedOrTerminated="Terminated",$B34&gt;=EffectiveWithPILON),0,IF(B34&gt;=EffectiveWithPILON,H34+MAX(I$13:I34),IF(B34&gt;=NoticeStartDate,H34,"")))</f>
        <v/>
      </c>
      <c r="K34" s="9" t="str">
        <f t="shared" si="6"/>
        <v/>
      </c>
    </row>
    <row r="35" spans="1:13" x14ac:dyDescent="0.25">
      <c r="A35" s="171">
        <f>IF(B35&lt;MIN('A1 Contract'!$B$25:$B$34),0,IF(B35&gt;MAX('A1 Contract'!$B$25:$B$34),MAX('A1 Contract'!$A$25:$A$34),LOOKUP(B35,'A1 Contract'!$B$25:$B$34,'A1 Contract'!$A$25:$A$34)))</f>
        <v>0</v>
      </c>
      <c r="B35" s="174">
        <f t="shared" si="7"/>
        <v>42705</v>
      </c>
      <c r="C35" s="151">
        <f t="shared" si="0"/>
        <v>0</v>
      </c>
      <c r="D35" s="155" t="str">
        <f>IF($A35=0,"",MAX(C$13:C35))</f>
        <v/>
      </c>
      <c r="E35" s="156" t="str">
        <f t="shared" si="1"/>
        <v/>
      </c>
      <c r="F35" s="151" t="str">
        <f t="shared" si="5"/>
        <v/>
      </c>
      <c r="G35" s="8" t="str">
        <f t="shared" si="2"/>
        <v/>
      </c>
      <c r="H35" s="14" t="str">
        <f t="shared" si="3"/>
        <v/>
      </c>
      <c r="I35" s="14" t="str">
        <f t="shared" si="4"/>
        <v/>
      </c>
      <c r="J35" s="14" t="str">
        <f>IF(AND(ReducedOrTerminated="Terminated",$B35&gt;=EffectiveWithPILON),0,IF(B35&gt;=EffectiveWithPILON,H35+MAX(I$13:I35),IF(B35&gt;=NoticeStartDate,H35,"")))</f>
        <v/>
      </c>
      <c r="K35" s="9" t="str">
        <f t="shared" si="6"/>
        <v/>
      </c>
    </row>
    <row r="36" spans="1:13" x14ac:dyDescent="0.25">
      <c r="A36" s="171">
        <f>IF(B36&lt;MIN('A1 Contract'!$B$25:$B$34),0,IF(B36&gt;MAX('A1 Contract'!$B$25:$B$34),MAX('A1 Contract'!$A$25:$A$34),LOOKUP(B36,'A1 Contract'!$B$25:$B$34,'A1 Contract'!$A$25:$A$34)))</f>
        <v>0</v>
      </c>
      <c r="B36" s="174">
        <f t="shared" si="7"/>
        <v>42736</v>
      </c>
      <c r="C36" s="151">
        <f t="shared" si="0"/>
        <v>0</v>
      </c>
      <c r="D36" s="155" t="str">
        <f>IF($A36=0,"",MAX(C$13:C36))</f>
        <v/>
      </c>
      <c r="E36" s="156" t="str">
        <f t="shared" si="1"/>
        <v/>
      </c>
      <c r="F36" s="151" t="str">
        <f t="shared" si="5"/>
        <v/>
      </c>
      <c r="G36" s="8" t="str">
        <f t="shared" si="2"/>
        <v/>
      </c>
      <c r="H36" s="14" t="str">
        <f t="shared" si="3"/>
        <v/>
      </c>
      <c r="I36" s="14" t="str">
        <f t="shared" si="4"/>
        <v/>
      </c>
      <c r="J36" s="14" t="str">
        <f>IF(AND(ReducedOrTerminated="Terminated",$B36&gt;=EffectiveWithPILON),0,IF(B36&gt;=EffectiveWithPILON,H36+MAX(I$13:I36),IF(B36&gt;=NoticeStartDate,H36,"")))</f>
        <v/>
      </c>
      <c r="K36" s="9" t="str">
        <f t="shared" si="6"/>
        <v/>
      </c>
    </row>
    <row r="37" spans="1:13" x14ac:dyDescent="0.25">
      <c r="A37" s="171">
        <f>IF(B37&lt;MIN('A1 Contract'!$B$25:$B$34),0,IF(B37&gt;MAX('A1 Contract'!$B$25:$B$34),MAX('A1 Contract'!$A$25:$A$34),LOOKUP(B37,'A1 Contract'!$B$25:$B$34,'A1 Contract'!$A$25:$A$34)))</f>
        <v>1</v>
      </c>
      <c r="B37" s="174">
        <f t="shared" si="7"/>
        <v>42767</v>
      </c>
      <c r="C37" s="151">
        <f t="shared" si="0"/>
        <v>0</v>
      </c>
      <c r="D37" s="155">
        <f>IF($A37=0,"",MAX(C14:C37))</f>
        <v>0</v>
      </c>
      <c r="E37" s="156">
        <f t="shared" si="1"/>
        <v>0</v>
      </c>
      <c r="F37" s="151">
        <f t="shared" si="5"/>
        <v>0</v>
      </c>
      <c r="G37" s="8">
        <f t="shared" si="2"/>
        <v>0</v>
      </c>
      <c r="H37" s="14">
        <f t="shared" si="3"/>
        <v>0</v>
      </c>
      <c r="I37" s="14" t="str">
        <f t="shared" si="4"/>
        <v/>
      </c>
      <c r="J37" s="14">
        <f>IF(AND(ReducedOrTerminated="Terminated",$B37&gt;=EffectiveWithPILON),0,IF(B37&gt;=EffectiveWithPILON,H37+MAX(I$13:I37),IF(B37&gt;=NoticeStartDate,H37,"")))</f>
        <v>0</v>
      </c>
      <c r="K37" s="9">
        <f t="shared" si="6"/>
        <v>0</v>
      </c>
    </row>
    <row r="38" spans="1:13" x14ac:dyDescent="0.25">
      <c r="A38" s="171">
        <f>IF(B38&lt;MIN('A1 Contract'!$B$25:$B$34),0,IF(B38&gt;MAX('A1 Contract'!$B$25:$B$34),MAX('A1 Contract'!$A$25:$A$34),LOOKUP(B38,'A1 Contract'!$B$25:$B$34,'A1 Contract'!$A$25:$A$34)))</f>
        <v>1</v>
      </c>
      <c r="B38" s="174">
        <f t="shared" si="7"/>
        <v>42795</v>
      </c>
      <c r="C38" s="151">
        <f t="shared" si="0"/>
        <v>0</v>
      </c>
      <c r="D38" s="155">
        <f t="shared" ref="D38:D96" si="8">IF($A38=0,"",MAX(C15:C38))</f>
        <v>0</v>
      </c>
      <c r="E38" s="156">
        <f t="shared" si="1"/>
        <v>0</v>
      </c>
      <c r="F38" s="151">
        <f t="shared" si="5"/>
        <v>0</v>
      </c>
      <c r="G38" s="8">
        <f t="shared" si="2"/>
        <v>0</v>
      </c>
      <c r="H38" s="14">
        <f t="shared" si="3"/>
        <v>0</v>
      </c>
      <c r="I38" s="14" t="str">
        <f t="shared" si="4"/>
        <v/>
      </c>
      <c r="J38" s="14">
        <f>IF(AND(ReducedOrTerminated="Terminated",$B38&gt;=EffectiveWithPILON),0,IF(B38&gt;=EffectiveWithPILON,H38+MAX(I$13:I38),IF(B38&gt;=NoticeStartDate,H38,"")))</f>
        <v>0</v>
      </c>
      <c r="K38" s="9">
        <f t="shared" si="6"/>
        <v>0</v>
      </c>
    </row>
    <row r="39" spans="1:13" x14ac:dyDescent="0.25">
      <c r="A39" s="171">
        <f>IF(B39&lt;MIN('A1 Contract'!$B$25:$B$34),0,IF(B39&gt;MAX('A1 Contract'!$B$25:$B$34),MAX('A1 Contract'!$A$25:$A$34),LOOKUP(B39,'A1 Contract'!$B$25:$B$34,'A1 Contract'!$A$25:$A$34)))</f>
        <v>1</v>
      </c>
      <c r="B39" s="174">
        <f t="shared" si="7"/>
        <v>42826</v>
      </c>
      <c r="C39" s="151">
        <f t="shared" si="0"/>
        <v>0</v>
      </c>
      <c r="D39" s="155">
        <f t="shared" si="8"/>
        <v>0</v>
      </c>
      <c r="E39" s="156">
        <f t="shared" si="1"/>
        <v>0</v>
      </c>
      <c r="F39" s="151">
        <f t="shared" si="5"/>
        <v>0</v>
      </c>
      <c r="G39" s="8">
        <f t="shared" si="2"/>
        <v>0</v>
      </c>
      <c r="H39" s="14">
        <f t="shared" si="3"/>
        <v>0</v>
      </c>
      <c r="I39" s="14" t="str">
        <f t="shared" si="4"/>
        <v/>
      </c>
      <c r="J39" s="14">
        <f>IF(AND(ReducedOrTerminated="Terminated",$B39&gt;=EffectiveWithPILON),0,IF(B39&gt;=EffectiveWithPILON,H39+MAX(I$13:I39),IF(B39&gt;=NoticeStartDate,H39,"")))</f>
        <v>0</v>
      </c>
      <c r="K39" s="9">
        <f t="shared" si="6"/>
        <v>0</v>
      </c>
    </row>
    <row r="40" spans="1:13" x14ac:dyDescent="0.25">
      <c r="A40" s="171">
        <f>IF(B40&lt;MIN('A1 Contract'!$B$25:$B$34),0,IF(B40&gt;MAX('A1 Contract'!$B$25:$B$34),MAX('A1 Contract'!$A$25:$A$34),LOOKUP(B40,'A1 Contract'!$B$25:$B$34,'A1 Contract'!$A$25:$A$34)))</f>
        <v>1</v>
      </c>
      <c r="B40" s="174">
        <f t="shared" si="7"/>
        <v>42856</v>
      </c>
      <c r="C40" s="151">
        <f t="shared" si="0"/>
        <v>0</v>
      </c>
      <c r="D40" s="155">
        <f t="shared" si="8"/>
        <v>0</v>
      </c>
      <c r="E40" s="156">
        <f t="shared" si="1"/>
        <v>0</v>
      </c>
      <c r="F40" s="151">
        <f t="shared" si="5"/>
        <v>0</v>
      </c>
      <c r="G40" s="8">
        <f t="shared" si="2"/>
        <v>0</v>
      </c>
      <c r="H40" s="14">
        <f t="shared" si="3"/>
        <v>0</v>
      </c>
      <c r="I40" s="14" t="str">
        <f t="shared" si="4"/>
        <v/>
      </c>
      <c r="J40" s="14">
        <f>IF(AND(ReducedOrTerminated="Terminated",$B40&gt;=EffectiveWithPILON),0,IF(B40&gt;=EffectiveWithPILON,H40+MAX(I$13:I40),IF(B40&gt;=NoticeStartDate,H40,"")))</f>
        <v>0</v>
      </c>
      <c r="K40" s="9">
        <f t="shared" si="6"/>
        <v>0</v>
      </c>
    </row>
    <row r="41" spans="1:13" x14ac:dyDescent="0.25">
      <c r="A41" s="171">
        <f>IF(B41&lt;MIN('A1 Contract'!$B$25:$B$34),0,IF(B41&gt;MAX('A1 Contract'!$B$25:$B$34),MAX('A1 Contract'!$A$25:$A$34),LOOKUP(B41,'A1 Contract'!$B$25:$B$34,'A1 Contract'!$A$25:$A$34)))</f>
        <v>1</v>
      </c>
      <c r="B41" s="174">
        <f t="shared" si="7"/>
        <v>42887</v>
      </c>
      <c r="C41" s="151">
        <f t="shared" si="0"/>
        <v>0</v>
      </c>
      <c r="D41" s="155">
        <f t="shared" si="8"/>
        <v>0</v>
      </c>
      <c r="E41" s="156">
        <f t="shared" si="1"/>
        <v>0</v>
      </c>
      <c r="F41" s="151">
        <f t="shared" si="5"/>
        <v>0</v>
      </c>
      <c r="G41" s="8">
        <f t="shared" si="2"/>
        <v>0</v>
      </c>
      <c r="H41" s="14">
        <f t="shared" si="3"/>
        <v>0</v>
      </c>
      <c r="I41" s="14" t="str">
        <f t="shared" si="4"/>
        <v/>
      </c>
      <c r="J41" s="14">
        <f>IF(AND(ReducedOrTerminated="Terminated",$B41&gt;=EffectiveWithPILON),0,IF(B41&gt;=EffectiveWithPILON,H41+MAX(I$13:I41),IF(B41&gt;=NoticeStartDate,H41,"")))</f>
        <v>0</v>
      </c>
      <c r="K41" s="9">
        <f t="shared" si="6"/>
        <v>0</v>
      </c>
    </row>
    <row r="42" spans="1:13" x14ac:dyDescent="0.25">
      <c r="A42" s="171">
        <f>IF(B42&lt;MIN('A1 Contract'!$B$25:$B$34),0,IF(B42&gt;MAX('A1 Contract'!$B$25:$B$34),MAX('A1 Contract'!$A$25:$A$34),LOOKUP(B42,'A1 Contract'!$B$25:$B$34,'A1 Contract'!$A$25:$A$34)))</f>
        <v>1</v>
      </c>
      <c r="B42" s="174">
        <f t="shared" si="7"/>
        <v>42917</v>
      </c>
      <c r="C42" s="151">
        <f t="shared" si="0"/>
        <v>0</v>
      </c>
      <c r="D42" s="155">
        <f t="shared" si="8"/>
        <v>0</v>
      </c>
      <c r="E42" s="156">
        <f t="shared" si="1"/>
        <v>0</v>
      </c>
      <c r="F42" s="151">
        <f t="shared" si="5"/>
        <v>0</v>
      </c>
      <c r="G42" s="8">
        <f t="shared" si="2"/>
        <v>0</v>
      </c>
      <c r="H42" s="14">
        <f t="shared" si="3"/>
        <v>0</v>
      </c>
      <c r="I42" s="14" t="str">
        <f t="shared" si="4"/>
        <v/>
      </c>
      <c r="J42" s="14">
        <f>IF(AND(ReducedOrTerminated="Terminated",$B42&gt;=EffectiveWithPILON),0,IF(B42&gt;=EffectiveWithPILON,H42+MAX(I$13:I42),IF(B42&gt;=NoticeStartDate,H42,"")))</f>
        <v>0</v>
      </c>
      <c r="K42" s="9">
        <f t="shared" si="6"/>
        <v>0</v>
      </c>
    </row>
    <row r="43" spans="1:13" x14ac:dyDescent="0.25">
      <c r="A43" s="171">
        <f>IF(B43&lt;MIN('A1 Contract'!$B$25:$B$34),0,IF(B43&gt;MAX('A1 Contract'!$B$25:$B$34),MAX('A1 Contract'!$A$25:$A$34),LOOKUP(B43,'A1 Contract'!$B$25:$B$34,'A1 Contract'!$A$25:$A$34)))</f>
        <v>1</v>
      </c>
      <c r="B43" s="174">
        <f t="shared" si="7"/>
        <v>42948</v>
      </c>
      <c r="C43" s="151">
        <f t="shared" si="0"/>
        <v>0</v>
      </c>
      <c r="D43" s="155">
        <f t="shared" si="8"/>
        <v>0</v>
      </c>
      <c r="E43" s="156">
        <f t="shared" si="1"/>
        <v>0</v>
      </c>
      <c r="F43" s="151">
        <f t="shared" si="5"/>
        <v>0</v>
      </c>
      <c r="G43" s="8">
        <f t="shared" si="2"/>
        <v>0</v>
      </c>
      <c r="H43" s="14">
        <f t="shared" si="3"/>
        <v>0</v>
      </c>
      <c r="I43" s="14" t="str">
        <f t="shared" si="4"/>
        <v/>
      </c>
      <c r="J43" s="14">
        <f>IF(AND(ReducedOrTerminated="Terminated",$B43&gt;=EffectiveWithPILON),0,IF(B43&gt;=EffectiveWithPILON,H43+MAX(I$13:I43),IF(B43&gt;=NoticeStartDate,H43,"")))</f>
        <v>0</v>
      </c>
      <c r="K43" s="9">
        <f t="shared" si="6"/>
        <v>0</v>
      </c>
    </row>
    <row r="44" spans="1:13" x14ac:dyDescent="0.25">
      <c r="A44" s="171">
        <f>IF(B44&lt;MIN('A1 Contract'!$B$25:$B$34),0,IF(B44&gt;MAX('A1 Contract'!$B$25:$B$34),MAX('A1 Contract'!$A$25:$A$34),LOOKUP(B44,'A1 Contract'!$B$25:$B$34,'A1 Contract'!$A$25:$A$34)))</f>
        <v>1</v>
      </c>
      <c r="B44" s="174">
        <f t="shared" si="7"/>
        <v>42979</v>
      </c>
      <c r="C44" s="151">
        <f t="shared" si="0"/>
        <v>0</v>
      </c>
      <c r="D44" s="155">
        <f t="shared" si="8"/>
        <v>0</v>
      </c>
      <c r="E44" s="156">
        <f t="shared" si="1"/>
        <v>0</v>
      </c>
      <c r="F44" s="151">
        <f t="shared" si="5"/>
        <v>0</v>
      </c>
      <c r="G44" s="8">
        <f t="shared" si="2"/>
        <v>0</v>
      </c>
      <c r="H44" s="14">
        <f t="shared" si="3"/>
        <v>0</v>
      </c>
      <c r="I44" s="14" t="str">
        <f t="shared" si="4"/>
        <v/>
      </c>
      <c r="J44" s="14">
        <f>IF(AND(ReducedOrTerminated="Terminated",$B44&gt;=EffectiveWithPILON),0,IF(B44&gt;=EffectiveWithPILON,H44+MAX(I$13:I44),IF(B44&gt;=NoticeStartDate,H44,"")))</f>
        <v>0</v>
      </c>
      <c r="K44" s="9">
        <f t="shared" si="6"/>
        <v>0</v>
      </c>
    </row>
    <row r="45" spans="1:13" x14ac:dyDescent="0.25">
      <c r="A45" s="171">
        <f>IF(B45&lt;MIN('A1 Contract'!$B$25:$B$34),0,IF(B45&gt;MAX('A1 Contract'!$B$25:$B$34),MAX('A1 Contract'!$A$25:$A$34),LOOKUP(B45,'A1 Contract'!$B$25:$B$34,'A1 Contract'!$A$25:$A$34)))</f>
        <v>1</v>
      </c>
      <c r="B45" s="174">
        <f t="shared" si="7"/>
        <v>43009</v>
      </c>
      <c r="C45" s="151">
        <f t="shared" ref="C45:C76" si="9">IF(ISNUMBER(VLOOKUP($B45,HistoryLookup,8,FALSE)),VLOOKUP($B45,HistoryLookup,8,FALSE),IF(AND($B45&lt;EffectiveWithPILON,ISNUMBER(AverageDemand)),AverageDemand,VLOOKUP($A45,ContractLookup,4,FALSE)))</f>
        <v>0</v>
      </c>
      <c r="D45" s="155">
        <f t="shared" si="8"/>
        <v>0</v>
      </c>
      <c r="E45" s="156">
        <f t="shared" ref="E45:E76" si="10">IF($A45=0,"",VLOOKUP($A45,ContractLookup,7,FALSE))</f>
        <v>0</v>
      </c>
      <c r="F45" s="151">
        <f t="shared" si="5"/>
        <v>0</v>
      </c>
      <c r="G45" s="8">
        <f t="shared" ref="G45:G76" si="11">IF(AND(ReducedOrTerminated="Terminated",$B45&gt;=EffectiveWithPILON),0,IF(AND($B45&gt;=EffectiveWithPILON,$B45&lt;DATE(YEAR(EffectiveWithPILON),MONTH(EffectiveWithPILON)+24,1)),D45-MAX((E45-J45),0),IF(B45&gt;=NoticeStartDate,D45,"")))</f>
        <v>0</v>
      </c>
      <c r="H45" s="14">
        <f t="shared" ref="H45:H76" si="12">IF(AND(ReducedOrTerminated="Terminated",$B45&gt;=EffectiveWithPILON),0,IF(A45=0,"",IF(B45&lt;EffectiveWithPILON,VLOOKUP(A45,ContractLookup,7,FALSE),VLOOKUP(A45,ContractLookup,4,FALSE))))</f>
        <v>0</v>
      </c>
      <c r="I45" s="14" t="str">
        <f t="shared" ref="I45:I76" si="13">IF(AND($B45&gt;=NoticeStartDate,$B45&lt;EffectiveWithPILON),IF(C45&gt;E45,C45-E45,""),"")</f>
        <v/>
      </c>
      <c r="J45" s="14">
        <f>IF(AND(ReducedOrTerminated="Terminated",$B45&gt;=EffectiveWithPILON),0,IF(B45&gt;=EffectiveWithPILON,H45+MAX(I$13:I45),IF(B45&gt;=NoticeStartDate,H45,"")))</f>
        <v>0</v>
      </c>
      <c r="K45" s="9">
        <f t="shared" si="6"/>
        <v>0</v>
      </c>
      <c r="L45" s="148"/>
      <c r="M45" s="148"/>
    </row>
    <row r="46" spans="1:13" x14ac:dyDescent="0.25">
      <c r="A46" s="171">
        <f>IF(B46&lt;MIN('A1 Contract'!$B$25:$B$34),0,IF(B46&gt;MAX('A1 Contract'!$B$25:$B$34),MAX('A1 Contract'!$A$25:$A$34),LOOKUP(B46,'A1 Contract'!$B$25:$B$34,'A1 Contract'!$A$25:$A$34)))</f>
        <v>1</v>
      </c>
      <c r="B46" s="174">
        <f t="shared" si="7"/>
        <v>43040</v>
      </c>
      <c r="C46" s="151">
        <f t="shared" si="9"/>
        <v>0</v>
      </c>
      <c r="D46" s="155">
        <f t="shared" si="8"/>
        <v>0</v>
      </c>
      <c r="E46" s="156">
        <f t="shared" si="10"/>
        <v>0</v>
      </c>
      <c r="F46" s="151">
        <f t="shared" si="5"/>
        <v>0</v>
      </c>
      <c r="G46" s="8">
        <f t="shared" si="11"/>
        <v>0</v>
      </c>
      <c r="H46" s="14">
        <f t="shared" si="12"/>
        <v>0</v>
      </c>
      <c r="I46" s="14" t="str">
        <f t="shared" si="13"/>
        <v/>
      </c>
      <c r="J46" s="14">
        <f>IF(AND(ReducedOrTerminated="Terminated",$B46&gt;=EffectiveWithPILON),0,IF(B46&gt;=EffectiveWithPILON,H46+MAX(I$13:I46),IF(B46&gt;=NoticeStartDate,H46,"")))</f>
        <v>0</v>
      </c>
      <c r="K46" s="9">
        <f t="shared" si="6"/>
        <v>0</v>
      </c>
      <c r="L46" s="148"/>
    </row>
    <row r="47" spans="1:13" x14ac:dyDescent="0.25">
      <c r="A47" s="171">
        <f>IF(B47&lt;MIN('A1 Contract'!$B$25:$B$34),0,IF(B47&gt;MAX('A1 Contract'!$B$25:$B$34),MAX('A1 Contract'!$A$25:$A$34),LOOKUP(B47,'A1 Contract'!$B$25:$B$34,'A1 Contract'!$A$25:$A$34)))</f>
        <v>1</v>
      </c>
      <c r="B47" s="174">
        <f t="shared" si="7"/>
        <v>43070</v>
      </c>
      <c r="C47" s="151">
        <f t="shared" si="9"/>
        <v>0</v>
      </c>
      <c r="D47" s="155">
        <f t="shared" si="8"/>
        <v>0</v>
      </c>
      <c r="E47" s="156">
        <f t="shared" si="10"/>
        <v>0</v>
      </c>
      <c r="F47" s="151">
        <f t="shared" si="5"/>
        <v>0</v>
      </c>
      <c r="G47" s="8">
        <f t="shared" si="11"/>
        <v>0</v>
      </c>
      <c r="H47" s="14">
        <f t="shared" si="12"/>
        <v>0</v>
      </c>
      <c r="I47" s="14" t="str">
        <f t="shared" si="13"/>
        <v/>
      </c>
      <c r="J47" s="14">
        <f>IF(AND(ReducedOrTerminated="Terminated",$B47&gt;=EffectiveWithPILON),0,IF(B47&gt;=EffectiveWithPILON,H47+MAX(I$13:I47),IF(B47&gt;=NoticeStartDate,H47,"")))</f>
        <v>0</v>
      </c>
      <c r="K47" s="9">
        <f t="shared" si="6"/>
        <v>0</v>
      </c>
    </row>
    <row r="48" spans="1:13" x14ac:dyDescent="0.25">
      <c r="A48" s="171">
        <f>IF(B48&lt;MIN('A1 Contract'!$B$25:$B$34),0,IF(B48&gt;MAX('A1 Contract'!$B$25:$B$34),MAX('A1 Contract'!$A$25:$A$34),LOOKUP(B48,'A1 Contract'!$B$25:$B$34,'A1 Contract'!$A$25:$A$34)))</f>
        <v>1</v>
      </c>
      <c r="B48" s="174">
        <f t="shared" si="7"/>
        <v>43101</v>
      </c>
      <c r="C48" s="151">
        <f t="shared" si="9"/>
        <v>0</v>
      </c>
      <c r="D48" s="155">
        <f t="shared" si="8"/>
        <v>0</v>
      </c>
      <c r="E48" s="156">
        <f t="shared" si="10"/>
        <v>0</v>
      </c>
      <c r="F48" s="151">
        <f t="shared" si="5"/>
        <v>0</v>
      </c>
      <c r="G48" s="8">
        <f t="shared" si="11"/>
        <v>0</v>
      </c>
      <c r="H48" s="14">
        <f t="shared" si="12"/>
        <v>0</v>
      </c>
      <c r="I48" s="14" t="str">
        <f t="shared" si="13"/>
        <v/>
      </c>
      <c r="J48" s="14">
        <f>IF(AND(ReducedOrTerminated="Terminated",$B48&gt;=EffectiveWithPILON),0,IF(B48&gt;=EffectiveWithPILON,H48+MAX(I$13:I48),IF(B48&gt;=NoticeStartDate,H48,"")))</f>
        <v>0</v>
      </c>
      <c r="K48" s="9">
        <f t="shared" si="6"/>
        <v>0</v>
      </c>
    </row>
    <row r="49" spans="1:11" x14ac:dyDescent="0.25">
      <c r="A49" s="171">
        <f>IF(B49&lt;MIN('A1 Contract'!$B$25:$B$34),0,IF(B49&gt;MAX('A1 Contract'!$B$25:$B$34),MAX('A1 Contract'!$A$25:$A$34),LOOKUP(B49,'A1 Contract'!$B$25:$B$34,'A1 Contract'!$A$25:$A$34)))</f>
        <v>1</v>
      </c>
      <c r="B49" s="174">
        <f t="shared" si="7"/>
        <v>43132</v>
      </c>
      <c r="C49" s="151">
        <f t="shared" si="9"/>
        <v>0</v>
      </c>
      <c r="D49" s="155">
        <f t="shared" si="8"/>
        <v>0</v>
      </c>
      <c r="E49" s="156">
        <f t="shared" si="10"/>
        <v>0</v>
      </c>
      <c r="F49" s="151">
        <f t="shared" si="5"/>
        <v>0</v>
      </c>
      <c r="G49" s="8">
        <f t="shared" si="11"/>
        <v>0</v>
      </c>
      <c r="H49" s="14">
        <f t="shared" si="12"/>
        <v>0</v>
      </c>
      <c r="I49" s="14" t="str">
        <f t="shared" si="13"/>
        <v/>
      </c>
      <c r="J49" s="14">
        <f>IF(AND(ReducedOrTerminated="Terminated",$B49&gt;=EffectiveWithPILON),0,IF(B49&gt;=EffectiveWithPILON,H49+MAX(I$13:I49),IF(B49&gt;=NoticeStartDate,H49,"")))</f>
        <v>0</v>
      </c>
      <c r="K49" s="9">
        <f t="shared" si="6"/>
        <v>0</v>
      </c>
    </row>
    <row r="50" spans="1:11" x14ac:dyDescent="0.25">
      <c r="A50" s="171">
        <f>IF(B50&lt;MIN('A1 Contract'!$B$25:$B$34),0,IF(B50&gt;MAX('A1 Contract'!$B$25:$B$34),MAX('A1 Contract'!$A$25:$A$34),LOOKUP(B50,'A1 Contract'!$B$25:$B$34,'A1 Contract'!$A$25:$A$34)))</f>
        <v>1</v>
      </c>
      <c r="B50" s="174">
        <f t="shared" si="7"/>
        <v>43160</v>
      </c>
      <c r="C50" s="151">
        <f t="shared" si="9"/>
        <v>0</v>
      </c>
      <c r="D50" s="155">
        <f t="shared" si="8"/>
        <v>0</v>
      </c>
      <c r="E50" s="156">
        <f t="shared" si="10"/>
        <v>0</v>
      </c>
      <c r="F50" s="151">
        <f t="shared" si="5"/>
        <v>0</v>
      </c>
      <c r="G50" s="8">
        <f t="shared" si="11"/>
        <v>0</v>
      </c>
      <c r="H50" s="14">
        <f t="shared" si="12"/>
        <v>0</v>
      </c>
      <c r="I50" s="14" t="str">
        <f t="shared" si="13"/>
        <v/>
      </c>
      <c r="J50" s="14">
        <f>IF(AND(ReducedOrTerminated="Terminated",$B50&gt;=EffectiveWithPILON),0,IF(B50&gt;=EffectiveWithPILON,H50+MAX(I$13:I50),IF(B50&gt;=NoticeStartDate,H50,"")))</f>
        <v>0</v>
      </c>
      <c r="K50" s="9">
        <f t="shared" si="6"/>
        <v>0</v>
      </c>
    </row>
    <row r="51" spans="1:11" x14ac:dyDescent="0.25">
      <c r="A51" s="171">
        <f>IF(B51&lt;MIN('A1 Contract'!$B$25:$B$34),0,IF(B51&gt;MAX('A1 Contract'!$B$25:$B$34),MAX('A1 Contract'!$A$25:$A$34),LOOKUP(B51,'A1 Contract'!$B$25:$B$34,'A1 Contract'!$A$25:$A$34)))</f>
        <v>1</v>
      </c>
      <c r="B51" s="174">
        <f t="shared" si="7"/>
        <v>43191</v>
      </c>
      <c r="C51" s="151">
        <f t="shared" si="9"/>
        <v>0</v>
      </c>
      <c r="D51" s="155">
        <f t="shared" si="8"/>
        <v>0</v>
      </c>
      <c r="E51" s="156">
        <f t="shared" si="10"/>
        <v>0</v>
      </c>
      <c r="F51" s="151">
        <f t="shared" si="5"/>
        <v>0</v>
      </c>
      <c r="G51" s="8">
        <f t="shared" si="11"/>
        <v>0</v>
      </c>
      <c r="H51" s="14">
        <f t="shared" si="12"/>
        <v>0</v>
      </c>
      <c r="I51" s="14" t="str">
        <f t="shared" si="13"/>
        <v/>
      </c>
      <c r="J51" s="14">
        <f>IF(AND(ReducedOrTerminated="Terminated",$B51&gt;=EffectiveWithPILON),0,IF(B51&gt;=EffectiveWithPILON,H51+MAX(I$13:I51),IF(B51&gt;=NoticeStartDate,H51,"")))</f>
        <v>0</v>
      </c>
      <c r="K51" s="9">
        <f t="shared" si="6"/>
        <v>0</v>
      </c>
    </row>
    <row r="52" spans="1:11" x14ac:dyDescent="0.25">
      <c r="A52" s="171">
        <f>IF(B52&lt;MIN('A1 Contract'!$B$25:$B$34),0,IF(B52&gt;MAX('A1 Contract'!$B$25:$B$34),MAX('A1 Contract'!$A$25:$A$34),LOOKUP(B52,'A1 Contract'!$B$25:$B$34,'A1 Contract'!$A$25:$A$34)))</f>
        <v>1</v>
      </c>
      <c r="B52" s="174">
        <f t="shared" si="7"/>
        <v>43221</v>
      </c>
      <c r="C52" s="151">
        <f t="shared" si="9"/>
        <v>0</v>
      </c>
      <c r="D52" s="155">
        <f t="shared" si="8"/>
        <v>0</v>
      </c>
      <c r="E52" s="156">
        <f t="shared" si="10"/>
        <v>0</v>
      </c>
      <c r="F52" s="151">
        <f t="shared" si="5"/>
        <v>0</v>
      </c>
      <c r="G52" s="8">
        <f t="shared" si="11"/>
        <v>0</v>
      </c>
      <c r="H52" s="14">
        <f t="shared" si="12"/>
        <v>0</v>
      </c>
      <c r="I52" s="14" t="str">
        <f t="shared" si="13"/>
        <v/>
      </c>
      <c r="J52" s="14">
        <f>IF(AND(ReducedOrTerminated="Terminated",$B52&gt;=EffectiveWithPILON),0,IF(B52&gt;=EffectiveWithPILON,H52+MAX(I$13:I52),IF(B52&gt;=NoticeStartDate,H52,"")))</f>
        <v>0</v>
      </c>
      <c r="K52" s="9">
        <f t="shared" si="6"/>
        <v>0</v>
      </c>
    </row>
    <row r="53" spans="1:11" x14ac:dyDescent="0.25">
      <c r="A53" s="171">
        <f>IF(B53&lt;MIN('A1 Contract'!$B$25:$B$34),0,IF(B53&gt;MAX('A1 Contract'!$B$25:$B$34),MAX('A1 Contract'!$A$25:$A$34),LOOKUP(B53,'A1 Contract'!$B$25:$B$34,'A1 Contract'!$A$25:$A$34)))</f>
        <v>1</v>
      </c>
      <c r="B53" s="174">
        <f t="shared" si="7"/>
        <v>43252</v>
      </c>
      <c r="C53" s="151">
        <f t="shared" si="9"/>
        <v>0</v>
      </c>
      <c r="D53" s="155">
        <f t="shared" si="8"/>
        <v>0</v>
      </c>
      <c r="E53" s="156">
        <f t="shared" si="10"/>
        <v>0</v>
      </c>
      <c r="F53" s="151">
        <f t="shared" si="5"/>
        <v>0</v>
      </c>
      <c r="G53" s="8">
        <f t="shared" si="11"/>
        <v>0</v>
      </c>
      <c r="H53" s="14">
        <f t="shared" si="12"/>
        <v>0</v>
      </c>
      <c r="I53" s="14" t="str">
        <f t="shared" si="13"/>
        <v/>
      </c>
      <c r="J53" s="14">
        <f>IF(AND(ReducedOrTerminated="Terminated",$B53&gt;=EffectiveWithPILON),0,IF(B53&gt;=EffectiveWithPILON,H53+MAX(I$13:I53),IF(B53&gt;=NoticeStartDate,H53,"")))</f>
        <v>0</v>
      </c>
      <c r="K53" s="9">
        <f t="shared" si="6"/>
        <v>0</v>
      </c>
    </row>
    <row r="54" spans="1:11" x14ac:dyDescent="0.25">
      <c r="A54" s="171">
        <f>IF(B54&lt;MIN('A1 Contract'!$B$25:$B$34),0,IF(B54&gt;MAX('A1 Contract'!$B$25:$B$34),MAX('A1 Contract'!$A$25:$A$34),LOOKUP(B54,'A1 Contract'!$B$25:$B$34,'A1 Contract'!$A$25:$A$34)))</f>
        <v>1</v>
      </c>
      <c r="B54" s="174">
        <f t="shared" si="7"/>
        <v>43282</v>
      </c>
      <c r="C54" s="151">
        <f t="shared" si="9"/>
        <v>0</v>
      </c>
      <c r="D54" s="155">
        <f t="shared" si="8"/>
        <v>0</v>
      </c>
      <c r="E54" s="156">
        <f t="shared" si="10"/>
        <v>0</v>
      </c>
      <c r="F54" s="151">
        <f t="shared" si="5"/>
        <v>0</v>
      </c>
      <c r="G54" s="8">
        <f t="shared" si="11"/>
        <v>0</v>
      </c>
      <c r="H54" s="14">
        <f t="shared" si="12"/>
        <v>0</v>
      </c>
      <c r="I54" s="14" t="str">
        <f t="shared" si="13"/>
        <v/>
      </c>
      <c r="J54" s="14">
        <f>IF(AND(ReducedOrTerminated="Terminated",$B54&gt;=EffectiveWithPILON),0,IF(B54&gt;=EffectiveWithPILON,H54+MAX(I$13:I54),IF(B54&gt;=NoticeStartDate,H54,"")))</f>
        <v>0</v>
      </c>
      <c r="K54" s="9">
        <f t="shared" si="6"/>
        <v>0</v>
      </c>
    </row>
    <row r="55" spans="1:11" x14ac:dyDescent="0.25">
      <c r="A55" s="171">
        <f>IF(B55&lt;MIN('A1 Contract'!$B$25:$B$34),0,IF(B55&gt;MAX('A1 Contract'!$B$25:$B$34),MAX('A1 Contract'!$A$25:$A$34),LOOKUP(B55,'A1 Contract'!$B$25:$B$34,'A1 Contract'!$A$25:$A$34)))</f>
        <v>1</v>
      </c>
      <c r="B55" s="174">
        <f t="shared" si="7"/>
        <v>43313</v>
      </c>
      <c r="C55" s="151">
        <f t="shared" si="9"/>
        <v>0</v>
      </c>
      <c r="D55" s="155">
        <f t="shared" si="8"/>
        <v>0</v>
      </c>
      <c r="E55" s="156">
        <f t="shared" si="10"/>
        <v>0</v>
      </c>
      <c r="F55" s="151">
        <f t="shared" si="5"/>
        <v>0</v>
      </c>
      <c r="G55" s="8">
        <f t="shared" si="11"/>
        <v>0</v>
      </c>
      <c r="H55" s="14">
        <f t="shared" si="12"/>
        <v>0</v>
      </c>
      <c r="I55" s="14" t="str">
        <f t="shared" si="13"/>
        <v/>
      </c>
      <c r="J55" s="14">
        <f>IF(AND(ReducedOrTerminated="Terminated",$B55&gt;=EffectiveWithPILON),0,IF(B55&gt;=EffectiveWithPILON,H55+MAX(I$13:I55),IF(B55&gt;=NoticeStartDate,H55,"")))</f>
        <v>0</v>
      </c>
      <c r="K55" s="9">
        <f t="shared" si="6"/>
        <v>0</v>
      </c>
    </row>
    <row r="56" spans="1:11" x14ac:dyDescent="0.25">
      <c r="A56" s="171">
        <f>IF(B56&lt;MIN('A1 Contract'!$B$25:$B$34),0,IF(B56&gt;MAX('A1 Contract'!$B$25:$B$34),MAX('A1 Contract'!$A$25:$A$34),LOOKUP(B56,'A1 Contract'!$B$25:$B$34,'A1 Contract'!$A$25:$A$34)))</f>
        <v>1</v>
      </c>
      <c r="B56" s="174">
        <f t="shared" si="7"/>
        <v>43344</v>
      </c>
      <c r="C56" s="151">
        <f t="shared" si="9"/>
        <v>0</v>
      </c>
      <c r="D56" s="155">
        <f t="shared" si="8"/>
        <v>0</v>
      </c>
      <c r="E56" s="156">
        <f t="shared" si="10"/>
        <v>0</v>
      </c>
      <c r="F56" s="151">
        <f t="shared" si="5"/>
        <v>0</v>
      </c>
      <c r="G56" s="8">
        <f t="shared" si="11"/>
        <v>0</v>
      </c>
      <c r="H56" s="14">
        <f t="shared" si="12"/>
        <v>0</v>
      </c>
      <c r="I56" s="14" t="str">
        <f t="shared" si="13"/>
        <v/>
      </c>
      <c r="J56" s="14">
        <f>IF(AND(ReducedOrTerminated="Terminated",$B56&gt;=EffectiveWithPILON),0,IF(B56&gt;=EffectiveWithPILON,H56+MAX(I$13:I56),IF(B56&gt;=NoticeStartDate,H56,"")))</f>
        <v>0</v>
      </c>
      <c r="K56" s="9">
        <f t="shared" si="6"/>
        <v>0</v>
      </c>
    </row>
    <row r="57" spans="1:11" x14ac:dyDescent="0.25">
      <c r="A57" s="171">
        <f>IF(B57&lt;MIN('A1 Contract'!$B$25:$B$34),0,IF(B57&gt;MAX('A1 Contract'!$B$25:$B$34),MAX('A1 Contract'!$A$25:$A$34),LOOKUP(B57,'A1 Contract'!$B$25:$B$34,'A1 Contract'!$A$25:$A$34)))</f>
        <v>1</v>
      </c>
      <c r="B57" s="174">
        <f t="shared" si="7"/>
        <v>43374</v>
      </c>
      <c r="C57" s="151">
        <f t="shared" si="9"/>
        <v>0</v>
      </c>
      <c r="D57" s="155">
        <f t="shared" si="8"/>
        <v>0</v>
      </c>
      <c r="E57" s="156">
        <f t="shared" si="10"/>
        <v>0</v>
      </c>
      <c r="F57" s="151">
        <f t="shared" si="5"/>
        <v>0</v>
      </c>
      <c r="G57" s="8">
        <f t="shared" si="11"/>
        <v>0</v>
      </c>
      <c r="H57" s="14">
        <f t="shared" si="12"/>
        <v>0</v>
      </c>
      <c r="I57" s="14" t="str">
        <f t="shared" si="13"/>
        <v/>
      </c>
      <c r="J57" s="14">
        <f>IF(AND(ReducedOrTerminated="Terminated",$B57&gt;=EffectiveWithPILON),0,IF(B57&gt;=EffectiveWithPILON,H57+MAX(I$13:I57),IF(B57&gt;=NoticeStartDate,H57,"")))</f>
        <v>0</v>
      </c>
      <c r="K57" s="9">
        <f t="shared" si="6"/>
        <v>0</v>
      </c>
    </row>
    <row r="58" spans="1:11" x14ac:dyDescent="0.25">
      <c r="A58" s="171">
        <f>IF(B58&lt;MIN('A1 Contract'!$B$25:$B$34),0,IF(B58&gt;MAX('A1 Contract'!$B$25:$B$34),MAX('A1 Contract'!$A$25:$A$34),LOOKUP(B58,'A1 Contract'!$B$25:$B$34,'A1 Contract'!$A$25:$A$34)))</f>
        <v>1</v>
      </c>
      <c r="B58" s="174">
        <f t="shared" si="7"/>
        <v>43405</v>
      </c>
      <c r="C58" s="151">
        <f t="shared" si="9"/>
        <v>0</v>
      </c>
      <c r="D58" s="155">
        <f t="shared" si="8"/>
        <v>0</v>
      </c>
      <c r="E58" s="156">
        <f t="shared" si="10"/>
        <v>0</v>
      </c>
      <c r="F58" s="151">
        <f t="shared" si="5"/>
        <v>0</v>
      </c>
      <c r="G58" s="8">
        <f t="shared" si="11"/>
        <v>0</v>
      </c>
      <c r="H58" s="14">
        <f t="shared" si="12"/>
        <v>0</v>
      </c>
      <c r="I58" s="14" t="str">
        <f t="shared" si="13"/>
        <v/>
      </c>
      <c r="J58" s="14">
        <f>IF(AND(ReducedOrTerminated="Terminated",$B58&gt;=EffectiveWithPILON),0,IF(B58&gt;=EffectiveWithPILON,H58+MAX(I$13:I58),IF(B58&gt;=NoticeStartDate,H58,"")))</f>
        <v>0</v>
      </c>
      <c r="K58" s="9">
        <f t="shared" si="6"/>
        <v>0</v>
      </c>
    </row>
    <row r="59" spans="1:11" x14ac:dyDescent="0.25">
      <c r="A59" s="171">
        <f>IF(B59&lt;MIN('A1 Contract'!$B$25:$B$34),0,IF(B59&gt;MAX('A1 Contract'!$B$25:$B$34),MAX('A1 Contract'!$A$25:$A$34),LOOKUP(B59,'A1 Contract'!$B$25:$B$34,'A1 Contract'!$A$25:$A$34)))</f>
        <v>1</v>
      </c>
      <c r="B59" s="174">
        <f t="shared" si="7"/>
        <v>43435</v>
      </c>
      <c r="C59" s="151">
        <f t="shared" si="9"/>
        <v>0</v>
      </c>
      <c r="D59" s="155">
        <f t="shared" si="8"/>
        <v>0</v>
      </c>
      <c r="E59" s="156">
        <f t="shared" si="10"/>
        <v>0</v>
      </c>
      <c r="F59" s="151">
        <f t="shared" si="5"/>
        <v>0</v>
      </c>
      <c r="G59" s="8">
        <f t="shared" si="11"/>
        <v>0</v>
      </c>
      <c r="H59" s="14">
        <f t="shared" si="12"/>
        <v>0</v>
      </c>
      <c r="I59" s="14" t="str">
        <f t="shared" si="13"/>
        <v/>
      </c>
      <c r="J59" s="14">
        <f>IF(AND(ReducedOrTerminated="Terminated",$B59&gt;=EffectiveWithPILON),0,IF(B59&gt;=EffectiveWithPILON,H59+MAX(I$13:I59),IF(B59&gt;=NoticeStartDate,H59,"")))</f>
        <v>0</v>
      </c>
      <c r="K59" s="9">
        <f t="shared" si="6"/>
        <v>0</v>
      </c>
    </row>
    <row r="60" spans="1:11" x14ac:dyDescent="0.25">
      <c r="A60" s="171">
        <f>IF(B60&lt;MIN('A1 Contract'!$B$25:$B$34),0,IF(B60&gt;MAX('A1 Contract'!$B$25:$B$34),MAX('A1 Contract'!$A$25:$A$34),LOOKUP(B60,'A1 Contract'!$B$25:$B$34,'A1 Contract'!$A$25:$A$34)))</f>
        <v>1</v>
      </c>
      <c r="B60" s="174">
        <f t="shared" si="7"/>
        <v>43466</v>
      </c>
      <c r="C60" s="151">
        <f t="shared" si="9"/>
        <v>0</v>
      </c>
      <c r="D60" s="155">
        <f t="shared" si="8"/>
        <v>0</v>
      </c>
      <c r="E60" s="156">
        <f t="shared" si="10"/>
        <v>0</v>
      </c>
      <c r="F60" s="151">
        <f t="shared" si="5"/>
        <v>0</v>
      </c>
      <c r="G60" s="8">
        <f t="shared" si="11"/>
        <v>0</v>
      </c>
      <c r="H60" s="14">
        <f t="shared" si="12"/>
        <v>0</v>
      </c>
      <c r="I60" s="14" t="str">
        <f t="shared" si="13"/>
        <v/>
      </c>
      <c r="J60" s="14">
        <f>IF(AND(ReducedOrTerminated="Terminated",$B60&gt;=EffectiveWithPILON),0,IF(B60&gt;=EffectiveWithPILON,H60+MAX(I$13:I60),IF(B60&gt;=NoticeStartDate,H60,"")))</f>
        <v>0</v>
      </c>
      <c r="K60" s="9">
        <f t="shared" si="6"/>
        <v>0</v>
      </c>
    </row>
    <row r="61" spans="1:11" x14ac:dyDescent="0.25">
      <c r="A61" s="171">
        <f>IF(B61&lt;MIN('A1 Contract'!$B$25:$B$34),0,IF(B61&gt;MAX('A1 Contract'!$B$25:$B$34),MAX('A1 Contract'!$A$25:$A$34),LOOKUP(B61,'A1 Contract'!$B$25:$B$34,'A1 Contract'!$A$25:$A$34)))</f>
        <v>1</v>
      </c>
      <c r="B61" s="174">
        <f t="shared" si="7"/>
        <v>43497</v>
      </c>
      <c r="C61" s="151">
        <f t="shared" si="9"/>
        <v>0</v>
      </c>
      <c r="D61" s="155">
        <f t="shared" si="8"/>
        <v>0</v>
      </c>
      <c r="E61" s="156">
        <f t="shared" si="10"/>
        <v>0</v>
      </c>
      <c r="F61" s="151">
        <f t="shared" si="5"/>
        <v>0</v>
      </c>
      <c r="G61" s="8">
        <f t="shared" si="11"/>
        <v>0</v>
      </c>
      <c r="H61" s="14">
        <f t="shared" si="12"/>
        <v>0</v>
      </c>
      <c r="I61" s="14" t="str">
        <f t="shared" si="13"/>
        <v/>
      </c>
      <c r="J61" s="14">
        <f>IF(AND(ReducedOrTerminated="Terminated",$B61&gt;=EffectiveWithPILON),0,IF(B61&gt;=EffectiveWithPILON,H61+MAX(I$13:I61),IF(B61&gt;=NoticeStartDate,H61,"")))</f>
        <v>0</v>
      </c>
      <c r="K61" s="9">
        <f t="shared" si="6"/>
        <v>0</v>
      </c>
    </row>
    <row r="62" spans="1:11" x14ac:dyDescent="0.25">
      <c r="A62" s="171">
        <f>IF(B62&lt;MIN('A1 Contract'!$B$25:$B$34),0,IF(B62&gt;MAX('A1 Contract'!$B$25:$B$34),MAX('A1 Contract'!$A$25:$A$34),LOOKUP(B62,'A1 Contract'!$B$25:$B$34,'A1 Contract'!$A$25:$A$34)))</f>
        <v>1</v>
      </c>
      <c r="B62" s="174">
        <f t="shared" si="7"/>
        <v>43525</v>
      </c>
      <c r="C62" s="151">
        <f t="shared" si="9"/>
        <v>0</v>
      </c>
      <c r="D62" s="155">
        <f t="shared" si="8"/>
        <v>0</v>
      </c>
      <c r="E62" s="156">
        <f t="shared" si="10"/>
        <v>0</v>
      </c>
      <c r="F62" s="151">
        <f t="shared" si="5"/>
        <v>0</v>
      </c>
      <c r="G62" s="8">
        <f t="shared" si="11"/>
        <v>0</v>
      </c>
      <c r="H62" s="14">
        <f t="shared" si="12"/>
        <v>0</v>
      </c>
      <c r="I62" s="14" t="str">
        <f t="shared" si="13"/>
        <v/>
      </c>
      <c r="J62" s="14">
        <f>IF(AND(ReducedOrTerminated="Terminated",$B62&gt;=EffectiveWithPILON),0,IF(B62&gt;=EffectiveWithPILON,H62+MAX(I$13:I62),IF(B62&gt;=NoticeStartDate,H62,"")))</f>
        <v>0</v>
      </c>
      <c r="K62" s="9">
        <f t="shared" si="6"/>
        <v>0</v>
      </c>
    </row>
    <row r="63" spans="1:11" x14ac:dyDescent="0.25">
      <c r="A63" s="171">
        <f>IF(B63&lt;MIN('A1 Contract'!$B$25:$B$34),0,IF(B63&gt;MAX('A1 Contract'!$B$25:$B$34),MAX('A1 Contract'!$A$25:$A$34),LOOKUP(B63,'A1 Contract'!$B$25:$B$34,'A1 Contract'!$A$25:$A$34)))</f>
        <v>1</v>
      </c>
      <c r="B63" s="174">
        <f t="shared" si="7"/>
        <v>43556</v>
      </c>
      <c r="C63" s="151">
        <f t="shared" si="9"/>
        <v>0</v>
      </c>
      <c r="D63" s="155">
        <f t="shared" si="8"/>
        <v>0</v>
      </c>
      <c r="E63" s="156">
        <f t="shared" si="10"/>
        <v>0</v>
      </c>
      <c r="F63" s="151">
        <f t="shared" si="5"/>
        <v>0</v>
      </c>
      <c r="G63" s="8">
        <f t="shared" si="11"/>
        <v>0</v>
      </c>
      <c r="H63" s="14">
        <f t="shared" si="12"/>
        <v>0</v>
      </c>
      <c r="I63" s="14" t="str">
        <f t="shared" si="13"/>
        <v/>
      </c>
      <c r="J63" s="14">
        <f>IF(AND(ReducedOrTerminated="Terminated",$B63&gt;=EffectiveWithPILON),0,IF(B63&gt;=EffectiveWithPILON,H63+MAX(I$13:I63),IF(B63&gt;=NoticeStartDate,H63,"")))</f>
        <v>0</v>
      </c>
      <c r="K63" s="9">
        <f t="shared" si="6"/>
        <v>0</v>
      </c>
    </row>
    <row r="64" spans="1:11" x14ac:dyDescent="0.25">
      <c r="A64" s="171">
        <f>IF(B64&lt;MIN('A1 Contract'!$B$25:$B$34),0,IF(B64&gt;MAX('A1 Contract'!$B$25:$B$34),MAX('A1 Contract'!$A$25:$A$34),LOOKUP(B64,'A1 Contract'!$B$25:$B$34,'A1 Contract'!$A$25:$A$34)))</f>
        <v>1</v>
      </c>
      <c r="B64" s="174">
        <f t="shared" si="7"/>
        <v>43586</v>
      </c>
      <c r="C64" s="151">
        <f t="shared" si="9"/>
        <v>0</v>
      </c>
      <c r="D64" s="155">
        <f t="shared" si="8"/>
        <v>0</v>
      </c>
      <c r="E64" s="156">
        <f t="shared" si="10"/>
        <v>0</v>
      </c>
      <c r="F64" s="151">
        <f t="shared" si="5"/>
        <v>0</v>
      </c>
      <c r="G64" s="8">
        <f t="shared" si="11"/>
        <v>0</v>
      </c>
      <c r="H64" s="14">
        <f t="shared" si="12"/>
        <v>0</v>
      </c>
      <c r="I64" s="14" t="str">
        <f t="shared" si="13"/>
        <v/>
      </c>
      <c r="J64" s="14">
        <f>IF(AND(ReducedOrTerminated="Terminated",$B64&gt;=EffectiveWithPILON),0,IF(B64&gt;=EffectiveWithPILON,H64+MAX(I$13:I64),IF(B64&gt;=NoticeStartDate,H64,"")))</f>
        <v>0</v>
      </c>
      <c r="K64" s="9">
        <f t="shared" si="6"/>
        <v>0</v>
      </c>
    </row>
    <row r="65" spans="1:11" x14ac:dyDescent="0.25">
      <c r="A65" s="171">
        <f>IF(B65&lt;MIN('A1 Contract'!$B$25:$B$34),0,IF(B65&gt;MAX('A1 Contract'!$B$25:$B$34),MAX('A1 Contract'!$A$25:$A$34),LOOKUP(B65,'A1 Contract'!$B$25:$B$34,'A1 Contract'!$A$25:$A$34)))</f>
        <v>1</v>
      </c>
      <c r="B65" s="174">
        <f t="shared" si="7"/>
        <v>43617</v>
      </c>
      <c r="C65" s="151">
        <f t="shared" si="9"/>
        <v>0</v>
      </c>
      <c r="D65" s="155">
        <f t="shared" si="8"/>
        <v>0</v>
      </c>
      <c r="E65" s="156">
        <f t="shared" si="10"/>
        <v>0</v>
      </c>
      <c r="F65" s="151">
        <f t="shared" si="5"/>
        <v>0</v>
      </c>
      <c r="G65" s="8">
        <f t="shared" si="11"/>
        <v>0</v>
      </c>
      <c r="H65" s="14">
        <f t="shared" si="12"/>
        <v>0</v>
      </c>
      <c r="I65" s="14" t="str">
        <f t="shared" si="13"/>
        <v/>
      </c>
      <c r="J65" s="14">
        <f>IF(AND(ReducedOrTerminated="Terminated",$B65&gt;=EffectiveWithPILON),0,IF(B65&gt;=EffectiveWithPILON,H65+MAX(I$13:I65),IF(B65&gt;=NoticeStartDate,H65,"")))</f>
        <v>0</v>
      </c>
      <c r="K65" s="9">
        <f t="shared" si="6"/>
        <v>0</v>
      </c>
    </row>
    <row r="66" spans="1:11" x14ac:dyDescent="0.25">
      <c r="A66" s="171">
        <f>IF(B66&lt;MIN('A1 Contract'!$B$25:$B$34),0,IF(B66&gt;MAX('A1 Contract'!$B$25:$B$34),MAX('A1 Contract'!$A$25:$A$34),LOOKUP(B66,'A1 Contract'!$B$25:$B$34,'A1 Contract'!$A$25:$A$34)))</f>
        <v>1</v>
      </c>
      <c r="B66" s="174">
        <f t="shared" si="7"/>
        <v>43647</v>
      </c>
      <c r="C66" s="151">
        <f t="shared" si="9"/>
        <v>0</v>
      </c>
      <c r="D66" s="155">
        <f t="shared" si="8"/>
        <v>0</v>
      </c>
      <c r="E66" s="156">
        <f t="shared" si="10"/>
        <v>0</v>
      </c>
      <c r="F66" s="151">
        <f t="shared" si="5"/>
        <v>0</v>
      </c>
      <c r="G66" s="8">
        <f t="shared" si="11"/>
        <v>0</v>
      </c>
      <c r="H66" s="14">
        <f t="shared" si="12"/>
        <v>0</v>
      </c>
      <c r="I66" s="14" t="str">
        <f t="shared" si="13"/>
        <v/>
      </c>
      <c r="J66" s="14">
        <f>IF(AND(ReducedOrTerminated="Terminated",$B66&gt;=EffectiveWithPILON),0,IF(B66&gt;=EffectiveWithPILON,H66+MAX(I$13:I66),IF(B66&gt;=NoticeStartDate,H66,"")))</f>
        <v>0</v>
      </c>
      <c r="K66" s="9">
        <f t="shared" si="6"/>
        <v>0</v>
      </c>
    </row>
    <row r="67" spans="1:11" x14ac:dyDescent="0.25">
      <c r="A67" s="171">
        <f>IF(B67&lt;MIN('A1 Contract'!$B$25:$B$34),0,IF(B67&gt;MAX('A1 Contract'!$B$25:$B$34),MAX('A1 Contract'!$A$25:$A$34),LOOKUP(B67,'A1 Contract'!$B$25:$B$34,'A1 Contract'!$A$25:$A$34)))</f>
        <v>1</v>
      </c>
      <c r="B67" s="174">
        <f t="shared" si="7"/>
        <v>43678</v>
      </c>
      <c r="C67" s="151">
        <f t="shared" si="9"/>
        <v>0</v>
      </c>
      <c r="D67" s="155">
        <f t="shared" si="8"/>
        <v>0</v>
      </c>
      <c r="E67" s="156">
        <f t="shared" si="10"/>
        <v>0</v>
      </c>
      <c r="F67" s="151">
        <f t="shared" si="5"/>
        <v>0</v>
      </c>
      <c r="G67" s="8">
        <f t="shared" si="11"/>
        <v>0</v>
      </c>
      <c r="H67" s="14">
        <f t="shared" si="12"/>
        <v>0</v>
      </c>
      <c r="I67" s="14" t="str">
        <f t="shared" si="13"/>
        <v/>
      </c>
      <c r="J67" s="14">
        <f>IF(AND(ReducedOrTerminated="Terminated",$B67&gt;=EffectiveWithPILON),0,IF(B67&gt;=EffectiveWithPILON,H67+MAX(I$13:I67),IF(B67&gt;=NoticeStartDate,H67,"")))</f>
        <v>0</v>
      </c>
      <c r="K67" s="9">
        <f t="shared" si="6"/>
        <v>0</v>
      </c>
    </row>
    <row r="68" spans="1:11" x14ac:dyDescent="0.25">
      <c r="A68" s="171">
        <f>IF(B68&lt;MIN('A1 Contract'!$B$25:$B$34),0,IF(B68&gt;MAX('A1 Contract'!$B$25:$B$34),MAX('A1 Contract'!$A$25:$A$34),LOOKUP(B68,'A1 Contract'!$B$25:$B$34,'A1 Contract'!$A$25:$A$34)))</f>
        <v>1</v>
      </c>
      <c r="B68" s="174">
        <f t="shared" si="7"/>
        <v>43709</v>
      </c>
      <c r="C68" s="151">
        <f t="shared" si="9"/>
        <v>0</v>
      </c>
      <c r="D68" s="155">
        <f t="shared" si="8"/>
        <v>0</v>
      </c>
      <c r="E68" s="156">
        <f t="shared" si="10"/>
        <v>0</v>
      </c>
      <c r="F68" s="151">
        <f t="shared" si="5"/>
        <v>0</v>
      </c>
      <c r="G68" s="8">
        <f t="shared" si="11"/>
        <v>0</v>
      </c>
      <c r="H68" s="14">
        <f t="shared" si="12"/>
        <v>0</v>
      </c>
      <c r="I68" s="14" t="str">
        <f t="shared" si="13"/>
        <v/>
      </c>
      <c r="J68" s="14">
        <f>IF(AND(ReducedOrTerminated="Terminated",$B68&gt;=EffectiveWithPILON),0,IF(B68&gt;=EffectiveWithPILON,H68+MAX(I$13:I68),IF(B68&gt;=NoticeStartDate,H68,"")))</f>
        <v>0</v>
      </c>
      <c r="K68" s="9">
        <f t="shared" si="6"/>
        <v>0</v>
      </c>
    </row>
    <row r="69" spans="1:11" x14ac:dyDescent="0.25">
      <c r="A69" s="171">
        <f>IF(B69&lt;MIN('A1 Contract'!$B$25:$B$34),0,IF(B69&gt;MAX('A1 Contract'!$B$25:$B$34),MAX('A1 Contract'!$A$25:$A$34),LOOKUP(B69,'A1 Contract'!$B$25:$B$34,'A1 Contract'!$A$25:$A$34)))</f>
        <v>1</v>
      </c>
      <c r="B69" s="174">
        <f t="shared" si="7"/>
        <v>43739</v>
      </c>
      <c r="C69" s="151">
        <f t="shared" si="9"/>
        <v>0</v>
      </c>
      <c r="D69" s="155">
        <f t="shared" si="8"/>
        <v>0</v>
      </c>
      <c r="E69" s="156">
        <f t="shared" si="10"/>
        <v>0</v>
      </c>
      <c r="F69" s="151">
        <f t="shared" si="5"/>
        <v>0</v>
      </c>
      <c r="G69" s="8">
        <f t="shared" si="11"/>
        <v>0</v>
      </c>
      <c r="H69" s="14">
        <f t="shared" si="12"/>
        <v>0</v>
      </c>
      <c r="I69" s="14" t="str">
        <f t="shared" si="13"/>
        <v/>
      </c>
      <c r="J69" s="14">
        <f>IF(AND(ReducedOrTerminated="Terminated",$B69&gt;=EffectiveWithPILON),0,IF(B69&gt;=EffectiveWithPILON,H69+MAX(I$13:I69),IF(B69&gt;=NoticeStartDate,H69,"")))</f>
        <v>0</v>
      </c>
      <c r="K69" s="9">
        <f t="shared" si="6"/>
        <v>0</v>
      </c>
    </row>
    <row r="70" spans="1:11" x14ac:dyDescent="0.25">
      <c r="A70" s="171">
        <f>IF(B70&lt;MIN('A1 Contract'!$B$25:$B$34),0,IF(B70&gt;MAX('A1 Contract'!$B$25:$B$34),MAX('A1 Contract'!$A$25:$A$34),LOOKUP(B70,'A1 Contract'!$B$25:$B$34,'A1 Contract'!$A$25:$A$34)))</f>
        <v>1</v>
      </c>
      <c r="B70" s="174">
        <f t="shared" si="7"/>
        <v>43770</v>
      </c>
      <c r="C70" s="151">
        <f t="shared" si="9"/>
        <v>0</v>
      </c>
      <c r="D70" s="155">
        <f t="shared" si="8"/>
        <v>0</v>
      </c>
      <c r="E70" s="156">
        <f t="shared" si="10"/>
        <v>0</v>
      </c>
      <c r="F70" s="151">
        <f t="shared" si="5"/>
        <v>0</v>
      </c>
      <c r="G70" s="8">
        <f t="shared" si="11"/>
        <v>0</v>
      </c>
      <c r="H70" s="14">
        <f t="shared" si="12"/>
        <v>0</v>
      </c>
      <c r="I70" s="14" t="str">
        <f t="shared" si="13"/>
        <v/>
      </c>
      <c r="J70" s="14">
        <f>IF(AND(ReducedOrTerminated="Terminated",$B70&gt;=EffectiveWithPILON),0,IF(B70&gt;=EffectiveWithPILON,H70+MAX(I$13:I70),IF(B70&gt;=NoticeStartDate,H70,"")))</f>
        <v>0</v>
      </c>
      <c r="K70" s="9">
        <f t="shared" si="6"/>
        <v>0</v>
      </c>
    </row>
    <row r="71" spans="1:11" x14ac:dyDescent="0.25">
      <c r="A71" s="171">
        <f>IF(B71&lt;MIN('A1 Contract'!$B$25:$B$34),0,IF(B71&gt;MAX('A1 Contract'!$B$25:$B$34),MAX('A1 Contract'!$A$25:$A$34),LOOKUP(B71,'A1 Contract'!$B$25:$B$34,'A1 Contract'!$A$25:$A$34)))</f>
        <v>1</v>
      </c>
      <c r="B71" s="174">
        <f t="shared" si="7"/>
        <v>43800</v>
      </c>
      <c r="C71" s="151">
        <f t="shared" si="9"/>
        <v>0</v>
      </c>
      <c r="D71" s="155">
        <f t="shared" si="8"/>
        <v>0</v>
      </c>
      <c r="E71" s="156">
        <f t="shared" si="10"/>
        <v>0</v>
      </c>
      <c r="F71" s="151">
        <f t="shared" si="5"/>
        <v>0</v>
      </c>
      <c r="G71" s="8">
        <f t="shared" si="11"/>
        <v>0</v>
      </c>
      <c r="H71" s="14">
        <f t="shared" si="12"/>
        <v>0</v>
      </c>
      <c r="I71" s="14" t="str">
        <f t="shared" si="13"/>
        <v/>
      </c>
      <c r="J71" s="14">
        <f>IF(AND(ReducedOrTerminated="Terminated",$B71&gt;=EffectiveWithPILON),0,IF(B71&gt;=EffectiveWithPILON,H71+MAX(I$13:I71),IF(B71&gt;=NoticeStartDate,H71,"")))</f>
        <v>0</v>
      </c>
      <c r="K71" s="9">
        <f t="shared" si="6"/>
        <v>0</v>
      </c>
    </row>
    <row r="72" spans="1:11" x14ac:dyDescent="0.25">
      <c r="A72" s="171">
        <f>IF(B72&lt;MIN('A1 Contract'!$B$25:$B$34),0,IF(B72&gt;MAX('A1 Contract'!$B$25:$B$34),MAX('A1 Contract'!$A$25:$A$34),LOOKUP(B72,'A1 Contract'!$B$25:$B$34,'A1 Contract'!$A$25:$A$34)))</f>
        <v>1</v>
      </c>
      <c r="B72" s="174">
        <f t="shared" si="7"/>
        <v>43831</v>
      </c>
      <c r="C72" s="151">
        <f t="shared" si="9"/>
        <v>0</v>
      </c>
      <c r="D72" s="155">
        <f t="shared" si="8"/>
        <v>0</v>
      </c>
      <c r="E72" s="156">
        <f t="shared" si="10"/>
        <v>0</v>
      </c>
      <c r="F72" s="151">
        <f t="shared" si="5"/>
        <v>0</v>
      </c>
      <c r="G72" s="8">
        <f t="shared" si="11"/>
        <v>0</v>
      </c>
      <c r="H72" s="14">
        <f t="shared" si="12"/>
        <v>0</v>
      </c>
      <c r="I72" s="14" t="str">
        <f t="shared" si="13"/>
        <v/>
      </c>
      <c r="J72" s="14">
        <f>IF(AND(ReducedOrTerminated="Terminated",$B72&gt;=EffectiveWithPILON),0,IF(B72&gt;=EffectiveWithPILON,H72+MAX(I$13:I72),IF(B72&gt;=NoticeStartDate,H72,"")))</f>
        <v>0</v>
      </c>
      <c r="K72" s="9">
        <f t="shared" si="6"/>
        <v>0</v>
      </c>
    </row>
    <row r="73" spans="1:11" x14ac:dyDescent="0.25">
      <c r="A73" s="171">
        <f>IF(B73&lt;MIN('A1 Contract'!$B$25:$B$34),0,IF(B73&gt;MAX('A1 Contract'!$B$25:$B$34),MAX('A1 Contract'!$A$25:$A$34),LOOKUP(B73,'A1 Contract'!$B$25:$B$34,'A1 Contract'!$A$25:$A$34)))</f>
        <v>1</v>
      </c>
      <c r="B73" s="174">
        <f t="shared" si="7"/>
        <v>43862</v>
      </c>
      <c r="C73" s="151">
        <f t="shared" si="9"/>
        <v>0</v>
      </c>
      <c r="D73" s="155">
        <f t="shared" si="8"/>
        <v>0</v>
      </c>
      <c r="E73" s="156">
        <f t="shared" si="10"/>
        <v>0</v>
      </c>
      <c r="F73" s="151">
        <f t="shared" si="5"/>
        <v>0</v>
      </c>
      <c r="G73" s="8">
        <f t="shared" si="11"/>
        <v>0</v>
      </c>
      <c r="H73" s="14">
        <f t="shared" si="12"/>
        <v>0</v>
      </c>
      <c r="I73" s="14" t="str">
        <f t="shared" si="13"/>
        <v/>
      </c>
      <c r="J73" s="14">
        <f>IF(AND(ReducedOrTerminated="Terminated",$B73&gt;=EffectiveWithPILON),0,IF(B73&gt;=EffectiveWithPILON,H73+MAX(I$13:I73),IF(B73&gt;=NoticeStartDate,H73,"")))</f>
        <v>0</v>
      </c>
      <c r="K73" s="9">
        <f t="shared" si="6"/>
        <v>0</v>
      </c>
    </row>
    <row r="74" spans="1:11" x14ac:dyDescent="0.25">
      <c r="A74" s="171">
        <f>IF(B74&lt;MIN('A1 Contract'!$B$25:$B$34),0,IF(B74&gt;MAX('A1 Contract'!$B$25:$B$34),MAX('A1 Contract'!$A$25:$A$34),LOOKUP(B74,'A1 Contract'!$B$25:$B$34,'A1 Contract'!$A$25:$A$34)))</f>
        <v>1</v>
      </c>
      <c r="B74" s="174">
        <f t="shared" si="7"/>
        <v>43891</v>
      </c>
      <c r="C74" s="151">
        <f t="shared" si="9"/>
        <v>0</v>
      </c>
      <c r="D74" s="155">
        <f t="shared" si="8"/>
        <v>0</v>
      </c>
      <c r="E74" s="156">
        <f t="shared" si="10"/>
        <v>0</v>
      </c>
      <c r="F74" s="151">
        <f t="shared" si="5"/>
        <v>0</v>
      </c>
      <c r="G74" s="8">
        <f t="shared" si="11"/>
        <v>0</v>
      </c>
      <c r="H74" s="14">
        <f t="shared" si="12"/>
        <v>0</v>
      </c>
      <c r="I74" s="14" t="str">
        <f t="shared" si="13"/>
        <v/>
      </c>
      <c r="J74" s="14">
        <f>IF(AND(ReducedOrTerminated="Terminated",$B74&gt;=EffectiveWithPILON),0,IF(B74&gt;=EffectiveWithPILON,H74+MAX(I$13:I74),IF(B74&gt;=NoticeStartDate,H74,"")))</f>
        <v>0</v>
      </c>
      <c r="K74" s="9">
        <f t="shared" si="6"/>
        <v>0</v>
      </c>
    </row>
    <row r="75" spans="1:11" x14ac:dyDescent="0.25">
      <c r="A75" s="171">
        <f>IF(B75&lt;MIN('A1 Contract'!$B$25:$B$34),0,IF(B75&gt;MAX('A1 Contract'!$B$25:$B$34),MAX('A1 Contract'!$A$25:$A$34),LOOKUP(B75,'A1 Contract'!$B$25:$B$34,'A1 Contract'!$A$25:$A$34)))</f>
        <v>1</v>
      </c>
      <c r="B75" s="174">
        <f t="shared" si="7"/>
        <v>43922</v>
      </c>
      <c r="C75" s="151">
        <f t="shared" si="9"/>
        <v>0</v>
      </c>
      <c r="D75" s="155">
        <f t="shared" si="8"/>
        <v>0</v>
      </c>
      <c r="E75" s="156">
        <f t="shared" si="10"/>
        <v>0</v>
      </c>
      <c r="F75" s="151">
        <f t="shared" si="5"/>
        <v>0</v>
      </c>
      <c r="G75" s="8">
        <f t="shared" si="11"/>
        <v>0</v>
      </c>
      <c r="H75" s="14">
        <f t="shared" si="12"/>
        <v>0</v>
      </c>
      <c r="I75" s="14" t="str">
        <f t="shared" si="13"/>
        <v/>
      </c>
      <c r="J75" s="14">
        <f>IF(AND(ReducedOrTerminated="Terminated",$B75&gt;=EffectiveWithPILON),0,IF(B75&gt;=EffectiveWithPILON,H75+MAX(I$13:I75),IF(B75&gt;=NoticeStartDate,H75,"")))</f>
        <v>0</v>
      </c>
      <c r="K75" s="9">
        <f t="shared" si="6"/>
        <v>0</v>
      </c>
    </row>
    <row r="76" spans="1:11" x14ac:dyDescent="0.25">
      <c r="A76" s="171">
        <f>IF(B76&lt;MIN('A1 Contract'!$B$25:$B$34),0,IF(B76&gt;MAX('A1 Contract'!$B$25:$B$34),MAX('A1 Contract'!$A$25:$A$34),LOOKUP(B76,'A1 Contract'!$B$25:$B$34,'A1 Contract'!$A$25:$A$34)))</f>
        <v>1</v>
      </c>
      <c r="B76" s="174">
        <f t="shared" si="7"/>
        <v>43952</v>
      </c>
      <c r="C76" s="151">
        <f t="shared" si="9"/>
        <v>0</v>
      </c>
      <c r="D76" s="155">
        <f t="shared" si="8"/>
        <v>0</v>
      </c>
      <c r="E76" s="156">
        <f t="shared" si="10"/>
        <v>0</v>
      </c>
      <c r="F76" s="151">
        <f t="shared" si="5"/>
        <v>0</v>
      </c>
      <c r="G76" s="8">
        <f t="shared" si="11"/>
        <v>0</v>
      </c>
      <c r="H76" s="14">
        <f t="shared" si="12"/>
        <v>0</v>
      </c>
      <c r="I76" s="14" t="str">
        <f t="shared" si="13"/>
        <v/>
      </c>
      <c r="J76" s="14">
        <f>IF(AND(ReducedOrTerminated="Terminated",$B76&gt;=EffectiveWithPILON),0,IF(B76&gt;=EffectiveWithPILON,H76+MAX(I$13:I76),IF(B76&gt;=NoticeStartDate,H76,"")))</f>
        <v>0</v>
      </c>
      <c r="K76" s="9">
        <f t="shared" si="6"/>
        <v>0</v>
      </c>
    </row>
    <row r="77" spans="1:11" x14ac:dyDescent="0.25">
      <c r="A77" s="171">
        <f>IF(B77&lt;MIN('A1 Contract'!$B$25:$B$34),0,IF(B77&gt;MAX('A1 Contract'!$B$25:$B$34),MAX('A1 Contract'!$A$25:$A$34),LOOKUP(B77,'A1 Contract'!$B$25:$B$34,'A1 Contract'!$A$25:$A$34)))</f>
        <v>1</v>
      </c>
      <c r="B77" s="174">
        <f t="shared" si="7"/>
        <v>43983</v>
      </c>
      <c r="C77" s="151">
        <f t="shared" ref="C77:C96" si="14">IF(ISNUMBER(VLOOKUP($B77,HistoryLookup,8,FALSE)),VLOOKUP($B77,HistoryLookup,8,FALSE),IF(AND($B77&lt;EffectiveWithPILON,ISNUMBER(AverageDemand)),AverageDemand,VLOOKUP($A77,ContractLookup,4,FALSE)))</f>
        <v>0</v>
      </c>
      <c r="D77" s="155">
        <f t="shared" si="8"/>
        <v>0</v>
      </c>
      <c r="E77" s="156">
        <f t="shared" ref="E77:E96" si="15">IF($A77=0,"",VLOOKUP($A77,ContractLookup,7,FALSE))</f>
        <v>0</v>
      </c>
      <c r="F77" s="151">
        <f t="shared" si="5"/>
        <v>0</v>
      </c>
      <c r="G77" s="8">
        <f t="shared" ref="G77:G96" si="16">IF(AND(ReducedOrTerminated="Terminated",$B77&gt;=EffectiveWithPILON),0,IF(AND($B77&gt;=EffectiveWithPILON,$B77&lt;DATE(YEAR(EffectiveWithPILON),MONTH(EffectiveWithPILON)+24,1)),D77-MAX((E77-J77),0),IF(B77&gt;=NoticeStartDate,D77,"")))</f>
        <v>0</v>
      </c>
      <c r="H77" s="14">
        <f t="shared" ref="H77:H96" si="17">IF(AND(ReducedOrTerminated="Terminated",$B77&gt;=EffectiveWithPILON),0,IF(A77=0,"",IF(B77&lt;EffectiveWithPILON,VLOOKUP(A77,ContractLookup,7,FALSE),VLOOKUP(A77,ContractLookup,4,FALSE))))</f>
        <v>0</v>
      </c>
      <c r="I77" s="14" t="str">
        <f t="shared" ref="I77:I96" si="18">IF(AND($B77&gt;=NoticeStartDate,$B77&lt;EffectiveWithPILON),IF(C77&gt;E77,C77-E77,""),"")</f>
        <v/>
      </c>
      <c r="J77" s="14">
        <f>IF(AND(ReducedOrTerminated="Terminated",$B77&gt;=EffectiveWithPILON),0,IF(B77&gt;=EffectiveWithPILON,H77+MAX(I$13:I77),IF(B77&gt;=NoticeStartDate,H77,"")))</f>
        <v>0</v>
      </c>
      <c r="K77" s="9">
        <f t="shared" si="6"/>
        <v>0</v>
      </c>
    </row>
    <row r="78" spans="1:11" x14ac:dyDescent="0.25">
      <c r="A78" s="171">
        <f>IF(B78&lt;MIN('A1 Contract'!$B$25:$B$34),0,IF(B78&gt;MAX('A1 Contract'!$B$25:$B$34),MAX('A1 Contract'!$A$25:$A$34),LOOKUP(B78,'A1 Contract'!$B$25:$B$34,'A1 Contract'!$A$25:$A$34)))</f>
        <v>1</v>
      </c>
      <c r="B78" s="174">
        <f t="shared" si="7"/>
        <v>44013</v>
      </c>
      <c r="C78" s="151">
        <f t="shared" si="14"/>
        <v>0</v>
      </c>
      <c r="D78" s="155">
        <f t="shared" si="8"/>
        <v>0</v>
      </c>
      <c r="E78" s="156">
        <f t="shared" si="15"/>
        <v>0</v>
      </c>
      <c r="F78" s="151">
        <f t="shared" ref="F78:F96" si="19">IF($A78=0,"",MAX(C78,90%*D78,90%*E78))</f>
        <v>0</v>
      </c>
      <c r="G78" s="8">
        <f t="shared" si="16"/>
        <v>0</v>
      </c>
      <c r="H78" s="14">
        <f t="shared" si="17"/>
        <v>0</v>
      </c>
      <c r="I78" s="14" t="str">
        <f t="shared" si="18"/>
        <v/>
      </c>
      <c r="J78" s="14">
        <f>IF(AND(ReducedOrTerminated="Terminated",$B78&gt;=EffectiveWithPILON),0,IF(B78&gt;=EffectiveWithPILON,H78+MAX(I$13:I78),IF(B78&gt;=NoticeStartDate,H78,"")))</f>
        <v>0</v>
      </c>
      <c r="K78" s="9">
        <f t="shared" ref="K78:K96" si="20">IF(A78=0,"",MAX(C78,90%*G78,90%*J78))</f>
        <v>0</v>
      </c>
    </row>
    <row r="79" spans="1:11" x14ac:dyDescent="0.25">
      <c r="A79" s="171">
        <f>IF(B79&lt;MIN('A1 Contract'!$B$25:$B$34),0,IF(B79&gt;MAX('A1 Contract'!$B$25:$B$34),MAX('A1 Contract'!$A$25:$A$34),LOOKUP(B79,'A1 Contract'!$B$25:$B$34,'A1 Contract'!$A$25:$A$34)))</f>
        <v>1</v>
      </c>
      <c r="B79" s="174">
        <f t="shared" ref="B79:B96" si="21">DATE(YEAR(B78),MONTH(B78)+1,1)</f>
        <v>44044</v>
      </c>
      <c r="C79" s="151">
        <f t="shared" si="14"/>
        <v>0</v>
      </c>
      <c r="D79" s="155">
        <f t="shared" si="8"/>
        <v>0</v>
      </c>
      <c r="E79" s="156">
        <f t="shared" si="15"/>
        <v>0</v>
      </c>
      <c r="F79" s="151">
        <f t="shared" si="19"/>
        <v>0</v>
      </c>
      <c r="G79" s="8">
        <f t="shared" si="16"/>
        <v>0</v>
      </c>
      <c r="H79" s="14">
        <f t="shared" si="17"/>
        <v>0</v>
      </c>
      <c r="I79" s="14" t="str">
        <f t="shared" si="18"/>
        <v/>
      </c>
      <c r="J79" s="14">
        <f>IF(AND(ReducedOrTerminated="Terminated",$B79&gt;=EffectiveWithPILON),0,IF(B79&gt;=EffectiveWithPILON,H79+MAX(I$13:I79),IF(B79&gt;=NoticeStartDate,H79,"")))</f>
        <v>0</v>
      </c>
      <c r="K79" s="9">
        <f t="shared" si="20"/>
        <v>0</v>
      </c>
    </row>
    <row r="80" spans="1:11" x14ac:dyDescent="0.25">
      <c r="A80" s="171">
        <f>IF(B80&lt;MIN('A1 Contract'!$B$25:$B$34),0,IF(B80&gt;MAX('A1 Contract'!$B$25:$B$34),MAX('A1 Contract'!$A$25:$A$34),LOOKUP(B80,'A1 Contract'!$B$25:$B$34,'A1 Contract'!$A$25:$A$34)))</f>
        <v>1</v>
      </c>
      <c r="B80" s="174">
        <f t="shared" si="21"/>
        <v>44075</v>
      </c>
      <c r="C80" s="151">
        <f t="shared" si="14"/>
        <v>0</v>
      </c>
      <c r="D80" s="155">
        <f t="shared" si="8"/>
        <v>0</v>
      </c>
      <c r="E80" s="156">
        <f t="shared" si="15"/>
        <v>0</v>
      </c>
      <c r="F80" s="151">
        <f t="shared" si="19"/>
        <v>0</v>
      </c>
      <c r="G80" s="8">
        <f t="shared" si="16"/>
        <v>0</v>
      </c>
      <c r="H80" s="14">
        <f t="shared" si="17"/>
        <v>0</v>
      </c>
      <c r="I80" s="14" t="str">
        <f t="shared" si="18"/>
        <v/>
      </c>
      <c r="J80" s="14">
        <f>IF(AND(ReducedOrTerminated="Terminated",$B80&gt;=EffectiveWithPILON),0,IF(B80&gt;=EffectiveWithPILON,H80+MAX(I$13:I80),IF(B80&gt;=NoticeStartDate,H80,"")))</f>
        <v>0</v>
      </c>
      <c r="K80" s="9">
        <f t="shared" si="20"/>
        <v>0</v>
      </c>
    </row>
    <row r="81" spans="1:11" x14ac:dyDescent="0.25">
      <c r="A81" s="171">
        <f>IF(B81&lt;MIN('A1 Contract'!$B$25:$B$34),0,IF(B81&gt;MAX('A1 Contract'!$B$25:$B$34),MAX('A1 Contract'!$A$25:$A$34),LOOKUP(B81,'A1 Contract'!$B$25:$B$34,'A1 Contract'!$A$25:$A$34)))</f>
        <v>1</v>
      </c>
      <c r="B81" s="174">
        <f t="shared" si="21"/>
        <v>44105</v>
      </c>
      <c r="C81" s="151">
        <f t="shared" si="14"/>
        <v>0</v>
      </c>
      <c r="D81" s="155">
        <f t="shared" si="8"/>
        <v>0</v>
      </c>
      <c r="E81" s="156">
        <f t="shared" si="15"/>
        <v>0</v>
      </c>
      <c r="F81" s="151">
        <f t="shared" si="19"/>
        <v>0</v>
      </c>
      <c r="G81" s="8">
        <f t="shared" si="16"/>
        <v>0</v>
      </c>
      <c r="H81" s="14">
        <f t="shared" si="17"/>
        <v>0</v>
      </c>
      <c r="I81" s="14" t="str">
        <f t="shared" si="18"/>
        <v/>
      </c>
      <c r="J81" s="14">
        <f>IF(AND(ReducedOrTerminated="Terminated",$B81&gt;=EffectiveWithPILON),0,IF(B81&gt;=EffectiveWithPILON,H81+MAX(I$13:I81),IF(B81&gt;=NoticeStartDate,H81,"")))</f>
        <v>0</v>
      </c>
      <c r="K81" s="9">
        <f t="shared" si="20"/>
        <v>0</v>
      </c>
    </row>
    <row r="82" spans="1:11" x14ac:dyDescent="0.25">
      <c r="A82" s="171">
        <f>IF(B82&lt;MIN('A1 Contract'!$B$25:$B$34),0,IF(B82&gt;MAX('A1 Contract'!$B$25:$B$34),MAX('A1 Contract'!$A$25:$A$34),LOOKUP(B82,'A1 Contract'!$B$25:$B$34,'A1 Contract'!$A$25:$A$34)))</f>
        <v>1</v>
      </c>
      <c r="B82" s="174">
        <f t="shared" si="21"/>
        <v>44136</v>
      </c>
      <c r="C82" s="151">
        <f t="shared" si="14"/>
        <v>0</v>
      </c>
      <c r="D82" s="155">
        <f t="shared" si="8"/>
        <v>0</v>
      </c>
      <c r="E82" s="156">
        <f t="shared" si="15"/>
        <v>0</v>
      </c>
      <c r="F82" s="151">
        <f t="shared" si="19"/>
        <v>0</v>
      </c>
      <c r="G82" s="8">
        <f t="shared" si="16"/>
        <v>0</v>
      </c>
      <c r="H82" s="14">
        <f t="shared" si="17"/>
        <v>0</v>
      </c>
      <c r="I82" s="14" t="str">
        <f t="shared" si="18"/>
        <v/>
      </c>
      <c r="J82" s="14">
        <f>IF(AND(ReducedOrTerminated="Terminated",$B82&gt;=EffectiveWithPILON),0,IF(B82&gt;=EffectiveWithPILON,H82+MAX(I$13:I82),IF(B82&gt;=NoticeStartDate,H82,"")))</f>
        <v>0</v>
      </c>
      <c r="K82" s="9">
        <f t="shared" si="20"/>
        <v>0</v>
      </c>
    </row>
    <row r="83" spans="1:11" x14ac:dyDescent="0.25">
      <c r="A83" s="171">
        <f>IF(B83&lt;MIN('A1 Contract'!$B$25:$B$34),0,IF(B83&gt;MAX('A1 Contract'!$B$25:$B$34),MAX('A1 Contract'!$A$25:$A$34),LOOKUP(B83,'A1 Contract'!$B$25:$B$34,'A1 Contract'!$A$25:$A$34)))</f>
        <v>1</v>
      </c>
      <c r="B83" s="174">
        <f t="shared" si="21"/>
        <v>44166</v>
      </c>
      <c r="C83" s="151">
        <f t="shared" si="14"/>
        <v>0</v>
      </c>
      <c r="D83" s="155">
        <f t="shared" si="8"/>
        <v>0</v>
      </c>
      <c r="E83" s="156">
        <f t="shared" si="15"/>
        <v>0</v>
      </c>
      <c r="F83" s="151">
        <f t="shared" si="19"/>
        <v>0</v>
      </c>
      <c r="G83" s="8">
        <f t="shared" si="16"/>
        <v>0</v>
      </c>
      <c r="H83" s="14">
        <f t="shared" si="17"/>
        <v>0</v>
      </c>
      <c r="I83" s="14" t="str">
        <f t="shared" si="18"/>
        <v/>
      </c>
      <c r="J83" s="14">
        <f>IF(AND(ReducedOrTerminated="Terminated",$B83&gt;=EffectiveWithPILON),0,IF(B83&gt;=EffectiveWithPILON,H83+MAX(I$13:I83),IF(B83&gt;=NoticeStartDate,H83,"")))</f>
        <v>0</v>
      </c>
      <c r="K83" s="9">
        <f t="shared" si="20"/>
        <v>0</v>
      </c>
    </row>
    <row r="84" spans="1:11" x14ac:dyDescent="0.25">
      <c r="A84" s="171">
        <f>IF(B84&lt;MIN('A1 Contract'!$B$25:$B$34),0,IF(B84&gt;MAX('A1 Contract'!$B$25:$B$34),MAX('A1 Contract'!$A$25:$A$34),LOOKUP(B84,'A1 Contract'!$B$25:$B$34,'A1 Contract'!$A$25:$A$34)))</f>
        <v>1</v>
      </c>
      <c r="B84" s="174">
        <f t="shared" si="21"/>
        <v>44197</v>
      </c>
      <c r="C84" s="151">
        <f t="shared" si="14"/>
        <v>0</v>
      </c>
      <c r="D84" s="155">
        <f t="shared" si="8"/>
        <v>0</v>
      </c>
      <c r="E84" s="156">
        <f t="shared" si="15"/>
        <v>0</v>
      </c>
      <c r="F84" s="151">
        <f t="shared" si="19"/>
        <v>0</v>
      </c>
      <c r="G84" s="8">
        <f t="shared" si="16"/>
        <v>0</v>
      </c>
      <c r="H84" s="14">
        <f t="shared" si="17"/>
        <v>0</v>
      </c>
      <c r="I84" s="14" t="str">
        <f t="shared" si="18"/>
        <v/>
      </c>
      <c r="J84" s="14">
        <f>IF(AND(ReducedOrTerminated="Terminated",$B84&gt;=EffectiveWithPILON),0,IF(B84&gt;=EffectiveWithPILON,H84+MAX(I$13:I84),IF(B84&gt;=NoticeStartDate,H84,"")))</f>
        <v>0</v>
      </c>
      <c r="K84" s="9">
        <f t="shared" si="20"/>
        <v>0</v>
      </c>
    </row>
    <row r="85" spans="1:11" x14ac:dyDescent="0.25">
      <c r="A85" s="171">
        <f>IF(B85&lt;MIN('A1 Contract'!$B$25:$B$34),0,IF(B85&gt;MAX('A1 Contract'!$B$25:$B$34),MAX('A1 Contract'!$A$25:$A$34),LOOKUP(B85,'A1 Contract'!$B$25:$B$34,'A1 Contract'!$A$25:$A$34)))</f>
        <v>1</v>
      </c>
      <c r="B85" s="174">
        <f t="shared" si="21"/>
        <v>44228</v>
      </c>
      <c r="C85" s="151">
        <f t="shared" si="14"/>
        <v>0</v>
      </c>
      <c r="D85" s="155">
        <f t="shared" si="8"/>
        <v>0</v>
      </c>
      <c r="E85" s="156">
        <f t="shared" si="15"/>
        <v>0</v>
      </c>
      <c r="F85" s="151">
        <f t="shared" si="19"/>
        <v>0</v>
      </c>
      <c r="G85" s="8">
        <f t="shared" si="16"/>
        <v>0</v>
      </c>
      <c r="H85" s="14">
        <f t="shared" si="17"/>
        <v>0</v>
      </c>
      <c r="I85" s="14" t="str">
        <f t="shared" si="18"/>
        <v/>
      </c>
      <c r="J85" s="14">
        <f>IF(AND(ReducedOrTerminated="Terminated",$B85&gt;=EffectiveWithPILON),0,IF(B85&gt;=EffectiveWithPILON,H85+MAX(I$13:I85),IF(B85&gt;=NoticeStartDate,H85,"")))</f>
        <v>0</v>
      </c>
      <c r="K85" s="9">
        <f t="shared" si="20"/>
        <v>0</v>
      </c>
    </row>
    <row r="86" spans="1:11" x14ac:dyDescent="0.25">
      <c r="A86" s="171">
        <f>IF(B86&lt;MIN('A1 Contract'!$B$25:$B$34),0,IF(B86&gt;MAX('A1 Contract'!$B$25:$B$34),MAX('A1 Contract'!$A$25:$A$34),LOOKUP(B86,'A1 Contract'!$B$25:$B$34,'A1 Contract'!$A$25:$A$34)))</f>
        <v>1</v>
      </c>
      <c r="B86" s="174">
        <f t="shared" si="21"/>
        <v>44256</v>
      </c>
      <c r="C86" s="151">
        <f t="shared" si="14"/>
        <v>0</v>
      </c>
      <c r="D86" s="155">
        <f t="shared" si="8"/>
        <v>0</v>
      </c>
      <c r="E86" s="156">
        <f t="shared" si="15"/>
        <v>0</v>
      </c>
      <c r="F86" s="151">
        <f t="shared" si="19"/>
        <v>0</v>
      </c>
      <c r="G86" s="8">
        <f t="shared" si="16"/>
        <v>0</v>
      </c>
      <c r="H86" s="14">
        <f t="shared" si="17"/>
        <v>0</v>
      </c>
      <c r="I86" s="14" t="str">
        <f t="shared" si="18"/>
        <v/>
      </c>
      <c r="J86" s="14">
        <f>IF(AND(ReducedOrTerminated="Terminated",$B86&gt;=EffectiveWithPILON),0,IF(B86&gt;=EffectiveWithPILON,H86+MAX(I$13:I86),IF(B86&gt;=NoticeStartDate,H86,"")))</f>
        <v>0</v>
      </c>
      <c r="K86" s="9">
        <f t="shared" si="20"/>
        <v>0</v>
      </c>
    </row>
    <row r="87" spans="1:11" x14ac:dyDescent="0.25">
      <c r="A87" s="171">
        <f>IF(B87&lt;MIN('A1 Contract'!$B$25:$B$34),0,IF(B87&gt;MAX('A1 Contract'!$B$25:$B$34),MAX('A1 Contract'!$A$25:$A$34),LOOKUP(B87,'A1 Contract'!$B$25:$B$34,'A1 Contract'!$A$25:$A$34)))</f>
        <v>1</v>
      </c>
      <c r="B87" s="174">
        <f t="shared" si="21"/>
        <v>44287</v>
      </c>
      <c r="C87" s="151">
        <f t="shared" si="14"/>
        <v>0</v>
      </c>
      <c r="D87" s="155">
        <f t="shared" si="8"/>
        <v>0</v>
      </c>
      <c r="E87" s="156">
        <f t="shared" si="15"/>
        <v>0</v>
      </c>
      <c r="F87" s="151">
        <f t="shared" si="19"/>
        <v>0</v>
      </c>
      <c r="G87" s="8">
        <f t="shared" si="16"/>
        <v>0</v>
      </c>
      <c r="H87" s="14">
        <f t="shared" si="17"/>
        <v>0</v>
      </c>
      <c r="I87" s="14" t="str">
        <f t="shared" si="18"/>
        <v/>
      </c>
      <c r="J87" s="14">
        <f>IF(AND(ReducedOrTerminated="Terminated",$B87&gt;=EffectiveWithPILON),0,IF(B87&gt;=EffectiveWithPILON,H87+MAX(I$13:I87),IF(B87&gt;=NoticeStartDate,H87,"")))</f>
        <v>0</v>
      </c>
      <c r="K87" s="9">
        <f t="shared" si="20"/>
        <v>0</v>
      </c>
    </row>
    <row r="88" spans="1:11" x14ac:dyDescent="0.25">
      <c r="A88" s="171">
        <f>IF(B88&lt;MIN('A1 Contract'!$B$25:$B$34),0,IF(B88&gt;MAX('A1 Contract'!$B$25:$B$34),MAX('A1 Contract'!$A$25:$A$34),LOOKUP(B88,'A1 Contract'!$B$25:$B$34,'A1 Contract'!$A$25:$A$34)))</f>
        <v>1</v>
      </c>
      <c r="B88" s="174">
        <f t="shared" si="21"/>
        <v>44317</v>
      </c>
      <c r="C88" s="151">
        <f t="shared" si="14"/>
        <v>0</v>
      </c>
      <c r="D88" s="155">
        <f t="shared" si="8"/>
        <v>0</v>
      </c>
      <c r="E88" s="156">
        <f t="shared" si="15"/>
        <v>0</v>
      </c>
      <c r="F88" s="151">
        <f t="shared" si="19"/>
        <v>0</v>
      </c>
      <c r="G88" s="8">
        <f t="shared" si="16"/>
        <v>0</v>
      </c>
      <c r="H88" s="14">
        <f t="shared" si="17"/>
        <v>0</v>
      </c>
      <c r="I88" s="14" t="str">
        <f t="shared" si="18"/>
        <v/>
      </c>
      <c r="J88" s="14">
        <f>IF(AND(ReducedOrTerminated="Terminated",$B88&gt;=EffectiveWithPILON),0,IF(B88&gt;=EffectiveWithPILON,H88+MAX(I$13:I88),IF(B88&gt;=NoticeStartDate,H88,"")))</f>
        <v>0</v>
      </c>
      <c r="K88" s="9">
        <f t="shared" si="20"/>
        <v>0</v>
      </c>
    </row>
    <row r="89" spans="1:11" x14ac:dyDescent="0.25">
      <c r="A89" s="171">
        <f>IF(B89&lt;MIN('A1 Contract'!$B$25:$B$34),0,IF(B89&gt;MAX('A1 Contract'!$B$25:$B$34),MAX('A1 Contract'!$A$25:$A$34),LOOKUP(B89,'A1 Contract'!$B$25:$B$34,'A1 Contract'!$A$25:$A$34)))</f>
        <v>1</v>
      </c>
      <c r="B89" s="174">
        <f t="shared" si="21"/>
        <v>44348</v>
      </c>
      <c r="C89" s="151">
        <f t="shared" si="14"/>
        <v>0</v>
      </c>
      <c r="D89" s="155">
        <f t="shared" si="8"/>
        <v>0</v>
      </c>
      <c r="E89" s="156">
        <f t="shared" si="15"/>
        <v>0</v>
      </c>
      <c r="F89" s="151">
        <f t="shared" si="19"/>
        <v>0</v>
      </c>
      <c r="G89" s="8">
        <f t="shared" si="16"/>
        <v>0</v>
      </c>
      <c r="H89" s="14">
        <f t="shared" si="17"/>
        <v>0</v>
      </c>
      <c r="I89" s="14" t="str">
        <f t="shared" si="18"/>
        <v/>
      </c>
      <c r="J89" s="14">
        <f>IF(AND(ReducedOrTerminated="Terminated",$B89&gt;=EffectiveWithPILON),0,IF(B89&gt;=EffectiveWithPILON,H89+MAX(I$13:I89),IF(B89&gt;=NoticeStartDate,H89,"")))</f>
        <v>0</v>
      </c>
      <c r="K89" s="9">
        <f t="shared" si="20"/>
        <v>0</v>
      </c>
    </row>
    <row r="90" spans="1:11" x14ac:dyDescent="0.25">
      <c r="A90" s="171">
        <f>IF(B90&lt;MIN('A1 Contract'!$B$25:$B$34),0,IF(B90&gt;MAX('A1 Contract'!$B$25:$B$34),MAX('A1 Contract'!$A$25:$A$34),LOOKUP(B90,'A1 Contract'!$B$25:$B$34,'A1 Contract'!$A$25:$A$34)))</f>
        <v>1</v>
      </c>
      <c r="B90" s="174">
        <f t="shared" si="21"/>
        <v>44378</v>
      </c>
      <c r="C90" s="151">
        <f t="shared" si="14"/>
        <v>0</v>
      </c>
      <c r="D90" s="155">
        <f t="shared" si="8"/>
        <v>0</v>
      </c>
      <c r="E90" s="156">
        <f t="shared" si="15"/>
        <v>0</v>
      </c>
      <c r="F90" s="151">
        <f t="shared" si="19"/>
        <v>0</v>
      </c>
      <c r="G90" s="8">
        <f t="shared" si="16"/>
        <v>0</v>
      </c>
      <c r="H90" s="14">
        <f t="shared" si="17"/>
        <v>0</v>
      </c>
      <c r="I90" s="14" t="str">
        <f t="shared" si="18"/>
        <v/>
      </c>
      <c r="J90" s="14">
        <f>IF(AND(ReducedOrTerminated="Terminated",$B90&gt;=EffectiveWithPILON),0,IF(B90&gt;=EffectiveWithPILON,H90+MAX(I$13:I90),IF(B90&gt;=NoticeStartDate,H90,"")))</f>
        <v>0</v>
      </c>
      <c r="K90" s="9">
        <f t="shared" si="20"/>
        <v>0</v>
      </c>
    </row>
    <row r="91" spans="1:11" x14ac:dyDescent="0.25">
      <c r="A91" s="171">
        <f>IF(B91&lt;MIN('A1 Contract'!$B$25:$B$34),0,IF(B91&gt;MAX('A1 Contract'!$B$25:$B$34),MAX('A1 Contract'!$A$25:$A$34),LOOKUP(B91,'A1 Contract'!$B$25:$B$34,'A1 Contract'!$A$25:$A$34)))</f>
        <v>1</v>
      </c>
      <c r="B91" s="174">
        <f t="shared" si="21"/>
        <v>44409</v>
      </c>
      <c r="C91" s="151">
        <f t="shared" si="14"/>
        <v>0</v>
      </c>
      <c r="D91" s="155">
        <f t="shared" si="8"/>
        <v>0</v>
      </c>
      <c r="E91" s="156">
        <f t="shared" si="15"/>
        <v>0</v>
      </c>
      <c r="F91" s="151">
        <f t="shared" si="19"/>
        <v>0</v>
      </c>
      <c r="G91" s="8">
        <f t="shared" si="16"/>
        <v>0</v>
      </c>
      <c r="H91" s="14">
        <f t="shared" si="17"/>
        <v>0</v>
      </c>
      <c r="I91" s="14" t="str">
        <f t="shared" si="18"/>
        <v/>
      </c>
      <c r="J91" s="14">
        <f>IF(AND(ReducedOrTerminated="Terminated",$B91&gt;=EffectiveWithPILON),0,IF(B91&gt;=EffectiveWithPILON,H91+MAX(I$13:I91),IF(B91&gt;=NoticeStartDate,H91,"")))</f>
        <v>0</v>
      </c>
      <c r="K91" s="9">
        <f t="shared" si="20"/>
        <v>0</v>
      </c>
    </row>
    <row r="92" spans="1:11" x14ac:dyDescent="0.25">
      <c r="A92" s="171">
        <f>IF(B92&lt;MIN('A1 Contract'!$B$25:$B$34),0,IF(B92&gt;MAX('A1 Contract'!$B$25:$B$34),MAX('A1 Contract'!$A$25:$A$34),LOOKUP(B92,'A1 Contract'!$B$25:$B$34,'A1 Contract'!$A$25:$A$34)))</f>
        <v>1</v>
      </c>
      <c r="B92" s="174">
        <f t="shared" si="21"/>
        <v>44440</v>
      </c>
      <c r="C92" s="151">
        <f t="shared" si="14"/>
        <v>0</v>
      </c>
      <c r="D92" s="155">
        <f t="shared" si="8"/>
        <v>0</v>
      </c>
      <c r="E92" s="156">
        <f t="shared" si="15"/>
        <v>0</v>
      </c>
      <c r="F92" s="151">
        <f t="shared" si="19"/>
        <v>0</v>
      </c>
      <c r="G92" s="8">
        <f t="shared" si="16"/>
        <v>0</v>
      </c>
      <c r="H92" s="14">
        <f t="shared" si="17"/>
        <v>0</v>
      </c>
      <c r="I92" s="14" t="str">
        <f t="shared" si="18"/>
        <v/>
      </c>
      <c r="J92" s="14">
        <f>IF(AND(ReducedOrTerminated="Terminated",$B92&gt;=EffectiveWithPILON),0,IF(B92&gt;=EffectiveWithPILON,H92+MAX(I$13:I92),IF(B92&gt;=NoticeStartDate,H92,"")))</f>
        <v>0</v>
      </c>
      <c r="K92" s="9">
        <f t="shared" si="20"/>
        <v>0</v>
      </c>
    </row>
    <row r="93" spans="1:11" x14ac:dyDescent="0.25">
      <c r="A93" s="171">
        <f>IF(B93&lt;MIN('A1 Contract'!$B$25:$B$34),0,IF(B93&gt;MAX('A1 Contract'!$B$25:$B$34),MAX('A1 Contract'!$A$25:$A$34),LOOKUP(B93,'A1 Contract'!$B$25:$B$34,'A1 Contract'!$A$25:$A$34)))</f>
        <v>1</v>
      </c>
      <c r="B93" s="174">
        <f t="shared" si="21"/>
        <v>44470</v>
      </c>
      <c r="C93" s="151">
        <f t="shared" si="14"/>
        <v>0</v>
      </c>
      <c r="D93" s="155">
        <f t="shared" si="8"/>
        <v>0</v>
      </c>
      <c r="E93" s="156">
        <f t="shared" si="15"/>
        <v>0</v>
      </c>
      <c r="F93" s="151">
        <f t="shared" si="19"/>
        <v>0</v>
      </c>
      <c r="G93" s="8">
        <f t="shared" si="16"/>
        <v>0</v>
      </c>
      <c r="H93" s="14">
        <f t="shared" si="17"/>
        <v>0</v>
      </c>
      <c r="I93" s="14" t="str">
        <f t="shared" si="18"/>
        <v/>
      </c>
      <c r="J93" s="14">
        <f>IF(AND(ReducedOrTerminated="Terminated",$B93&gt;=EffectiveWithPILON),0,IF(B93&gt;=EffectiveWithPILON,H93+MAX(I$13:I93),IF(B93&gt;=NoticeStartDate,H93,"")))</f>
        <v>0</v>
      </c>
      <c r="K93" s="9">
        <f t="shared" si="20"/>
        <v>0</v>
      </c>
    </row>
    <row r="94" spans="1:11" x14ac:dyDescent="0.25">
      <c r="A94" s="171">
        <f>IF(B94&lt;MIN('A1 Contract'!$B$25:$B$34),0,IF(B94&gt;MAX('A1 Contract'!$B$25:$B$34),MAX('A1 Contract'!$A$25:$A$34),LOOKUP(B94,'A1 Contract'!$B$25:$B$34,'A1 Contract'!$A$25:$A$34)))</f>
        <v>1</v>
      </c>
      <c r="B94" s="174">
        <f t="shared" si="21"/>
        <v>44501</v>
      </c>
      <c r="C94" s="151">
        <f t="shared" si="14"/>
        <v>0</v>
      </c>
      <c r="D94" s="155">
        <f t="shared" si="8"/>
        <v>0</v>
      </c>
      <c r="E94" s="156">
        <f t="shared" si="15"/>
        <v>0</v>
      </c>
      <c r="F94" s="151">
        <f t="shared" si="19"/>
        <v>0</v>
      </c>
      <c r="G94" s="8">
        <f t="shared" si="16"/>
        <v>0</v>
      </c>
      <c r="H94" s="14">
        <f t="shared" si="17"/>
        <v>0</v>
      </c>
      <c r="I94" s="14" t="str">
        <f t="shared" si="18"/>
        <v/>
      </c>
      <c r="J94" s="14">
        <f>IF(AND(ReducedOrTerminated="Terminated",$B94&gt;=EffectiveWithPILON),0,IF(B94&gt;=EffectiveWithPILON,H94+MAX(I$13:I94),IF(B94&gt;=NoticeStartDate,H94,"")))</f>
        <v>0</v>
      </c>
      <c r="K94" s="9">
        <f t="shared" si="20"/>
        <v>0</v>
      </c>
    </row>
    <row r="95" spans="1:11" x14ac:dyDescent="0.25">
      <c r="A95" s="171">
        <f>IF(B95&lt;MIN('A1 Contract'!$B$25:$B$34),0,IF(B95&gt;MAX('A1 Contract'!$B$25:$B$34),MAX('A1 Contract'!$A$25:$A$34),LOOKUP(B95,'A1 Contract'!$B$25:$B$34,'A1 Contract'!$A$25:$A$34)))</f>
        <v>1</v>
      </c>
      <c r="B95" s="174">
        <f t="shared" si="21"/>
        <v>44531</v>
      </c>
      <c r="C95" s="151">
        <f t="shared" si="14"/>
        <v>0</v>
      </c>
      <c r="D95" s="155">
        <f t="shared" si="8"/>
        <v>0</v>
      </c>
      <c r="E95" s="156">
        <f t="shared" si="15"/>
        <v>0</v>
      </c>
      <c r="F95" s="151">
        <f t="shared" si="19"/>
        <v>0</v>
      </c>
      <c r="G95" s="8">
        <f t="shared" si="16"/>
        <v>0</v>
      </c>
      <c r="H95" s="14">
        <f t="shared" si="17"/>
        <v>0</v>
      </c>
      <c r="I95" s="14" t="str">
        <f t="shared" si="18"/>
        <v/>
      </c>
      <c r="J95" s="14">
        <f>IF(AND(ReducedOrTerminated="Terminated",$B95&gt;=EffectiveWithPILON),0,IF(B95&gt;=EffectiveWithPILON,H95+MAX(I$13:I95),IF(B95&gt;=NoticeStartDate,H95,"")))</f>
        <v>0</v>
      </c>
      <c r="K95" s="9">
        <f t="shared" si="20"/>
        <v>0</v>
      </c>
    </row>
    <row r="96" spans="1:11" x14ac:dyDescent="0.25">
      <c r="A96" s="172">
        <f>IF(B96&lt;MIN('A1 Contract'!$B$25:$B$34),0,IF(B96&gt;MAX('A1 Contract'!$B$25:$B$34),MAX('A1 Contract'!$A$25:$A$34),LOOKUP(B96,'A1 Contract'!$B$25:$B$34,'A1 Contract'!$A$25:$A$34)))</f>
        <v>1</v>
      </c>
      <c r="B96" s="175">
        <f t="shared" si="21"/>
        <v>44562</v>
      </c>
      <c r="C96" s="152">
        <f t="shared" si="14"/>
        <v>0</v>
      </c>
      <c r="D96" s="157">
        <f t="shared" si="8"/>
        <v>0</v>
      </c>
      <c r="E96" s="158">
        <f t="shared" si="15"/>
        <v>0</v>
      </c>
      <c r="F96" s="152">
        <f t="shared" si="19"/>
        <v>0</v>
      </c>
      <c r="G96" s="10">
        <f t="shared" si="16"/>
        <v>0</v>
      </c>
      <c r="H96" s="15">
        <f t="shared" si="17"/>
        <v>0</v>
      </c>
      <c r="I96" s="15" t="str">
        <f t="shared" si="18"/>
        <v/>
      </c>
      <c r="J96" s="15">
        <f>IF(AND(ReducedOrTerminated="Terminated",$B96&gt;=EffectiveWithPILON),0,IF(B96&gt;=EffectiveWithPILON,H96+MAX(I$13:I96),IF(B96&gt;=NoticeStartDate,H96,"")))</f>
        <v>0</v>
      </c>
      <c r="K96" s="11">
        <f t="shared" si="20"/>
        <v>0</v>
      </c>
    </row>
  </sheetData>
  <sheetProtection sheet="1" objects="1" scenarios="1"/>
  <mergeCells count="13">
    <mergeCell ref="D10:F10"/>
    <mergeCell ref="G10:K10"/>
    <mergeCell ref="A1:K1"/>
    <mergeCell ref="F5:H5"/>
    <mergeCell ref="F6:H6"/>
    <mergeCell ref="C5:D5"/>
    <mergeCell ref="C6:D6"/>
    <mergeCell ref="C4:G4"/>
    <mergeCell ref="C3:G3"/>
    <mergeCell ref="J3:K3"/>
    <mergeCell ref="J4:K4"/>
    <mergeCell ref="J5:K5"/>
    <mergeCell ref="J6:K6"/>
  </mergeCells>
  <pageMargins left="0.75" right="0.75" top="0.5" bottom="0.85" header="0.5" footer="0.5"/>
  <pageSetup orientation="portrait" r:id="rId1"/>
  <headerFooter alignWithMargins="0">
    <oddFooter>&amp;L&amp;8Attachment to PILON Calculator for 2018 Tariff (AESO ID No. 2018-010T)
Filename: &amp;F — Page &amp;P of &amp;N&amp;R&amp;8Confidentiality: Proprietary When Completed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7"/>
  <sheetViews>
    <sheetView showGridLines="0" zoomScaleNormal="100" workbookViewId="0">
      <selection activeCell="E19" sqref="E19:F19"/>
    </sheetView>
  </sheetViews>
  <sheetFormatPr defaultColWidth="9.6640625" defaultRowHeight="13.2" x14ac:dyDescent="0.25"/>
  <cols>
    <col min="1" max="1" width="7.6640625" style="138" customWidth="1"/>
    <col min="2" max="2" width="8.6640625" style="260" customWidth="1"/>
    <col min="3" max="3" width="9.6640625" style="260"/>
    <col min="4" max="4" width="9.6640625" style="262"/>
    <col min="5" max="7" width="9.6640625" style="148"/>
    <col min="8" max="13" width="10.6640625" style="148" customWidth="1"/>
    <col min="14" max="16" width="10.6640625" style="149" customWidth="1"/>
    <col min="17" max="16384" width="9.6640625" style="149"/>
  </cols>
  <sheetData>
    <row r="1" spans="1:13" ht="17.399999999999999" x14ac:dyDescent="0.45">
      <c r="A1" s="427" t="s">
        <v>168</v>
      </c>
      <c r="B1" s="427"/>
      <c r="C1" s="427"/>
      <c r="D1" s="427"/>
      <c r="E1" s="427"/>
      <c r="F1" s="427"/>
      <c r="G1" s="427"/>
      <c r="H1" s="427"/>
      <c r="I1" s="427"/>
      <c r="J1" s="362"/>
      <c r="K1" s="362"/>
      <c r="L1" s="362"/>
      <c r="M1" s="362"/>
    </row>
    <row r="2" spans="1:13" ht="7.95" customHeight="1" x14ac:dyDescent="0.25"/>
    <row r="3" spans="1:13" x14ac:dyDescent="0.25">
      <c r="A3" s="138" t="s">
        <v>4</v>
      </c>
      <c r="C3" s="428" t="str">
        <f>ParticipantName</f>
        <v>Name of Market Participant (Customer)</v>
      </c>
      <c r="D3" s="428"/>
      <c r="E3" s="428"/>
      <c r="F3" s="428"/>
      <c r="G3" s="428"/>
      <c r="H3" s="148" t="s">
        <v>1</v>
      </c>
      <c r="I3" s="430" t="str">
        <f>'A1 Contract'!I3</f>
        <v>AESO 2018</v>
      </c>
      <c r="J3" s="430"/>
      <c r="K3" s="430"/>
      <c r="L3" s="149"/>
      <c r="M3" s="149"/>
    </row>
    <row r="4" spans="1:13" x14ac:dyDescent="0.25">
      <c r="A4" s="138" t="s">
        <v>0</v>
      </c>
      <c r="C4" s="428" t="str">
        <f>ProjectName</f>
        <v>Project Name</v>
      </c>
      <c r="D4" s="428"/>
      <c r="E4" s="428"/>
      <c r="F4" s="428"/>
      <c r="G4" s="428"/>
      <c r="H4" s="148" t="s">
        <v>2</v>
      </c>
      <c r="I4" s="430" t="str">
        <f>'A1 Contract'!I4</f>
        <v>1 Jan 2018</v>
      </c>
      <c r="J4" s="430"/>
      <c r="K4" s="430"/>
      <c r="L4" s="149"/>
      <c r="M4" s="149"/>
    </row>
    <row r="5" spans="1:13" x14ac:dyDescent="0.25">
      <c r="A5" s="138" t="s">
        <v>12</v>
      </c>
      <c r="C5" s="429" t="str">
        <f>ProjectNumber</f>
        <v>Project Number</v>
      </c>
      <c r="D5" s="429"/>
      <c r="E5" s="259" t="s">
        <v>3</v>
      </c>
      <c r="F5" s="461" t="str">
        <f>ProjectType</f>
        <v>DTS Only</v>
      </c>
      <c r="G5" s="461"/>
      <c r="H5" s="148" t="s">
        <v>11</v>
      </c>
      <c r="I5" s="430" t="str">
        <f>'A1 Contract'!I5</f>
        <v>Current</v>
      </c>
      <c r="J5" s="430"/>
      <c r="K5" s="430"/>
      <c r="L5" s="149"/>
      <c r="M5" s="149"/>
    </row>
    <row r="6" spans="1:13" x14ac:dyDescent="0.25">
      <c r="A6" s="138" t="s">
        <v>20</v>
      </c>
      <c r="C6" s="430" t="str">
        <f>PreparerName</f>
        <v>Name of Preparer</v>
      </c>
      <c r="D6" s="430"/>
      <c r="E6" s="259" t="s">
        <v>21</v>
      </c>
      <c r="F6" s="431" t="str">
        <f>PreparationDate</f>
        <v>Date Prepared</v>
      </c>
      <c r="G6" s="431"/>
      <c r="H6" s="254" t="s">
        <v>22</v>
      </c>
      <c r="I6" s="453" t="str">
        <f>'A1 Contract'!I6</f>
        <v>2018.0.0</v>
      </c>
      <c r="J6" s="453"/>
      <c r="K6" s="453"/>
      <c r="L6" s="149"/>
      <c r="M6" s="149"/>
    </row>
    <row r="8" spans="1:13" x14ac:dyDescent="0.25">
      <c r="A8" s="177" t="s">
        <v>146</v>
      </c>
      <c r="B8" s="178"/>
      <c r="C8" s="249"/>
      <c r="D8" s="249"/>
      <c r="E8" s="249"/>
      <c r="F8" s="201"/>
      <c r="G8" s="249"/>
      <c r="H8" s="18"/>
      <c r="I8" s="249"/>
      <c r="J8" s="149"/>
      <c r="K8" s="149"/>
      <c r="L8" s="149"/>
      <c r="M8" s="149"/>
    </row>
    <row r="9" spans="1:13" x14ac:dyDescent="0.25">
      <c r="A9" s="138" t="str">
        <f>"From date of payment to end of five-year notice period ("&amp;TEXT(PILONDate,"mmm yyyy")&amp;" to "&amp;TEXT(EffectiveWithoutPILON-1,"mmm yyyy")&amp;"):"</f>
        <v>From date of payment to end of five-year notice period (Apr 2017 to Jan 2022):</v>
      </c>
      <c r="B9" s="147"/>
      <c r="C9" s="250"/>
      <c r="D9" s="250"/>
      <c r="E9" s="250"/>
      <c r="F9" s="176"/>
      <c r="G9" s="250"/>
      <c r="I9" s="250"/>
      <c r="J9" s="149"/>
      <c r="K9" s="149"/>
      <c r="L9" s="149"/>
      <c r="M9" s="149"/>
    </row>
    <row r="10" spans="1:13" x14ac:dyDescent="0.25">
      <c r="A10" s="138" t="s">
        <v>147</v>
      </c>
      <c r="B10" s="147"/>
      <c r="C10" s="250"/>
      <c r="D10" s="250"/>
      <c r="E10" s="250"/>
      <c r="F10" s="176"/>
      <c r="G10" s="250"/>
      <c r="H10" s="432">
        <f>O50</f>
        <v>431197.27464652003</v>
      </c>
      <c r="I10" s="432"/>
      <c r="J10" s="149"/>
      <c r="K10" s="149"/>
      <c r="L10" s="149"/>
      <c r="M10" s="149"/>
    </row>
    <row r="11" spans="1:13" x14ac:dyDescent="0.25">
      <c r="A11" s="138" t="s">
        <v>148</v>
      </c>
      <c r="B11" s="147"/>
      <c r="C11" s="250"/>
      <c r="D11" s="250"/>
      <c r="E11" s="250"/>
      <c r="F11" s="176"/>
      <c r="G11" s="250"/>
      <c r="H11" s="432">
        <f>O117</f>
        <v>431197.27464652003</v>
      </c>
      <c r="I11" s="432"/>
      <c r="J11" s="149"/>
      <c r="K11" s="149"/>
      <c r="L11" s="149"/>
      <c r="M11" s="149"/>
    </row>
    <row r="12" spans="1:13" x14ac:dyDescent="0.25">
      <c r="A12" s="177" t="s">
        <v>149</v>
      </c>
      <c r="B12" s="178"/>
      <c r="C12" s="249"/>
      <c r="D12" s="249"/>
      <c r="E12" s="249"/>
      <c r="F12" s="201"/>
      <c r="G12" s="249"/>
      <c r="H12" s="433">
        <f>H10-H11</f>
        <v>0</v>
      </c>
      <c r="I12" s="433"/>
      <c r="J12" s="149"/>
      <c r="K12" s="149"/>
      <c r="L12" s="149"/>
      <c r="M12" s="149"/>
    </row>
    <row r="13" spans="1:13" x14ac:dyDescent="0.25">
      <c r="B13" s="147"/>
      <c r="C13" s="250"/>
      <c r="D13" s="250"/>
      <c r="E13" s="250"/>
      <c r="F13" s="176"/>
      <c r="G13" s="250"/>
      <c r="H13" s="250"/>
      <c r="J13" s="250"/>
      <c r="K13" s="149"/>
      <c r="L13" s="149"/>
      <c r="M13" s="149"/>
    </row>
    <row r="14" spans="1:13" x14ac:dyDescent="0.25">
      <c r="A14" s="138" t="s">
        <v>110</v>
      </c>
      <c r="B14" s="147"/>
      <c r="C14" s="238"/>
      <c r="E14" s="149"/>
      <c r="L14" s="149"/>
      <c r="M14" s="149"/>
    </row>
    <row r="15" spans="1:13" x14ac:dyDescent="0.25">
      <c r="B15" s="147"/>
      <c r="C15" s="238"/>
      <c r="E15" s="149"/>
      <c r="H15" s="238"/>
      <c r="J15" s="238"/>
      <c r="K15" s="238"/>
      <c r="L15" s="149"/>
      <c r="M15" s="149"/>
    </row>
    <row r="16" spans="1:13" x14ac:dyDescent="0.25">
      <c r="A16" s="454" t="s">
        <v>107</v>
      </c>
      <c r="B16" s="457"/>
      <c r="C16" s="457"/>
      <c r="D16" s="455"/>
      <c r="E16" s="454" t="s">
        <v>130</v>
      </c>
      <c r="F16" s="455"/>
      <c r="G16" s="454" t="s">
        <v>143</v>
      </c>
      <c r="H16" s="455"/>
      <c r="I16" s="253" t="s">
        <v>144</v>
      </c>
      <c r="J16" s="149"/>
      <c r="K16" s="149"/>
      <c r="L16" s="149"/>
      <c r="M16" s="149"/>
    </row>
    <row r="17" spans="1:13" x14ac:dyDescent="0.25">
      <c r="A17" s="205" t="s">
        <v>109</v>
      </c>
      <c r="C17" s="261"/>
      <c r="D17" s="205"/>
      <c r="E17" s="205"/>
      <c r="F17" s="205"/>
      <c r="G17" s="205"/>
      <c r="H17" s="205"/>
      <c r="I17" s="205"/>
      <c r="J17" s="149"/>
      <c r="K17" s="149"/>
      <c r="L17" s="149"/>
      <c r="M17" s="149"/>
    </row>
    <row r="18" spans="1:13" x14ac:dyDescent="0.25">
      <c r="A18" s="206" t="s">
        <v>92</v>
      </c>
      <c r="B18" s="287"/>
      <c r="C18" s="263"/>
      <c r="D18" s="209"/>
      <c r="E18" s="342"/>
      <c r="F18" s="358"/>
      <c r="G18" s="294"/>
      <c r="H18" s="211"/>
      <c r="I18" s="339"/>
      <c r="J18" s="149"/>
      <c r="K18" s="149"/>
      <c r="L18" s="149"/>
      <c r="M18" s="149"/>
    </row>
    <row r="19" spans="1:13" x14ac:dyDescent="0.25">
      <c r="A19" s="210" t="s">
        <v>150</v>
      </c>
      <c r="B19" s="288"/>
      <c r="C19" s="264"/>
      <c r="D19" s="277"/>
      <c r="E19" s="443">
        <v>10177</v>
      </c>
      <c r="F19" s="458"/>
      <c r="G19" s="295"/>
      <c r="H19" s="251"/>
      <c r="I19" s="340" t="s">
        <v>106</v>
      </c>
      <c r="J19" s="149"/>
      <c r="K19" s="149"/>
      <c r="L19" s="149"/>
      <c r="M19" s="149"/>
    </row>
    <row r="20" spans="1:13" x14ac:dyDescent="0.25">
      <c r="A20" s="214" t="s">
        <v>151</v>
      </c>
      <c r="B20" s="289"/>
      <c r="C20" s="265"/>
      <c r="D20" s="350"/>
      <c r="E20" s="445">
        <v>1.2</v>
      </c>
      <c r="F20" s="456"/>
      <c r="G20" s="295"/>
      <c r="H20" s="251"/>
      <c r="I20" s="341" t="s">
        <v>94</v>
      </c>
      <c r="J20" s="149"/>
      <c r="K20" s="149"/>
      <c r="L20" s="149"/>
      <c r="M20" s="149"/>
    </row>
    <row r="21" spans="1:13" x14ac:dyDescent="0.25">
      <c r="A21" s="206" t="s">
        <v>93</v>
      </c>
      <c r="B21" s="290"/>
      <c r="C21" s="263"/>
      <c r="D21" s="209"/>
      <c r="E21" s="342"/>
      <c r="F21" s="343"/>
      <c r="G21" s="294"/>
      <c r="H21" s="251"/>
      <c r="I21" s="339"/>
      <c r="J21" s="149"/>
      <c r="K21" s="149"/>
      <c r="L21" s="149"/>
      <c r="M21" s="149"/>
    </row>
    <row r="22" spans="1:13" x14ac:dyDescent="0.25">
      <c r="A22" s="210" t="s">
        <v>152</v>
      </c>
      <c r="B22" s="291"/>
      <c r="C22" s="264"/>
      <c r="D22" s="277"/>
      <c r="E22" s="443">
        <v>2281</v>
      </c>
      <c r="F22" s="458"/>
      <c r="G22" s="295"/>
      <c r="H22" s="251"/>
      <c r="I22" s="340" t="s">
        <v>106</v>
      </c>
      <c r="J22" s="149"/>
      <c r="K22" s="149"/>
      <c r="L22" s="149"/>
      <c r="M22" s="149"/>
    </row>
    <row r="23" spans="1:13" x14ac:dyDescent="0.25">
      <c r="A23" s="214" t="s">
        <v>153</v>
      </c>
      <c r="B23" s="292"/>
      <c r="C23" s="265"/>
      <c r="D23" s="350"/>
      <c r="E23" s="445">
        <v>0.84</v>
      </c>
      <c r="F23" s="456"/>
      <c r="G23" s="296"/>
      <c r="H23" s="252"/>
      <c r="I23" s="341" t="s">
        <v>94</v>
      </c>
      <c r="J23" s="149"/>
      <c r="K23" s="149"/>
      <c r="L23" s="149"/>
      <c r="M23" s="149"/>
    </row>
    <row r="24" spans="1:13" x14ac:dyDescent="0.25">
      <c r="A24" s="206" t="s">
        <v>127</v>
      </c>
      <c r="B24" s="290"/>
      <c r="C24" s="263"/>
      <c r="D24" s="209"/>
      <c r="E24" s="342"/>
      <c r="F24" s="343"/>
      <c r="G24" s="342"/>
      <c r="H24" s="343"/>
      <c r="I24" s="339"/>
      <c r="J24" s="149"/>
      <c r="K24" s="149"/>
      <c r="L24" s="149"/>
      <c r="M24" s="149"/>
    </row>
    <row r="25" spans="1:13" x14ac:dyDescent="0.25">
      <c r="A25" s="210" t="s">
        <v>157</v>
      </c>
      <c r="B25" s="291"/>
      <c r="C25" s="264"/>
      <c r="D25" s="277"/>
      <c r="E25" s="443">
        <v>8635</v>
      </c>
      <c r="F25" s="458"/>
      <c r="G25" s="443">
        <v>-6822</v>
      </c>
      <c r="H25" s="458"/>
      <c r="I25" s="340" t="s">
        <v>129</v>
      </c>
      <c r="J25" s="149"/>
      <c r="K25" s="149"/>
      <c r="L25" s="149"/>
      <c r="M25" s="149"/>
    </row>
    <row r="26" spans="1:13" x14ac:dyDescent="0.25">
      <c r="A26" s="210" t="s">
        <v>158</v>
      </c>
      <c r="B26" s="291"/>
      <c r="C26" s="264"/>
      <c r="D26" s="277"/>
      <c r="E26" s="443">
        <v>3496</v>
      </c>
      <c r="F26" s="458"/>
      <c r="G26" s="443">
        <v>-2762</v>
      </c>
      <c r="H26" s="458"/>
      <c r="I26" s="340" t="s">
        <v>106</v>
      </c>
      <c r="J26" s="149"/>
      <c r="K26" s="149"/>
      <c r="L26" s="149"/>
      <c r="M26" s="149"/>
    </row>
    <row r="27" spans="1:13" x14ac:dyDescent="0.25">
      <c r="A27" s="210" t="s">
        <v>159</v>
      </c>
      <c r="B27" s="291"/>
      <c r="C27" s="264"/>
      <c r="D27" s="277"/>
      <c r="E27" s="443">
        <v>2190</v>
      </c>
      <c r="F27" s="458"/>
      <c r="G27" s="443">
        <v>-1730</v>
      </c>
      <c r="H27" s="458"/>
      <c r="I27" s="340" t="s">
        <v>106</v>
      </c>
      <c r="J27" s="149"/>
      <c r="K27" s="149"/>
      <c r="L27" s="149"/>
      <c r="M27" s="149"/>
    </row>
    <row r="28" spans="1:13" x14ac:dyDescent="0.25">
      <c r="A28" s="210" t="s">
        <v>160</v>
      </c>
      <c r="B28" s="291"/>
      <c r="C28" s="264"/>
      <c r="D28" s="277"/>
      <c r="E28" s="443">
        <v>1527</v>
      </c>
      <c r="F28" s="458"/>
      <c r="G28" s="443">
        <v>-1206</v>
      </c>
      <c r="H28" s="458"/>
      <c r="I28" s="340" t="s">
        <v>106</v>
      </c>
      <c r="J28" s="149"/>
      <c r="K28" s="149"/>
      <c r="L28" s="149"/>
      <c r="M28" s="149"/>
    </row>
    <row r="29" spans="1:13" x14ac:dyDescent="0.25">
      <c r="A29" s="214" t="s">
        <v>161</v>
      </c>
      <c r="B29" s="292"/>
      <c r="C29" s="265"/>
      <c r="D29" s="350"/>
      <c r="E29" s="445">
        <v>989</v>
      </c>
      <c r="F29" s="456"/>
      <c r="G29" s="445">
        <v>-989</v>
      </c>
      <c r="H29" s="456"/>
      <c r="I29" s="341" t="s">
        <v>106</v>
      </c>
      <c r="J29" s="149"/>
      <c r="K29" s="149"/>
      <c r="L29" s="149"/>
      <c r="M29" s="149"/>
    </row>
    <row r="30" spans="1:13" x14ac:dyDescent="0.25">
      <c r="A30" s="278" t="s">
        <v>128</v>
      </c>
      <c r="B30" s="149"/>
      <c r="C30" s="279"/>
      <c r="D30" s="280"/>
      <c r="E30" s="281"/>
      <c r="F30" s="281"/>
      <c r="G30" s="297"/>
      <c r="H30" s="297"/>
      <c r="I30" s="282"/>
      <c r="J30" s="291"/>
      <c r="K30" s="149"/>
      <c r="L30" s="149"/>
      <c r="M30" s="149"/>
    </row>
    <row r="31" spans="1:13" x14ac:dyDescent="0.25">
      <c r="A31" s="206" t="s">
        <v>162</v>
      </c>
      <c r="B31" s="290"/>
      <c r="C31" s="263"/>
      <c r="D31" s="209"/>
      <c r="E31" s="359"/>
      <c r="F31" s="343">
        <f>'A1 Contract'!F38</f>
        <v>42.58</v>
      </c>
      <c r="G31" s="281"/>
      <c r="H31" s="281"/>
      <c r="I31" s="347" t="s">
        <v>94</v>
      </c>
      <c r="J31" s="291"/>
      <c r="K31" s="149"/>
      <c r="L31" s="149"/>
      <c r="M31" s="149"/>
    </row>
    <row r="32" spans="1:13" x14ac:dyDescent="0.25">
      <c r="A32" s="214" t="s">
        <v>163</v>
      </c>
      <c r="B32" s="292"/>
      <c r="C32" s="265"/>
      <c r="D32" s="350"/>
      <c r="E32" s="296"/>
      <c r="F32" s="344">
        <v>6.4399999999999999E-2</v>
      </c>
      <c r="G32" s="281"/>
      <c r="H32" s="281"/>
      <c r="I32" s="341"/>
      <c r="J32" s="291"/>
      <c r="K32" s="149"/>
      <c r="L32" s="149"/>
      <c r="M32" s="149"/>
    </row>
    <row r="33" spans="1:16" x14ac:dyDescent="0.25">
      <c r="A33" s="278" t="s">
        <v>184</v>
      </c>
      <c r="B33" s="149"/>
      <c r="C33" s="279"/>
      <c r="D33" s="280"/>
      <c r="E33" s="281"/>
      <c r="F33" s="281"/>
      <c r="G33" s="281"/>
      <c r="H33" s="281"/>
      <c r="I33" s="282"/>
      <c r="J33" s="291"/>
      <c r="K33" s="149"/>
      <c r="L33" s="149"/>
      <c r="M33" s="149"/>
    </row>
    <row r="34" spans="1:16" x14ac:dyDescent="0.25">
      <c r="A34" s="283" t="s">
        <v>164</v>
      </c>
      <c r="B34" s="293"/>
      <c r="C34" s="284"/>
      <c r="D34" s="285"/>
      <c r="E34" s="360"/>
      <c r="F34" s="395">
        <v>2E-3</v>
      </c>
      <c r="G34" s="281"/>
      <c r="H34" s="281"/>
      <c r="I34" s="346" t="s">
        <v>94</v>
      </c>
      <c r="J34" s="291"/>
      <c r="K34" s="149"/>
      <c r="L34" s="149"/>
      <c r="M34" s="149"/>
    </row>
    <row r="35" spans="1:16" x14ac:dyDescent="0.25">
      <c r="A35" s="278" t="s">
        <v>186</v>
      </c>
      <c r="B35" s="149"/>
      <c r="C35" s="279"/>
      <c r="D35" s="280"/>
      <c r="E35" s="281"/>
      <c r="F35" s="281"/>
      <c r="G35" s="281"/>
      <c r="H35" s="281"/>
      <c r="I35" s="282"/>
      <c r="J35" s="291"/>
      <c r="K35" s="149"/>
      <c r="L35" s="149"/>
      <c r="M35" s="149"/>
    </row>
    <row r="36" spans="1:16" x14ac:dyDescent="0.25">
      <c r="A36" s="283" t="s">
        <v>185</v>
      </c>
      <c r="B36" s="293"/>
      <c r="C36" s="284"/>
      <c r="D36" s="285"/>
      <c r="E36" s="360"/>
      <c r="F36" s="345">
        <v>0.09</v>
      </c>
      <c r="G36" s="281"/>
      <c r="H36" s="281"/>
      <c r="I36" s="346" t="s">
        <v>94</v>
      </c>
      <c r="J36" s="291"/>
      <c r="K36" s="149"/>
      <c r="L36" s="149"/>
      <c r="M36" s="149"/>
    </row>
    <row r="37" spans="1:16" x14ac:dyDescent="0.25">
      <c r="A37" s="278" t="s">
        <v>187</v>
      </c>
      <c r="B37" s="149"/>
      <c r="C37" s="279"/>
      <c r="D37" s="280"/>
      <c r="E37" s="281"/>
      <c r="F37" s="281"/>
      <c r="G37" s="281"/>
      <c r="H37" s="281"/>
      <c r="I37" s="282"/>
      <c r="J37" s="291"/>
      <c r="K37" s="149"/>
      <c r="L37" s="149"/>
      <c r="M37" s="149"/>
    </row>
    <row r="38" spans="1:16" x14ac:dyDescent="0.25">
      <c r="A38" s="283" t="s">
        <v>188</v>
      </c>
      <c r="B38" s="293"/>
      <c r="C38" s="284"/>
      <c r="D38" s="361"/>
      <c r="E38" s="360"/>
      <c r="F38" s="345">
        <v>46</v>
      </c>
      <c r="G38" s="281"/>
      <c r="H38" s="281"/>
      <c r="I38" s="346" t="s">
        <v>106</v>
      </c>
      <c r="J38" s="291"/>
      <c r="K38" s="149"/>
      <c r="L38" s="149"/>
      <c r="M38" s="149"/>
    </row>
    <row r="39" spans="1:16" x14ac:dyDescent="0.25">
      <c r="B39" s="147"/>
      <c r="C39" s="275"/>
      <c r="D39" s="264"/>
      <c r="E39" s="212"/>
      <c r="F39" s="251"/>
      <c r="G39" s="276"/>
      <c r="H39" s="281"/>
      <c r="I39" s="281"/>
      <c r="J39" s="281"/>
      <c r="K39" s="149"/>
      <c r="L39" s="149"/>
      <c r="M39" s="149"/>
    </row>
    <row r="40" spans="1:16" x14ac:dyDescent="0.25">
      <c r="A40" s="450" t="s">
        <v>140</v>
      </c>
      <c r="B40" s="451"/>
      <c r="C40" s="451"/>
      <c r="D40" s="452"/>
      <c r="E40" s="450" t="s">
        <v>139</v>
      </c>
      <c r="F40" s="451"/>
      <c r="H40" s="238"/>
      <c r="I40" s="238"/>
      <c r="J40" s="149"/>
      <c r="K40" s="149"/>
      <c r="L40" s="149"/>
      <c r="M40" s="149"/>
    </row>
    <row r="41" spans="1:16" x14ac:dyDescent="0.25">
      <c r="A41" s="206" t="s">
        <v>165</v>
      </c>
      <c r="B41" s="263"/>
      <c r="C41" s="208"/>
      <c r="D41" s="209"/>
      <c r="E41" s="351"/>
      <c r="F41" s="356">
        <f>IF(ISNUMBER(OverrideCF),OverrideCF,IF(ISNUMBER(AverageCF),AverageCF,75%))</f>
        <v>0.75</v>
      </c>
      <c r="H41" s="238"/>
      <c r="I41" s="238"/>
      <c r="J41" s="149"/>
      <c r="K41" s="149"/>
      <c r="L41" s="149"/>
      <c r="M41" s="149"/>
    </row>
    <row r="42" spans="1:16" x14ac:dyDescent="0.25">
      <c r="A42" s="210" t="s">
        <v>166</v>
      </c>
      <c r="B42" s="264"/>
      <c r="C42" s="212"/>
      <c r="D42" s="277"/>
      <c r="E42" s="353"/>
      <c r="F42" s="357">
        <f>IF(ISNUMBER(OverrideLF),OverrideLF,IF(ISNUMBER(AverageLF),AverageLF,65%))</f>
        <v>0.65</v>
      </c>
      <c r="H42" s="238"/>
      <c r="I42" s="238"/>
      <c r="J42" s="149"/>
      <c r="K42" s="149"/>
      <c r="L42" s="149"/>
      <c r="M42" s="149"/>
    </row>
    <row r="43" spans="1:16" x14ac:dyDescent="0.25">
      <c r="A43" s="349" t="s">
        <v>167</v>
      </c>
      <c r="B43" s="265"/>
      <c r="C43" s="216"/>
      <c r="D43" s="350"/>
      <c r="E43" s="355"/>
      <c r="F43" s="344">
        <f>DiscountRate</f>
        <v>6.2600000000000003E-2</v>
      </c>
      <c r="H43" s="238"/>
      <c r="I43" s="238"/>
      <c r="J43" s="149"/>
      <c r="K43" s="149"/>
      <c r="L43" s="149"/>
      <c r="M43" s="149"/>
    </row>
    <row r="45" spans="1:16" x14ac:dyDescent="0.25">
      <c r="A45" s="316"/>
      <c r="B45" s="4"/>
      <c r="C45" s="160" t="s">
        <v>64</v>
      </c>
      <c r="D45" s="168"/>
      <c r="E45" s="321"/>
      <c r="F45" s="168" t="s">
        <v>64</v>
      </c>
      <c r="G45" s="159"/>
      <c r="H45" s="412" t="s">
        <v>141</v>
      </c>
      <c r="I45" s="413"/>
      <c r="J45" s="413"/>
      <c r="K45" s="413"/>
      <c r="L45" s="413"/>
      <c r="M45" s="413"/>
      <c r="N45" s="413"/>
      <c r="O45" s="413"/>
      <c r="P45" s="414"/>
    </row>
    <row r="46" spans="1:16" x14ac:dyDescent="0.25">
      <c r="A46" s="317"/>
      <c r="B46" s="318"/>
      <c r="C46" s="179" t="s">
        <v>61</v>
      </c>
      <c r="D46" s="163"/>
      <c r="E46" s="322" t="s">
        <v>7</v>
      </c>
      <c r="F46" s="163" t="s">
        <v>66</v>
      </c>
      <c r="G46" s="161"/>
      <c r="H46" s="324" t="s">
        <v>88</v>
      </c>
      <c r="I46" s="325" t="s">
        <v>90</v>
      </c>
      <c r="J46" s="325" t="s">
        <v>119</v>
      </c>
      <c r="K46" s="325" t="s">
        <v>121</v>
      </c>
      <c r="L46" s="325" t="s">
        <v>189</v>
      </c>
      <c r="M46" s="325" t="s">
        <v>123</v>
      </c>
      <c r="N46" s="325" t="s">
        <v>13</v>
      </c>
      <c r="O46" s="329" t="s">
        <v>134</v>
      </c>
      <c r="P46" s="326" t="s">
        <v>7</v>
      </c>
    </row>
    <row r="47" spans="1:16" s="137" customFormat="1" x14ac:dyDescent="0.25">
      <c r="A47" s="162"/>
      <c r="B47" s="319"/>
      <c r="C47" s="179" t="s">
        <v>62</v>
      </c>
      <c r="D47" s="163" t="s">
        <v>81</v>
      </c>
      <c r="E47" s="322" t="s">
        <v>62</v>
      </c>
      <c r="F47" s="163" t="s">
        <v>62</v>
      </c>
      <c r="G47" s="161" t="s">
        <v>133</v>
      </c>
      <c r="H47" s="179" t="s">
        <v>89</v>
      </c>
      <c r="I47" s="163" t="s">
        <v>89</v>
      </c>
      <c r="J47" s="256" t="s">
        <v>120</v>
      </c>
      <c r="K47" s="256" t="s">
        <v>122</v>
      </c>
      <c r="L47" s="163" t="s">
        <v>190</v>
      </c>
      <c r="M47" s="163" t="s">
        <v>124</v>
      </c>
      <c r="N47" s="163" t="s">
        <v>89</v>
      </c>
      <c r="O47" s="257" t="s">
        <v>135</v>
      </c>
      <c r="P47" s="161" t="s">
        <v>126</v>
      </c>
    </row>
    <row r="48" spans="1:16" s="137" customFormat="1" x14ac:dyDescent="0.25">
      <c r="A48" s="202"/>
      <c r="B48" s="319"/>
      <c r="C48" s="179" t="s">
        <v>63</v>
      </c>
      <c r="D48" s="163" t="s">
        <v>49</v>
      </c>
      <c r="E48" s="322" t="s">
        <v>65</v>
      </c>
      <c r="F48" s="163" t="s">
        <v>63</v>
      </c>
      <c r="G48" s="161" t="s">
        <v>131</v>
      </c>
      <c r="H48" s="179" t="s">
        <v>108</v>
      </c>
      <c r="I48" s="163" t="s">
        <v>108</v>
      </c>
      <c r="J48" s="256" t="s">
        <v>108</v>
      </c>
      <c r="K48" s="256" t="s">
        <v>108</v>
      </c>
      <c r="L48" s="163" t="s">
        <v>108</v>
      </c>
      <c r="M48" s="163" t="s">
        <v>108</v>
      </c>
      <c r="N48" s="163" t="s">
        <v>125</v>
      </c>
      <c r="O48" s="257" t="s">
        <v>136</v>
      </c>
      <c r="P48" s="161" t="s">
        <v>91</v>
      </c>
    </row>
    <row r="49" spans="1:16" s="137" customFormat="1" x14ac:dyDescent="0.25">
      <c r="A49" s="164" t="s">
        <v>8</v>
      </c>
      <c r="B49" s="320" t="s">
        <v>17</v>
      </c>
      <c r="C49" s="237" t="s">
        <v>72</v>
      </c>
      <c r="D49" s="266" t="s">
        <v>72</v>
      </c>
      <c r="E49" s="323" t="s">
        <v>73</v>
      </c>
      <c r="F49" s="266" t="s">
        <v>72</v>
      </c>
      <c r="G49" s="233" t="s">
        <v>132</v>
      </c>
      <c r="H49" s="327" t="s">
        <v>98</v>
      </c>
      <c r="I49" s="235" t="s">
        <v>98</v>
      </c>
      <c r="J49" s="328" t="s">
        <v>98</v>
      </c>
      <c r="K49" s="328" t="s">
        <v>98</v>
      </c>
      <c r="L49" s="266" t="s">
        <v>98</v>
      </c>
      <c r="M49" s="266" t="s">
        <v>98</v>
      </c>
      <c r="N49" s="266" t="s">
        <v>98</v>
      </c>
      <c r="O49" s="258" t="s">
        <v>98</v>
      </c>
      <c r="P49" s="233" t="s">
        <v>98</v>
      </c>
    </row>
    <row r="50" spans="1:16" s="137" customFormat="1" x14ac:dyDescent="0.25">
      <c r="A50" s="335" t="s">
        <v>137</v>
      </c>
      <c r="B50" s="336">
        <f>PILONDate</f>
        <v>42826</v>
      </c>
      <c r="C50" s="333" t="s">
        <v>138</v>
      </c>
      <c r="D50" s="334"/>
      <c r="E50" s="337"/>
      <c r="F50" s="334"/>
      <c r="G50" s="334"/>
      <c r="H50" s="333"/>
      <c r="I50" s="331"/>
      <c r="J50" s="332"/>
      <c r="K50" s="199"/>
      <c r="L50" s="198"/>
      <c r="M50" s="198"/>
      <c r="N50" s="338" t="s">
        <v>102</v>
      </c>
      <c r="O50" s="459">
        <f>NPV(DiscountRate/12,P51:P110)</f>
        <v>431197.27464652003</v>
      </c>
      <c r="P50" s="460"/>
    </row>
    <row r="51" spans="1:16" x14ac:dyDescent="0.25">
      <c r="A51" s="170">
        <f>'A4 Demands'!A37</f>
        <v>1</v>
      </c>
      <c r="B51" s="313">
        <f>'A4 Demands'!B37</f>
        <v>42767</v>
      </c>
      <c r="C51" s="298">
        <f>'A4 Demands'!C37</f>
        <v>0</v>
      </c>
      <c r="D51" s="299">
        <f>'A4 Demands'!F37</f>
        <v>0</v>
      </c>
      <c r="E51" s="300">
        <f t="shared" ref="E51:E82" si="0">C51*(DATE(YEAR(B51),MONTH(B51)+1,1)-B51)*24*F$42</f>
        <v>0</v>
      </c>
      <c r="F51" s="154">
        <f t="shared" ref="F51:F82" si="1">C51*F$41</f>
        <v>0</v>
      </c>
      <c r="G51" s="301">
        <f>VLOOKUP(A51,'A1 Contract'!$A$44:$I$53,7,FALSE)</f>
        <v>1</v>
      </c>
      <c r="H51" s="267" t="str">
        <f t="shared" ref="H51:H82" si="2">IF(B51&lt;DATE(YEAR(PILONDate),MONTH(PILONDate),1),"",(F51*$E$19)+(E51*$E$20))</f>
        <v/>
      </c>
      <c r="I51" s="268" t="str">
        <f t="shared" ref="I51:I82" si="3">IF(B51&lt;DATE(YEAR(PILONDate),MONTH(PILONDate),1),"",(D51*$E$22)+(E51*$E$23))</f>
        <v/>
      </c>
      <c r="J51" s="268" t="str">
        <f t="shared" ref="J51:J82" si="4">IF(B51&lt;DATE(YEAR(PILONDate),MONTH(PILONDate),1),"",IF(D51&gt;0,(G51*$E$25)+(MIN(7.5*G51,D51)*$E$26)+(MAX(MIN(9.5*G51,D51-(7.5*G51)),0)*$E$27)+(MAX(MIN(23*G51,D51-(17*G51)),0)*$E$28)+(MAX(D51-(40*G51),0)*$E$29),IF(D51=0,G51*$E$25,0)))</f>
        <v/>
      </c>
      <c r="K51" s="268" t="str">
        <f t="shared" ref="K51:K82" si="5">IF(B51&lt;DATE(YEAR(PILONDate),MONTH(PILONDate),1),"",E51*$F$31*$F$32)</f>
        <v/>
      </c>
      <c r="L51" s="268" t="str">
        <f t="shared" ref="L51:L82" si="6">IF(B51&lt;DATE(YEAR(PILONDate),MONTH(PILONDate),1),"",E51*$F$34)</f>
        <v/>
      </c>
      <c r="M51" s="268" t="str">
        <f t="shared" ref="M51:M82" si="7">IF(B51&lt;DATE(YEAR(PILONDate),MONTH(PILONDate),1),"",E51*$F$36)</f>
        <v/>
      </c>
      <c r="N51" s="268" t="str">
        <f t="shared" ref="N51:N82" si="8">IF(B51&lt;DATE(YEAR(PILONDate),MONTH(PILONDate),1),"",C51*$F$38)</f>
        <v/>
      </c>
      <c r="O51" s="269" t="str">
        <f t="shared" ref="O51:O82" si="9">IF(B51&lt;DATE(YEAR(PILONDate),MONTH(PILONDate),1),"",IF(ReceivePSC="Yes",IF(D51&gt;0,(G51*$G$25)+(MIN(7.5*G51,D51)*$G$26)+(MAX(MIN(9.5*G51,D51-(7.5*G51)),0)*$G$27)+(MAX(MIN(23*G51,D51-(17*G51)),0)*$G$28)+(MAX(D51-(40*G51),0)*$G$29),0),0))</f>
        <v/>
      </c>
      <c r="P51" s="270" t="str">
        <f t="shared" ref="P51:P82" si="10">IF(B51&lt;DATE(YEAR(PILONDate),MONTH(PILONDate),1),"",SUM(H51:O51))</f>
        <v/>
      </c>
    </row>
    <row r="52" spans="1:16" x14ac:dyDescent="0.25">
      <c r="A52" s="171">
        <f>'A4 Demands'!A38</f>
        <v>1</v>
      </c>
      <c r="B52" s="314">
        <f>'A4 Demands'!B38</f>
        <v>42795</v>
      </c>
      <c r="C52" s="302">
        <f>'A4 Demands'!C38</f>
        <v>0</v>
      </c>
      <c r="D52" s="303">
        <f>'A4 Demands'!F38</f>
        <v>0</v>
      </c>
      <c r="E52" s="304">
        <f t="shared" si="0"/>
        <v>0</v>
      </c>
      <c r="F52" s="156">
        <f t="shared" si="1"/>
        <v>0</v>
      </c>
      <c r="G52" s="305">
        <f>VLOOKUP(A52,'A1 Contract'!$A$44:$I$53,7,FALSE)</f>
        <v>1</v>
      </c>
      <c r="H52" s="271" t="str">
        <f t="shared" si="2"/>
        <v/>
      </c>
      <c r="I52" s="272" t="str">
        <f t="shared" si="3"/>
        <v/>
      </c>
      <c r="J52" s="272" t="str">
        <f t="shared" si="4"/>
        <v/>
      </c>
      <c r="K52" s="272" t="str">
        <f t="shared" si="5"/>
        <v/>
      </c>
      <c r="L52" s="272" t="str">
        <f t="shared" si="6"/>
        <v/>
      </c>
      <c r="M52" s="272" t="str">
        <f t="shared" si="7"/>
        <v/>
      </c>
      <c r="N52" s="272" t="str">
        <f t="shared" si="8"/>
        <v/>
      </c>
      <c r="O52" s="273" t="str">
        <f t="shared" si="9"/>
        <v/>
      </c>
      <c r="P52" s="274" t="str">
        <f t="shared" si="10"/>
        <v/>
      </c>
    </row>
    <row r="53" spans="1:16" x14ac:dyDescent="0.25">
      <c r="A53" s="171">
        <f>'A4 Demands'!A39</f>
        <v>1</v>
      </c>
      <c r="B53" s="314">
        <f>'A4 Demands'!B39</f>
        <v>42826</v>
      </c>
      <c r="C53" s="302">
        <f>'A4 Demands'!C39</f>
        <v>0</v>
      </c>
      <c r="D53" s="303">
        <f>'A4 Demands'!F39</f>
        <v>0</v>
      </c>
      <c r="E53" s="304">
        <f t="shared" si="0"/>
        <v>0</v>
      </c>
      <c r="F53" s="156">
        <f t="shared" si="1"/>
        <v>0</v>
      </c>
      <c r="G53" s="305">
        <f>VLOOKUP(A53,'A1 Contract'!$A$44:$I$53,7,FALSE)</f>
        <v>1</v>
      </c>
      <c r="H53" s="271">
        <f t="shared" si="2"/>
        <v>0</v>
      </c>
      <c r="I53" s="272">
        <f t="shared" si="3"/>
        <v>0</v>
      </c>
      <c r="J53" s="272">
        <f t="shared" si="4"/>
        <v>8635</v>
      </c>
      <c r="K53" s="272">
        <f t="shared" si="5"/>
        <v>0</v>
      </c>
      <c r="L53" s="272">
        <f t="shared" si="6"/>
        <v>0</v>
      </c>
      <c r="M53" s="272">
        <f t="shared" si="7"/>
        <v>0</v>
      </c>
      <c r="N53" s="272">
        <f t="shared" si="8"/>
        <v>0</v>
      </c>
      <c r="O53" s="273">
        <f t="shared" si="9"/>
        <v>0</v>
      </c>
      <c r="P53" s="274">
        <f t="shared" si="10"/>
        <v>8635</v>
      </c>
    </row>
    <row r="54" spans="1:16" x14ac:dyDescent="0.25">
      <c r="A54" s="171">
        <f>'A4 Demands'!A40</f>
        <v>1</v>
      </c>
      <c r="B54" s="314">
        <f>'A4 Demands'!B40</f>
        <v>42856</v>
      </c>
      <c r="C54" s="302">
        <f>'A4 Demands'!C40</f>
        <v>0</v>
      </c>
      <c r="D54" s="303">
        <f>'A4 Demands'!F40</f>
        <v>0</v>
      </c>
      <c r="E54" s="304">
        <f t="shared" si="0"/>
        <v>0</v>
      </c>
      <c r="F54" s="156">
        <f t="shared" si="1"/>
        <v>0</v>
      </c>
      <c r="G54" s="305">
        <f>VLOOKUP(A54,'A1 Contract'!$A$44:$I$53,7,FALSE)</f>
        <v>1</v>
      </c>
      <c r="H54" s="271">
        <f t="shared" si="2"/>
        <v>0</v>
      </c>
      <c r="I54" s="272">
        <f t="shared" si="3"/>
        <v>0</v>
      </c>
      <c r="J54" s="272">
        <f t="shared" si="4"/>
        <v>8635</v>
      </c>
      <c r="K54" s="272">
        <f t="shared" si="5"/>
        <v>0</v>
      </c>
      <c r="L54" s="272">
        <f t="shared" si="6"/>
        <v>0</v>
      </c>
      <c r="M54" s="272">
        <f t="shared" si="7"/>
        <v>0</v>
      </c>
      <c r="N54" s="272">
        <f t="shared" si="8"/>
        <v>0</v>
      </c>
      <c r="O54" s="273">
        <f t="shared" si="9"/>
        <v>0</v>
      </c>
      <c r="P54" s="274">
        <f t="shared" si="10"/>
        <v>8635</v>
      </c>
    </row>
    <row r="55" spans="1:16" x14ac:dyDescent="0.25">
      <c r="A55" s="171">
        <f>'A4 Demands'!A41</f>
        <v>1</v>
      </c>
      <c r="B55" s="314">
        <f>'A4 Demands'!B41</f>
        <v>42887</v>
      </c>
      <c r="C55" s="302">
        <f>'A4 Demands'!C41</f>
        <v>0</v>
      </c>
      <c r="D55" s="303">
        <f>'A4 Demands'!F41</f>
        <v>0</v>
      </c>
      <c r="E55" s="304">
        <f t="shared" si="0"/>
        <v>0</v>
      </c>
      <c r="F55" s="156">
        <f t="shared" si="1"/>
        <v>0</v>
      </c>
      <c r="G55" s="305">
        <f>VLOOKUP(A55,'A1 Contract'!$A$44:$I$53,7,FALSE)</f>
        <v>1</v>
      </c>
      <c r="H55" s="271">
        <f t="shared" si="2"/>
        <v>0</v>
      </c>
      <c r="I55" s="272">
        <f t="shared" si="3"/>
        <v>0</v>
      </c>
      <c r="J55" s="272">
        <f t="shared" si="4"/>
        <v>8635</v>
      </c>
      <c r="K55" s="272">
        <f t="shared" si="5"/>
        <v>0</v>
      </c>
      <c r="L55" s="272">
        <f t="shared" si="6"/>
        <v>0</v>
      </c>
      <c r="M55" s="272">
        <f t="shared" si="7"/>
        <v>0</v>
      </c>
      <c r="N55" s="272">
        <f t="shared" si="8"/>
        <v>0</v>
      </c>
      <c r="O55" s="273">
        <f t="shared" si="9"/>
        <v>0</v>
      </c>
      <c r="P55" s="274">
        <f t="shared" si="10"/>
        <v>8635</v>
      </c>
    </row>
    <row r="56" spans="1:16" x14ac:dyDescent="0.25">
      <c r="A56" s="171">
        <f>'A4 Demands'!A42</f>
        <v>1</v>
      </c>
      <c r="B56" s="314">
        <f>'A4 Demands'!B42</f>
        <v>42917</v>
      </c>
      <c r="C56" s="302">
        <f>'A4 Demands'!C42</f>
        <v>0</v>
      </c>
      <c r="D56" s="303">
        <f>'A4 Demands'!F42</f>
        <v>0</v>
      </c>
      <c r="E56" s="304">
        <f t="shared" si="0"/>
        <v>0</v>
      </c>
      <c r="F56" s="156">
        <f t="shared" si="1"/>
        <v>0</v>
      </c>
      <c r="G56" s="305">
        <f>VLOOKUP(A56,'A1 Contract'!$A$44:$I$53,7,FALSE)</f>
        <v>1</v>
      </c>
      <c r="H56" s="271">
        <f t="shared" si="2"/>
        <v>0</v>
      </c>
      <c r="I56" s="272">
        <f t="shared" si="3"/>
        <v>0</v>
      </c>
      <c r="J56" s="272">
        <f t="shared" si="4"/>
        <v>8635</v>
      </c>
      <c r="K56" s="272">
        <f t="shared" si="5"/>
        <v>0</v>
      </c>
      <c r="L56" s="272">
        <f t="shared" si="6"/>
        <v>0</v>
      </c>
      <c r="M56" s="272">
        <f t="shared" si="7"/>
        <v>0</v>
      </c>
      <c r="N56" s="272">
        <f t="shared" si="8"/>
        <v>0</v>
      </c>
      <c r="O56" s="273">
        <f t="shared" si="9"/>
        <v>0</v>
      </c>
      <c r="P56" s="274">
        <f t="shared" si="10"/>
        <v>8635</v>
      </c>
    </row>
    <row r="57" spans="1:16" x14ac:dyDescent="0.25">
      <c r="A57" s="171">
        <f>'A4 Demands'!A43</f>
        <v>1</v>
      </c>
      <c r="B57" s="314">
        <f>'A4 Demands'!B43</f>
        <v>42948</v>
      </c>
      <c r="C57" s="302">
        <f>'A4 Demands'!C43</f>
        <v>0</v>
      </c>
      <c r="D57" s="303">
        <f>'A4 Demands'!F43</f>
        <v>0</v>
      </c>
      <c r="E57" s="304">
        <f t="shared" si="0"/>
        <v>0</v>
      </c>
      <c r="F57" s="156">
        <f t="shared" si="1"/>
        <v>0</v>
      </c>
      <c r="G57" s="305">
        <f>VLOOKUP(A57,'A1 Contract'!$A$44:$I$53,7,FALSE)</f>
        <v>1</v>
      </c>
      <c r="H57" s="271">
        <f t="shared" si="2"/>
        <v>0</v>
      </c>
      <c r="I57" s="272">
        <f t="shared" si="3"/>
        <v>0</v>
      </c>
      <c r="J57" s="272">
        <f t="shared" si="4"/>
        <v>8635</v>
      </c>
      <c r="K57" s="272">
        <f t="shared" si="5"/>
        <v>0</v>
      </c>
      <c r="L57" s="272">
        <f t="shared" si="6"/>
        <v>0</v>
      </c>
      <c r="M57" s="272">
        <f t="shared" si="7"/>
        <v>0</v>
      </c>
      <c r="N57" s="272">
        <f t="shared" si="8"/>
        <v>0</v>
      </c>
      <c r="O57" s="273">
        <f t="shared" si="9"/>
        <v>0</v>
      </c>
      <c r="P57" s="274">
        <f t="shared" si="10"/>
        <v>8635</v>
      </c>
    </row>
    <row r="58" spans="1:16" x14ac:dyDescent="0.25">
      <c r="A58" s="171">
        <f>'A4 Demands'!A44</f>
        <v>1</v>
      </c>
      <c r="B58" s="314">
        <f>'A4 Demands'!B44</f>
        <v>42979</v>
      </c>
      <c r="C58" s="302">
        <f>'A4 Demands'!C44</f>
        <v>0</v>
      </c>
      <c r="D58" s="303">
        <f>'A4 Demands'!F44</f>
        <v>0</v>
      </c>
      <c r="E58" s="304">
        <f t="shared" si="0"/>
        <v>0</v>
      </c>
      <c r="F58" s="156">
        <f t="shared" si="1"/>
        <v>0</v>
      </c>
      <c r="G58" s="305">
        <f>VLOOKUP(A58,'A1 Contract'!$A$44:$I$53,7,FALSE)</f>
        <v>1</v>
      </c>
      <c r="H58" s="271">
        <f t="shared" si="2"/>
        <v>0</v>
      </c>
      <c r="I58" s="272">
        <f t="shared" si="3"/>
        <v>0</v>
      </c>
      <c r="J58" s="272">
        <f t="shared" si="4"/>
        <v>8635</v>
      </c>
      <c r="K58" s="272">
        <f t="shared" si="5"/>
        <v>0</v>
      </c>
      <c r="L58" s="272">
        <f t="shared" si="6"/>
        <v>0</v>
      </c>
      <c r="M58" s="272">
        <f t="shared" si="7"/>
        <v>0</v>
      </c>
      <c r="N58" s="272">
        <f t="shared" si="8"/>
        <v>0</v>
      </c>
      <c r="O58" s="273">
        <f t="shared" si="9"/>
        <v>0</v>
      </c>
      <c r="P58" s="274">
        <f t="shared" si="10"/>
        <v>8635</v>
      </c>
    </row>
    <row r="59" spans="1:16" x14ac:dyDescent="0.25">
      <c r="A59" s="171">
        <f>'A4 Demands'!A45</f>
        <v>1</v>
      </c>
      <c r="B59" s="314">
        <f>'A4 Demands'!B45</f>
        <v>43009</v>
      </c>
      <c r="C59" s="302">
        <f>'A4 Demands'!C45</f>
        <v>0</v>
      </c>
      <c r="D59" s="303">
        <f>'A4 Demands'!F45</f>
        <v>0</v>
      </c>
      <c r="E59" s="304">
        <f t="shared" si="0"/>
        <v>0</v>
      </c>
      <c r="F59" s="156">
        <f t="shared" si="1"/>
        <v>0</v>
      </c>
      <c r="G59" s="305">
        <f>VLOOKUP(A59,'A1 Contract'!$A$44:$I$53,7,FALSE)</f>
        <v>1</v>
      </c>
      <c r="H59" s="271">
        <f t="shared" si="2"/>
        <v>0</v>
      </c>
      <c r="I59" s="272">
        <f t="shared" si="3"/>
        <v>0</v>
      </c>
      <c r="J59" s="272">
        <f t="shared" si="4"/>
        <v>8635</v>
      </c>
      <c r="K59" s="272">
        <f t="shared" si="5"/>
        <v>0</v>
      </c>
      <c r="L59" s="272">
        <f t="shared" si="6"/>
        <v>0</v>
      </c>
      <c r="M59" s="272">
        <f t="shared" si="7"/>
        <v>0</v>
      </c>
      <c r="N59" s="272">
        <f t="shared" si="8"/>
        <v>0</v>
      </c>
      <c r="O59" s="273">
        <f t="shared" si="9"/>
        <v>0</v>
      </c>
      <c r="P59" s="274">
        <f t="shared" si="10"/>
        <v>8635</v>
      </c>
    </row>
    <row r="60" spans="1:16" x14ac:dyDescent="0.25">
      <c r="A60" s="171">
        <f>'A4 Demands'!A46</f>
        <v>1</v>
      </c>
      <c r="B60" s="314">
        <f>'A4 Demands'!B46</f>
        <v>43040</v>
      </c>
      <c r="C60" s="302">
        <f>'A4 Demands'!C46</f>
        <v>0</v>
      </c>
      <c r="D60" s="303">
        <f>'A4 Demands'!F46</f>
        <v>0</v>
      </c>
      <c r="E60" s="304">
        <f t="shared" si="0"/>
        <v>0</v>
      </c>
      <c r="F60" s="156">
        <f t="shared" si="1"/>
        <v>0</v>
      </c>
      <c r="G60" s="305">
        <f>VLOOKUP(A60,'A1 Contract'!$A$44:$I$53,7,FALSE)</f>
        <v>1</v>
      </c>
      <c r="H60" s="271">
        <f t="shared" si="2"/>
        <v>0</v>
      </c>
      <c r="I60" s="272">
        <f t="shared" si="3"/>
        <v>0</v>
      </c>
      <c r="J60" s="272">
        <f t="shared" si="4"/>
        <v>8635</v>
      </c>
      <c r="K60" s="272">
        <f t="shared" si="5"/>
        <v>0</v>
      </c>
      <c r="L60" s="272">
        <f t="shared" si="6"/>
        <v>0</v>
      </c>
      <c r="M60" s="272">
        <f t="shared" si="7"/>
        <v>0</v>
      </c>
      <c r="N60" s="272">
        <f t="shared" si="8"/>
        <v>0</v>
      </c>
      <c r="O60" s="273">
        <f t="shared" si="9"/>
        <v>0</v>
      </c>
      <c r="P60" s="274">
        <f t="shared" si="10"/>
        <v>8635</v>
      </c>
    </row>
    <row r="61" spans="1:16" x14ac:dyDescent="0.25">
      <c r="A61" s="171">
        <f>'A4 Demands'!A47</f>
        <v>1</v>
      </c>
      <c r="B61" s="314">
        <f>'A4 Demands'!B47</f>
        <v>43070</v>
      </c>
      <c r="C61" s="302">
        <f>'A4 Demands'!C47</f>
        <v>0</v>
      </c>
      <c r="D61" s="303">
        <f>'A4 Demands'!F47</f>
        <v>0</v>
      </c>
      <c r="E61" s="304">
        <f t="shared" si="0"/>
        <v>0</v>
      </c>
      <c r="F61" s="156">
        <f t="shared" si="1"/>
        <v>0</v>
      </c>
      <c r="G61" s="305">
        <f>VLOOKUP(A61,'A1 Contract'!$A$44:$I$53,7,FALSE)</f>
        <v>1</v>
      </c>
      <c r="H61" s="271">
        <f t="shared" si="2"/>
        <v>0</v>
      </c>
      <c r="I61" s="272">
        <f t="shared" si="3"/>
        <v>0</v>
      </c>
      <c r="J61" s="272">
        <f t="shared" si="4"/>
        <v>8635</v>
      </c>
      <c r="K61" s="272">
        <f t="shared" si="5"/>
        <v>0</v>
      </c>
      <c r="L61" s="272">
        <f t="shared" si="6"/>
        <v>0</v>
      </c>
      <c r="M61" s="272">
        <f t="shared" si="7"/>
        <v>0</v>
      </c>
      <c r="N61" s="272">
        <f t="shared" si="8"/>
        <v>0</v>
      </c>
      <c r="O61" s="273">
        <f t="shared" si="9"/>
        <v>0</v>
      </c>
      <c r="P61" s="274">
        <f t="shared" si="10"/>
        <v>8635</v>
      </c>
    </row>
    <row r="62" spans="1:16" x14ac:dyDescent="0.25">
      <c r="A62" s="171">
        <f>'A4 Demands'!A48</f>
        <v>1</v>
      </c>
      <c r="B62" s="314">
        <f>'A4 Demands'!B48</f>
        <v>43101</v>
      </c>
      <c r="C62" s="302">
        <f>'A4 Demands'!C48</f>
        <v>0</v>
      </c>
      <c r="D62" s="303">
        <f>'A4 Demands'!F48</f>
        <v>0</v>
      </c>
      <c r="E62" s="304">
        <f t="shared" si="0"/>
        <v>0</v>
      </c>
      <c r="F62" s="156">
        <f t="shared" si="1"/>
        <v>0</v>
      </c>
      <c r="G62" s="305">
        <f>VLOOKUP(A62,'A1 Contract'!$A$44:$I$53,7,FALSE)</f>
        <v>1</v>
      </c>
      <c r="H62" s="271">
        <f t="shared" si="2"/>
        <v>0</v>
      </c>
      <c r="I62" s="272">
        <f t="shared" si="3"/>
        <v>0</v>
      </c>
      <c r="J62" s="272">
        <f t="shared" si="4"/>
        <v>8635</v>
      </c>
      <c r="K62" s="272">
        <f t="shared" si="5"/>
        <v>0</v>
      </c>
      <c r="L62" s="272">
        <f t="shared" si="6"/>
        <v>0</v>
      </c>
      <c r="M62" s="272">
        <f t="shared" si="7"/>
        <v>0</v>
      </c>
      <c r="N62" s="272">
        <f t="shared" si="8"/>
        <v>0</v>
      </c>
      <c r="O62" s="273">
        <f t="shared" si="9"/>
        <v>0</v>
      </c>
      <c r="P62" s="274">
        <f t="shared" si="10"/>
        <v>8635</v>
      </c>
    </row>
    <row r="63" spans="1:16" x14ac:dyDescent="0.25">
      <c r="A63" s="171">
        <f>'A4 Demands'!A49</f>
        <v>1</v>
      </c>
      <c r="B63" s="314">
        <f>'A4 Demands'!B49</f>
        <v>43132</v>
      </c>
      <c r="C63" s="302">
        <f>'A4 Demands'!C49</f>
        <v>0</v>
      </c>
      <c r="D63" s="303">
        <f>'A4 Demands'!F49</f>
        <v>0</v>
      </c>
      <c r="E63" s="304">
        <f t="shared" si="0"/>
        <v>0</v>
      </c>
      <c r="F63" s="156">
        <f t="shared" si="1"/>
        <v>0</v>
      </c>
      <c r="G63" s="305">
        <f>VLOOKUP(A63,'A1 Contract'!$A$44:$I$53,7,FALSE)</f>
        <v>1</v>
      </c>
      <c r="H63" s="271">
        <f t="shared" si="2"/>
        <v>0</v>
      </c>
      <c r="I63" s="272">
        <f t="shared" si="3"/>
        <v>0</v>
      </c>
      <c r="J63" s="272">
        <f t="shared" si="4"/>
        <v>8635</v>
      </c>
      <c r="K63" s="272">
        <f t="shared" si="5"/>
        <v>0</v>
      </c>
      <c r="L63" s="272">
        <f t="shared" si="6"/>
        <v>0</v>
      </c>
      <c r="M63" s="272">
        <f t="shared" si="7"/>
        <v>0</v>
      </c>
      <c r="N63" s="272">
        <f t="shared" si="8"/>
        <v>0</v>
      </c>
      <c r="O63" s="273">
        <f t="shared" si="9"/>
        <v>0</v>
      </c>
      <c r="P63" s="274">
        <f t="shared" si="10"/>
        <v>8635</v>
      </c>
    </row>
    <row r="64" spans="1:16" x14ac:dyDescent="0.25">
      <c r="A64" s="171">
        <f>'A4 Demands'!A50</f>
        <v>1</v>
      </c>
      <c r="B64" s="314">
        <f>'A4 Demands'!B50</f>
        <v>43160</v>
      </c>
      <c r="C64" s="302">
        <f>'A4 Demands'!C50</f>
        <v>0</v>
      </c>
      <c r="D64" s="303">
        <f>'A4 Demands'!F50</f>
        <v>0</v>
      </c>
      <c r="E64" s="304">
        <f t="shared" si="0"/>
        <v>0</v>
      </c>
      <c r="F64" s="156">
        <f t="shared" si="1"/>
        <v>0</v>
      </c>
      <c r="G64" s="305">
        <f>VLOOKUP(A64,'A1 Contract'!$A$44:$I$53,7,FALSE)</f>
        <v>1</v>
      </c>
      <c r="H64" s="271">
        <f t="shared" si="2"/>
        <v>0</v>
      </c>
      <c r="I64" s="272">
        <f t="shared" si="3"/>
        <v>0</v>
      </c>
      <c r="J64" s="272">
        <f t="shared" si="4"/>
        <v>8635</v>
      </c>
      <c r="K64" s="272">
        <f t="shared" si="5"/>
        <v>0</v>
      </c>
      <c r="L64" s="272">
        <f t="shared" si="6"/>
        <v>0</v>
      </c>
      <c r="M64" s="272">
        <f t="shared" si="7"/>
        <v>0</v>
      </c>
      <c r="N64" s="272">
        <f t="shared" si="8"/>
        <v>0</v>
      </c>
      <c r="O64" s="273">
        <f t="shared" si="9"/>
        <v>0</v>
      </c>
      <c r="P64" s="274">
        <f t="shared" si="10"/>
        <v>8635</v>
      </c>
    </row>
    <row r="65" spans="1:16" x14ac:dyDescent="0.25">
      <c r="A65" s="171">
        <f>'A4 Demands'!A51</f>
        <v>1</v>
      </c>
      <c r="B65" s="314">
        <f>'A4 Demands'!B51</f>
        <v>43191</v>
      </c>
      <c r="C65" s="302">
        <f>'A4 Demands'!C51</f>
        <v>0</v>
      </c>
      <c r="D65" s="303">
        <f>'A4 Demands'!F51</f>
        <v>0</v>
      </c>
      <c r="E65" s="304">
        <f t="shared" si="0"/>
        <v>0</v>
      </c>
      <c r="F65" s="156">
        <f t="shared" si="1"/>
        <v>0</v>
      </c>
      <c r="G65" s="305">
        <f>VLOOKUP(A65,'A1 Contract'!$A$44:$I$53,7,FALSE)</f>
        <v>1</v>
      </c>
      <c r="H65" s="271">
        <f t="shared" si="2"/>
        <v>0</v>
      </c>
      <c r="I65" s="272">
        <f t="shared" si="3"/>
        <v>0</v>
      </c>
      <c r="J65" s="272">
        <f t="shared" si="4"/>
        <v>8635</v>
      </c>
      <c r="K65" s="272">
        <f t="shared" si="5"/>
        <v>0</v>
      </c>
      <c r="L65" s="272">
        <f t="shared" si="6"/>
        <v>0</v>
      </c>
      <c r="M65" s="272">
        <f t="shared" si="7"/>
        <v>0</v>
      </c>
      <c r="N65" s="272">
        <f t="shared" si="8"/>
        <v>0</v>
      </c>
      <c r="O65" s="273">
        <f t="shared" si="9"/>
        <v>0</v>
      </c>
      <c r="P65" s="274">
        <f t="shared" si="10"/>
        <v>8635</v>
      </c>
    </row>
    <row r="66" spans="1:16" x14ac:dyDescent="0.25">
      <c r="A66" s="171">
        <f>'A4 Demands'!A52</f>
        <v>1</v>
      </c>
      <c r="B66" s="314">
        <f>'A4 Demands'!B52</f>
        <v>43221</v>
      </c>
      <c r="C66" s="302">
        <f>'A4 Demands'!C52</f>
        <v>0</v>
      </c>
      <c r="D66" s="303">
        <f>'A4 Demands'!F52</f>
        <v>0</v>
      </c>
      <c r="E66" s="304">
        <f t="shared" si="0"/>
        <v>0</v>
      </c>
      <c r="F66" s="156">
        <f t="shared" si="1"/>
        <v>0</v>
      </c>
      <c r="G66" s="305">
        <f>VLOOKUP(A66,'A1 Contract'!$A$44:$I$53,7,FALSE)</f>
        <v>1</v>
      </c>
      <c r="H66" s="271">
        <f t="shared" si="2"/>
        <v>0</v>
      </c>
      <c r="I66" s="272">
        <f t="shared" si="3"/>
        <v>0</v>
      </c>
      <c r="J66" s="272">
        <f t="shared" si="4"/>
        <v>8635</v>
      </c>
      <c r="K66" s="272">
        <f t="shared" si="5"/>
        <v>0</v>
      </c>
      <c r="L66" s="272">
        <f t="shared" si="6"/>
        <v>0</v>
      </c>
      <c r="M66" s="272">
        <f t="shared" si="7"/>
        <v>0</v>
      </c>
      <c r="N66" s="272">
        <f t="shared" si="8"/>
        <v>0</v>
      </c>
      <c r="O66" s="273">
        <f t="shared" si="9"/>
        <v>0</v>
      </c>
      <c r="P66" s="274">
        <f t="shared" si="10"/>
        <v>8635</v>
      </c>
    </row>
    <row r="67" spans="1:16" x14ac:dyDescent="0.25">
      <c r="A67" s="171">
        <f>'A4 Demands'!A53</f>
        <v>1</v>
      </c>
      <c r="B67" s="314">
        <f>'A4 Demands'!B53</f>
        <v>43252</v>
      </c>
      <c r="C67" s="302">
        <f>'A4 Demands'!C53</f>
        <v>0</v>
      </c>
      <c r="D67" s="303">
        <f>'A4 Demands'!F53</f>
        <v>0</v>
      </c>
      <c r="E67" s="304">
        <f t="shared" si="0"/>
        <v>0</v>
      </c>
      <c r="F67" s="156">
        <f t="shared" si="1"/>
        <v>0</v>
      </c>
      <c r="G67" s="305">
        <f>VLOOKUP(A67,'A1 Contract'!$A$44:$I$53,7,FALSE)</f>
        <v>1</v>
      </c>
      <c r="H67" s="271">
        <f t="shared" si="2"/>
        <v>0</v>
      </c>
      <c r="I67" s="272">
        <f t="shared" si="3"/>
        <v>0</v>
      </c>
      <c r="J67" s="272">
        <f t="shared" si="4"/>
        <v>8635</v>
      </c>
      <c r="K67" s="272">
        <f t="shared" si="5"/>
        <v>0</v>
      </c>
      <c r="L67" s="272">
        <f t="shared" si="6"/>
        <v>0</v>
      </c>
      <c r="M67" s="272">
        <f t="shared" si="7"/>
        <v>0</v>
      </c>
      <c r="N67" s="272">
        <f t="shared" si="8"/>
        <v>0</v>
      </c>
      <c r="O67" s="273">
        <f t="shared" si="9"/>
        <v>0</v>
      </c>
      <c r="P67" s="274">
        <f t="shared" si="10"/>
        <v>8635</v>
      </c>
    </row>
    <row r="68" spans="1:16" x14ac:dyDescent="0.25">
      <c r="A68" s="171">
        <f>'A4 Demands'!A54</f>
        <v>1</v>
      </c>
      <c r="B68" s="314">
        <f>'A4 Demands'!B54</f>
        <v>43282</v>
      </c>
      <c r="C68" s="302">
        <f>'A4 Demands'!C54</f>
        <v>0</v>
      </c>
      <c r="D68" s="303">
        <f>'A4 Demands'!F54</f>
        <v>0</v>
      </c>
      <c r="E68" s="304">
        <f t="shared" si="0"/>
        <v>0</v>
      </c>
      <c r="F68" s="156">
        <f t="shared" si="1"/>
        <v>0</v>
      </c>
      <c r="G68" s="305">
        <f>VLOOKUP(A68,'A1 Contract'!$A$44:$I$53,7,FALSE)</f>
        <v>1</v>
      </c>
      <c r="H68" s="271">
        <f t="shared" si="2"/>
        <v>0</v>
      </c>
      <c r="I68" s="272">
        <f t="shared" si="3"/>
        <v>0</v>
      </c>
      <c r="J68" s="272">
        <f t="shared" si="4"/>
        <v>8635</v>
      </c>
      <c r="K68" s="272">
        <f t="shared" si="5"/>
        <v>0</v>
      </c>
      <c r="L68" s="272">
        <f t="shared" si="6"/>
        <v>0</v>
      </c>
      <c r="M68" s="272">
        <f t="shared" si="7"/>
        <v>0</v>
      </c>
      <c r="N68" s="272">
        <f t="shared" si="8"/>
        <v>0</v>
      </c>
      <c r="O68" s="273">
        <f t="shared" si="9"/>
        <v>0</v>
      </c>
      <c r="P68" s="274">
        <f t="shared" si="10"/>
        <v>8635</v>
      </c>
    </row>
    <row r="69" spans="1:16" x14ac:dyDescent="0.25">
      <c r="A69" s="171">
        <f>'A4 Demands'!A55</f>
        <v>1</v>
      </c>
      <c r="B69" s="314">
        <f>'A4 Demands'!B55</f>
        <v>43313</v>
      </c>
      <c r="C69" s="302">
        <f>'A4 Demands'!C55</f>
        <v>0</v>
      </c>
      <c r="D69" s="303">
        <f>'A4 Demands'!F55</f>
        <v>0</v>
      </c>
      <c r="E69" s="304">
        <f t="shared" si="0"/>
        <v>0</v>
      </c>
      <c r="F69" s="156">
        <f t="shared" si="1"/>
        <v>0</v>
      </c>
      <c r="G69" s="305">
        <f>VLOOKUP(A69,'A1 Contract'!$A$44:$I$53,7,FALSE)</f>
        <v>1</v>
      </c>
      <c r="H69" s="271">
        <f t="shared" si="2"/>
        <v>0</v>
      </c>
      <c r="I69" s="272">
        <f t="shared" si="3"/>
        <v>0</v>
      </c>
      <c r="J69" s="272">
        <f t="shared" si="4"/>
        <v>8635</v>
      </c>
      <c r="K69" s="272">
        <f t="shared" si="5"/>
        <v>0</v>
      </c>
      <c r="L69" s="272">
        <f t="shared" si="6"/>
        <v>0</v>
      </c>
      <c r="M69" s="272">
        <f t="shared" si="7"/>
        <v>0</v>
      </c>
      <c r="N69" s="272">
        <f t="shared" si="8"/>
        <v>0</v>
      </c>
      <c r="O69" s="273">
        <f t="shared" si="9"/>
        <v>0</v>
      </c>
      <c r="P69" s="274">
        <f t="shared" si="10"/>
        <v>8635</v>
      </c>
    </row>
    <row r="70" spans="1:16" x14ac:dyDescent="0.25">
      <c r="A70" s="171">
        <f>'A4 Demands'!A56</f>
        <v>1</v>
      </c>
      <c r="B70" s="314">
        <f>'A4 Demands'!B56</f>
        <v>43344</v>
      </c>
      <c r="C70" s="302">
        <f>'A4 Demands'!C56</f>
        <v>0</v>
      </c>
      <c r="D70" s="303">
        <f>'A4 Demands'!F56</f>
        <v>0</v>
      </c>
      <c r="E70" s="304">
        <f t="shared" si="0"/>
        <v>0</v>
      </c>
      <c r="F70" s="156">
        <f t="shared" si="1"/>
        <v>0</v>
      </c>
      <c r="G70" s="305">
        <f>VLOOKUP(A70,'A1 Contract'!$A$44:$I$53,7,FALSE)</f>
        <v>1</v>
      </c>
      <c r="H70" s="271">
        <f t="shared" si="2"/>
        <v>0</v>
      </c>
      <c r="I70" s="272">
        <f t="shared" si="3"/>
        <v>0</v>
      </c>
      <c r="J70" s="272">
        <f t="shared" si="4"/>
        <v>8635</v>
      </c>
      <c r="K70" s="272">
        <f t="shared" si="5"/>
        <v>0</v>
      </c>
      <c r="L70" s="272">
        <f t="shared" si="6"/>
        <v>0</v>
      </c>
      <c r="M70" s="272">
        <f t="shared" si="7"/>
        <v>0</v>
      </c>
      <c r="N70" s="272">
        <f t="shared" si="8"/>
        <v>0</v>
      </c>
      <c r="O70" s="273">
        <f t="shared" si="9"/>
        <v>0</v>
      </c>
      <c r="P70" s="274">
        <f t="shared" si="10"/>
        <v>8635</v>
      </c>
    </row>
    <row r="71" spans="1:16" x14ac:dyDescent="0.25">
      <c r="A71" s="171">
        <f>'A4 Demands'!A57</f>
        <v>1</v>
      </c>
      <c r="B71" s="314">
        <f>'A4 Demands'!B57</f>
        <v>43374</v>
      </c>
      <c r="C71" s="302">
        <f>'A4 Demands'!C57</f>
        <v>0</v>
      </c>
      <c r="D71" s="303">
        <f>'A4 Demands'!F57</f>
        <v>0</v>
      </c>
      <c r="E71" s="304">
        <f t="shared" si="0"/>
        <v>0</v>
      </c>
      <c r="F71" s="156">
        <f t="shared" si="1"/>
        <v>0</v>
      </c>
      <c r="G71" s="305">
        <f>VLOOKUP(A71,'A1 Contract'!$A$44:$I$53,7,FALSE)</f>
        <v>1</v>
      </c>
      <c r="H71" s="271">
        <f t="shared" si="2"/>
        <v>0</v>
      </c>
      <c r="I71" s="272">
        <f t="shared" si="3"/>
        <v>0</v>
      </c>
      <c r="J71" s="272">
        <f t="shared" si="4"/>
        <v>8635</v>
      </c>
      <c r="K71" s="272">
        <f t="shared" si="5"/>
        <v>0</v>
      </c>
      <c r="L71" s="272">
        <f t="shared" si="6"/>
        <v>0</v>
      </c>
      <c r="M71" s="272">
        <f t="shared" si="7"/>
        <v>0</v>
      </c>
      <c r="N71" s="272">
        <f t="shared" si="8"/>
        <v>0</v>
      </c>
      <c r="O71" s="273">
        <f t="shared" si="9"/>
        <v>0</v>
      </c>
      <c r="P71" s="274">
        <f t="shared" si="10"/>
        <v>8635</v>
      </c>
    </row>
    <row r="72" spans="1:16" x14ac:dyDescent="0.25">
      <c r="A72" s="171">
        <f>'A4 Demands'!A58</f>
        <v>1</v>
      </c>
      <c r="B72" s="314">
        <f>'A4 Demands'!B58</f>
        <v>43405</v>
      </c>
      <c r="C72" s="302">
        <f>'A4 Demands'!C58</f>
        <v>0</v>
      </c>
      <c r="D72" s="303">
        <f>'A4 Demands'!F58</f>
        <v>0</v>
      </c>
      <c r="E72" s="304">
        <f t="shared" si="0"/>
        <v>0</v>
      </c>
      <c r="F72" s="156">
        <f t="shared" si="1"/>
        <v>0</v>
      </c>
      <c r="G72" s="305">
        <f>VLOOKUP(A72,'A1 Contract'!$A$44:$I$53,7,FALSE)</f>
        <v>1</v>
      </c>
      <c r="H72" s="271">
        <f t="shared" si="2"/>
        <v>0</v>
      </c>
      <c r="I72" s="272">
        <f t="shared" si="3"/>
        <v>0</v>
      </c>
      <c r="J72" s="272">
        <f t="shared" si="4"/>
        <v>8635</v>
      </c>
      <c r="K72" s="272">
        <f t="shared" si="5"/>
        <v>0</v>
      </c>
      <c r="L72" s="272">
        <f t="shared" si="6"/>
        <v>0</v>
      </c>
      <c r="M72" s="272">
        <f t="shared" si="7"/>
        <v>0</v>
      </c>
      <c r="N72" s="272">
        <f t="shared" si="8"/>
        <v>0</v>
      </c>
      <c r="O72" s="273">
        <f t="shared" si="9"/>
        <v>0</v>
      </c>
      <c r="P72" s="274">
        <f t="shared" si="10"/>
        <v>8635</v>
      </c>
    </row>
    <row r="73" spans="1:16" x14ac:dyDescent="0.25">
      <c r="A73" s="171">
        <f>'A4 Demands'!A59</f>
        <v>1</v>
      </c>
      <c r="B73" s="314">
        <f>'A4 Demands'!B59</f>
        <v>43435</v>
      </c>
      <c r="C73" s="302">
        <f>'A4 Demands'!C59</f>
        <v>0</v>
      </c>
      <c r="D73" s="303">
        <f>'A4 Demands'!F59</f>
        <v>0</v>
      </c>
      <c r="E73" s="304">
        <f t="shared" si="0"/>
        <v>0</v>
      </c>
      <c r="F73" s="156">
        <f t="shared" si="1"/>
        <v>0</v>
      </c>
      <c r="G73" s="305">
        <f>VLOOKUP(A73,'A1 Contract'!$A$44:$I$53,7,FALSE)</f>
        <v>1</v>
      </c>
      <c r="H73" s="271">
        <f t="shared" si="2"/>
        <v>0</v>
      </c>
      <c r="I73" s="272">
        <f t="shared" si="3"/>
        <v>0</v>
      </c>
      <c r="J73" s="272">
        <f t="shared" si="4"/>
        <v>8635</v>
      </c>
      <c r="K73" s="272">
        <f t="shared" si="5"/>
        <v>0</v>
      </c>
      <c r="L73" s="272">
        <f t="shared" si="6"/>
        <v>0</v>
      </c>
      <c r="M73" s="272">
        <f t="shared" si="7"/>
        <v>0</v>
      </c>
      <c r="N73" s="272">
        <f t="shared" si="8"/>
        <v>0</v>
      </c>
      <c r="O73" s="273">
        <f t="shared" si="9"/>
        <v>0</v>
      </c>
      <c r="P73" s="274">
        <f t="shared" si="10"/>
        <v>8635</v>
      </c>
    </row>
    <row r="74" spans="1:16" x14ac:dyDescent="0.25">
      <c r="A74" s="171">
        <f>'A4 Demands'!A60</f>
        <v>1</v>
      </c>
      <c r="B74" s="314">
        <f>'A4 Demands'!B60</f>
        <v>43466</v>
      </c>
      <c r="C74" s="302">
        <f>'A4 Demands'!C60</f>
        <v>0</v>
      </c>
      <c r="D74" s="303">
        <f>'A4 Demands'!F60</f>
        <v>0</v>
      </c>
      <c r="E74" s="304">
        <f t="shared" si="0"/>
        <v>0</v>
      </c>
      <c r="F74" s="156">
        <f t="shared" si="1"/>
        <v>0</v>
      </c>
      <c r="G74" s="305">
        <f>VLOOKUP(A74,'A1 Contract'!$A$44:$I$53,7,FALSE)</f>
        <v>1</v>
      </c>
      <c r="H74" s="271">
        <f t="shared" si="2"/>
        <v>0</v>
      </c>
      <c r="I74" s="272">
        <f t="shared" si="3"/>
        <v>0</v>
      </c>
      <c r="J74" s="272">
        <f t="shared" si="4"/>
        <v>8635</v>
      </c>
      <c r="K74" s="272">
        <f t="shared" si="5"/>
        <v>0</v>
      </c>
      <c r="L74" s="272">
        <f t="shared" si="6"/>
        <v>0</v>
      </c>
      <c r="M74" s="272">
        <f t="shared" si="7"/>
        <v>0</v>
      </c>
      <c r="N74" s="272">
        <f t="shared" si="8"/>
        <v>0</v>
      </c>
      <c r="O74" s="273">
        <f t="shared" si="9"/>
        <v>0</v>
      </c>
      <c r="P74" s="274">
        <f t="shared" si="10"/>
        <v>8635</v>
      </c>
    </row>
    <row r="75" spans="1:16" x14ac:dyDescent="0.25">
      <c r="A75" s="171">
        <f>'A4 Demands'!A61</f>
        <v>1</v>
      </c>
      <c r="B75" s="314">
        <f>'A4 Demands'!B61</f>
        <v>43497</v>
      </c>
      <c r="C75" s="302">
        <f>'A4 Demands'!C61</f>
        <v>0</v>
      </c>
      <c r="D75" s="303">
        <f>'A4 Demands'!F61</f>
        <v>0</v>
      </c>
      <c r="E75" s="304">
        <f t="shared" si="0"/>
        <v>0</v>
      </c>
      <c r="F75" s="156">
        <f t="shared" si="1"/>
        <v>0</v>
      </c>
      <c r="G75" s="305">
        <f>VLOOKUP(A75,'A1 Contract'!$A$44:$I$53,7,FALSE)</f>
        <v>1</v>
      </c>
      <c r="H75" s="271">
        <f t="shared" si="2"/>
        <v>0</v>
      </c>
      <c r="I75" s="272">
        <f t="shared" si="3"/>
        <v>0</v>
      </c>
      <c r="J75" s="272">
        <f t="shared" si="4"/>
        <v>8635</v>
      </c>
      <c r="K75" s="272">
        <f t="shared" si="5"/>
        <v>0</v>
      </c>
      <c r="L75" s="272">
        <f t="shared" si="6"/>
        <v>0</v>
      </c>
      <c r="M75" s="272">
        <f t="shared" si="7"/>
        <v>0</v>
      </c>
      <c r="N75" s="272">
        <f t="shared" si="8"/>
        <v>0</v>
      </c>
      <c r="O75" s="273">
        <f t="shared" si="9"/>
        <v>0</v>
      </c>
      <c r="P75" s="274">
        <f t="shared" si="10"/>
        <v>8635</v>
      </c>
    </row>
    <row r="76" spans="1:16" x14ac:dyDescent="0.25">
      <c r="A76" s="171">
        <f>'A4 Demands'!A62</f>
        <v>1</v>
      </c>
      <c r="B76" s="314">
        <f>'A4 Demands'!B62</f>
        <v>43525</v>
      </c>
      <c r="C76" s="302">
        <f>'A4 Demands'!C62</f>
        <v>0</v>
      </c>
      <c r="D76" s="303">
        <f>'A4 Demands'!F62</f>
        <v>0</v>
      </c>
      <c r="E76" s="304">
        <f t="shared" si="0"/>
        <v>0</v>
      </c>
      <c r="F76" s="156">
        <f t="shared" si="1"/>
        <v>0</v>
      </c>
      <c r="G76" s="305">
        <f>VLOOKUP(A76,'A1 Contract'!$A$44:$I$53,7,FALSE)</f>
        <v>1</v>
      </c>
      <c r="H76" s="271">
        <f t="shared" si="2"/>
        <v>0</v>
      </c>
      <c r="I76" s="272">
        <f t="shared" si="3"/>
        <v>0</v>
      </c>
      <c r="J76" s="272">
        <f t="shared" si="4"/>
        <v>8635</v>
      </c>
      <c r="K76" s="272">
        <f t="shared" si="5"/>
        <v>0</v>
      </c>
      <c r="L76" s="272">
        <f t="shared" si="6"/>
        <v>0</v>
      </c>
      <c r="M76" s="272">
        <f t="shared" si="7"/>
        <v>0</v>
      </c>
      <c r="N76" s="272">
        <f t="shared" si="8"/>
        <v>0</v>
      </c>
      <c r="O76" s="273">
        <f t="shared" si="9"/>
        <v>0</v>
      </c>
      <c r="P76" s="274">
        <f t="shared" si="10"/>
        <v>8635</v>
      </c>
    </row>
    <row r="77" spans="1:16" x14ac:dyDescent="0.25">
      <c r="A77" s="171">
        <f>'A4 Demands'!A63</f>
        <v>1</v>
      </c>
      <c r="B77" s="314">
        <f>'A4 Demands'!B63</f>
        <v>43556</v>
      </c>
      <c r="C77" s="302">
        <f>'A4 Demands'!C63</f>
        <v>0</v>
      </c>
      <c r="D77" s="303">
        <f>'A4 Demands'!F63</f>
        <v>0</v>
      </c>
      <c r="E77" s="304">
        <f t="shared" si="0"/>
        <v>0</v>
      </c>
      <c r="F77" s="156">
        <f t="shared" si="1"/>
        <v>0</v>
      </c>
      <c r="G77" s="305">
        <f>VLOOKUP(A77,'A1 Contract'!$A$44:$I$53,7,FALSE)</f>
        <v>1</v>
      </c>
      <c r="H77" s="271">
        <f t="shared" si="2"/>
        <v>0</v>
      </c>
      <c r="I77" s="272">
        <f t="shared" si="3"/>
        <v>0</v>
      </c>
      <c r="J77" s="272">
        <f t="shared" si="4"/>
        <v>8635</v>
      </c>
      <c r="K77" s="272">
        <f t="shared" si="5"/>
        <v>0</v>
      </c>
      <c r="L77" s="272">
        <f t="shared" si="6"/>
        <v>0</v>
      </c>
      <c r="M77" s="272">
        <f t="shared" si="7"/>
        <v>0</v>
      </c>
      <c r="N77" s="272">
        <f t="shared" si="8"/>
        <v>0</v>
      </c>
      <c r="O77" s="273">
        <f t="shared" si="9"/>
        <v>0</v>
      </c>
      <c r="P77" s="274">
        <f t="shared" si="10"/>
        <v>8635</v>
      </c>
    </row>
    <row r="78" spans="1:16" x14ac:dyDescent="0.25">
      <c r="A78" s="171">
        <f>'A4 Demands'!A64</f>
        <v>1</v>
      </c>
      <c r="B78" s="314">
        <f>'A4 Demands'!B64</f>
        <v>43586</v>
      </c>
      <c r="C78" s="302">
        <f>'A4 Demands'!C64</f>
        <v>0</v>
      </c>
      <c r="D78" s="303">
        <f>'A4 Demands'!F64</f>
        <v>0</v>
      </c>
      <c r="E78" s="304">
        <f t="shared" si="0"/>
        <v>0</v>
      </c>
      <c r="F78" s="156">
        <f t="shared" si="1"/>
        <v>0</v>
      </c>
      <c r="G78" s="305">
        <f>VLOOKUP(A78,'A1 Contract'!$A$44:$I$53,7,FALSE)</f>
        <v>1</v>
      </c>
      <c r="H78" s="271">
        <f t="shared" si="2"/>
        <v>0</v>
      </c>
      <c r="I78" s="272">
        <f t="shared" si="3"/>
        <v>0</v>
      </c>
      <c r="J78" s="272">
        <f t="shared" si="4"/>
        <v>8635</v>
      </c>
      <c r="K78" s="272">
        <f t="shared" si="5"/>
        <v>0</v>
      </c>
      <c r="L78" s="272">
        <f t="shared" si="6"/>
        <v>0</v>
      </c>
      <c r="M78" s="272">
        <f t="shared" si="7"/>
        <v>0</v>
      </c>
      <c r="N78" s="272">
        <f t="shared" si="8"/>
        <v>0</v>
      </c>
      <c r="O78" s="273">
        <f t="shared" si="9"/>
        <v>0</v>
      </c>
      <c r="P78" s="274">
        <f t="shared" si="10"/>
        <v>8635</v>
      </c>
    </row>
    <row r="79" spans="1:16" x14ac:dyDescent="0.25">
      <c r="A79" s="171">
        <f>'A4 Demands'!A65</f>
        <v>1</v>
      </c>
      <c r="B79" s="314">
        <f>'A4 Demands'!B65</f>
        <v>43617</v>
      </c>
      <c r="C79" s="302">
        <f>'A4 Demands'!C65</f>
        <v>0</v>
      </c>
      <c r="D79" s="303">
        <f>'A4 Demands'!F65</f>
        <v>0</v>
      </c>
      <c r="E79" s="304">
        <f t="shared" si="0"/>
        <v>0</v>
      </c>
      <c r="F79" s="156">
        <f t="shared" si="1"/>
        <v>0</v>
      </c>
      <c r="G79" s="305">
        <f>VLOOKUP(A79,'A1 Contract'!$A$44:$I$53,7,FALSE)</f>
        <v>1</v>
      </c>
      <c r="H79" s="271">
        <f t="shared" si="2"/>
        <v>0</v>
      </c>
      <c r="I79" s="272">
        <f t="shared" si="3"/>
        <v>0</v>
      </c>
      <c r="J79" s="272">
        <f t="shared" si="4"/>
        <v>8635</v>
      </c>
      <c r="K79" s="272">
        <f t="shared" si="5"/>
        <v>0</v>
      </c>
      <c r="L79" s="272">
        <f t="shared" si="6"/>
        <v>0</v>
      </c>
      <c r="M79" s="272">
        <f t="shared" si="7"/>
        <v>0</v>
      </c>
      <c r="N79" s="272">
        <f t="shared" si="8"/>
        <v>0</v>
      </c>
      <c r="O79" s="273">
        <f t="shared" si="9"/>
        <v>0</v>
      </c>
      <c r="P79" s="274">
        <f t="shared" si="10"/>
        <v>8635</v>
      </c>
    </row>
    <row r="80" spans="1:16" x14ac:dyDescent="0.25">
      <c r="A80" s="171">
        <f>'A4 Demands'!A66</f>
        <v>1</v>
      </c>
      <c r="B80" s="314">
        <f>'A4 Demands'!B66</f>
        <v>43647</v>
      </c>
      <c r="C80" s="302">
        <f>'A4 Demands'!C66</f>
        <v>0</v>
      </c>
      <c r="D80" s="303">
        <f>'A4 Demands'!F66</f>
        <v>0</v>
      </c>
      <c r="E80" s="304">
        <f t="shared" si="0"/>
        <v>0</v>
      </c>
      <c r="F80" s="156">
        <f t="shared" si="1"/>
        <v>0</v>
      </c>
      <c r="G80" s="305">
        <f>VLOOKUP(A80,'A1 Contract'!$A$44:$I$53,7,FALSE)</f>
        <v>1</v>
      </c>
      <c r="H80" s="271">
        <f t="shared" si="2"/>
        <v>0</v>
      </c>
      <c r="I80" s="272">
        <f t="shared" si="3"/>
        <v>0</v>
      </c>
      <c r="J80" s="272">
        <f t="shared" si="4"/>
        <v>8635</v>
      </c>
      <c r="K80" s="272">
        <f t="shared" si="5"/>
        <v>0</v>
      </c>
      <c r="L80" s="272">
        <f t="shared" si="6"/>
        <v>0</v>
      </c>
      <c r="M80" s="272">
        <f t="shared" si="7"/>
        <v>0</v>
      </c>
      <c r="N80" s="272">
        <f t="shared" si="8"/>
        <v>0</v>
      </c>
      <c r="O80" s="273">
        <f t="shared" si="9"/>
        <v>0</v>
      </c>
      <c r="P80" s="274">
        <f t="shared" si="10"/>
        <v>8635</v>
      </c>
    </row>
    <row r="81" spans="1:16" x14ac:dyDescent="0.25">
      <c r="A81" s="171">
        <f>'A4 Demands'!A67</f>
        <v>1</v>
      </c>
      <c r="B81" s="314">
        <f>'A4 Demands'!B67</f>
        <v>43678</v>
      </c>
      <c r="C81" s="302">
        <f>'A4 Demands'!C67</f>
        <v>0</v>
      </c>
      <c r="D81" s="303">
        <f>'A4 Demands'!F67</f>
        <v>0</v>
      </c>
      <c r="E81" s="304">
        <f t="shared" si="0"/>
        <v>0</v>
      </c>
      <c r="F81" s="156">
        <f t="shared" si="1"/>
        <v>0</v>
      </c>
      <c r="G81" s="305">
        <f>VLOOKUP(A81,'A1 Contract'!$A$44:$I$53,7,FALSE)</f>
        <v>1</v>
      </c>
      <c r="H81" s="271">
        <f t="shared" si="2"/>
        <v>0</v>
      </c>
      <c r="I81" s="272">
        <f t="shared" si="3"/>
        <v>0</v>
      </c>
      <c r="J81" s="272">
        <f t="shared" si="4"/>
        <v>8635</v>
      </c>
      <c r="K81" s="272">
        <f t="shared" si="5"/>
        <v>0</v>
      </c>
      <c r="L81" s="272">
        <f t="shared" si="6"/>
        <v>0</v>
      </c>
      <c r="M81" s="272">
        <f t="shared" si="7"/>
        <v>0</v>
      </c>
      <c r="N81" s="272">
        <f t="shared" si="8"/>
        <v>0</v>
      </c>
      <c r="O81" s="273">
        <f t="shared" si="9"/>
        <v>0</v>
      </c>
      <c r="P81" s="274">
        <f t="shared" si="10"/>
        <v>8635</v>
      </c>
    </row>
    <row r="82" spans="1:16" x14ac:dyDescent="0.25">
      <c r="A82" s="171">
        <f>'A4 Demands'!A68</f>
        <v>1</v>
      </c>
      <c r="B82" s="314">
        <f>'A4 Demands'!B68</f>
        <v>43709</v>
      </c>
      <c r="C82" s="302">
        <f>'A4 Demands'!C68</f>
        <v>0</v>
      </c>
      <c r="D82" s="303">
        <f>'A4 Demands'!F68</f>
        <v>0</v>
      </c>
      <c r="E82" s="304">
        <f t="shared" si="0"/>
        <v>0</v>
      </c>
      <c r="F82" s="156">
        <f t="shared" si="1"/>
        <v>0</v>
      </c>
      <c r="G82" s="305">
        <f>VLOOKUP(A82,'A1 Contract'!$A$44:$I$53,7,FALSE)</f>
        <v>1</v>
      </c>
      <c r="H82" s="271">
        <f t="shared" si="2"/>
        <v>0</v>
      </c>
      <c r="I82" s="272">
        <f t="shared" si="3"/>
        <v>0</v>
      </c>
      <c r="J82" s="272">
        <f t="shared" si="4"/>
        <v>8635</v>
      </c>
      <c r="K82" s="272">
        <f t="shared" si="5"/>
        <v>0</v>
      </c>
      <c r="L82" s="272">
        <f t="shared" si="6"/>
        <v>0</v>
      </c>
      <c r="M82" s="272">
        <f t="shared" si="7"/>
        <v>0</v>
      </c>
      <c r="N82" s="272">
        <f t="shared" si="8"/>
        <v>0</v>
      </c>
      <c r="O82" s="273">
        <f t="shared" si="9"/>
        <v>0</v>
      </c>
      <c r="P82" s="274">
        <f t="shared" si="10"/>
        <v>8635</v>
      </c>
    </row>
    <row r="83" spans="1:16" x14ac:dyDescent="0.25">
      <c r="A83" s="171">
        <f>'A4 Demands'!A69</f>
        <v>1</v>
      </c>
      <c r="B83" s="314">
        <f>'A4 Demands'!B69</f>
        <v>43739</v>
      </c>
      <c r="C83" s="302">
        <f>'A4 Demands'!C69</f>
        <v>0</v>
      </c>
      <c r="D83" s="303">
        <f>'A4 Demands'!F69</f>
        <v>0</v>
      </c>
      <c r="E83" s="304">
        <f t="shared" ref="E83:E110" si="11">C83*(DATE(YEAR(B83),MONTH(B83)+1,1)-B83)*24*F$42</f>
        <v>0</v>
      </c>
      <c r="F83" s="156">
        <f t="shared" ref="F83:F110" si="12">C83*F$41</f>
        <v>0</v>
      </c>
      <c r="G83" s="305">
        <f>VLOOKUP(A83,'A1 Contract'!$A$44:$I$53,7,FALSE)</f>
        <v>1</v>
      </c>
      <c r="H83" s="271">
        <f t="shared" ref="H83:H110" si="13">IF(B83&lt;DATE(YEAR(PILONDate),MONTH(PILONDate),1),"",(F83*$E$19)+(E83*$E$20))</f>
        <v>0</v>
      </c>
      <c r="I83" s="272">
        <f t="shared" ref="I83:I110" si="14">IF(B83&lt;DATE(YEAR(PILONDate),MONTH(PILONDate),1),"",(D83*$E$22)+(E83*$E$23))</f>
        <v>0</v>
      </c>
      <c r="J83" s="272">
        <f t="shared" ref="J83:J110" si="15">IF(B83&lt;DATE(YEAR(PILONDate),MONTH(PILONDate),1),"",IF(D83&gt;0,(G83*$E$25)+(MIN(7.5*G83,D83)*$E$26)+(MAX(MIN(9.5*G83,D83-(7.5*G83)),0)*$E$27)+(MAX(MIN(23*G83,D83-(17*G83)),0)*$E$28)+(MAX(D83-(40*G83),0)*$E$29),IF(D83=0,G83*$E$25,0)))</f>
        <v>8635</v>
      </c>
      <c r="K83" s="272">
        <f t="shared" ref="K83:K110" si="16">IF(B83&lt;DATE(YEAR(PILONDate),MONTH(PILONDate),1),"",E83*$F$31*$F$32)</f>
        <v>0</v>
      </c>
      <c r="L83" s="272">
        <f t="shared" ref="L83:L110" si="17">IF(B83&lt;DATE(YEAR(PILONDate),MONTH(PILONDate),1),"",E83*$F$34)</f>
        <v>0</v>
      </c>
      <c r="M83" s="272">
        <f t="shared" ref="M83:M110" si="18">IF(B83&lt;DATE(YEAR(PILONDate),MONTH(PILONDate),1),"",E83*$F$36)</f>
        <v>0</v>
      </c>
      <c r="N83" s="272">
        <f t="shared" ref="N83:N110" si="19">IF(B83&lt;DATE(YEAR(PILONDate),MONTH(PILONDate),1),"",C83*$F$38)</f>
        <v>0</v>
      </c>
      <c r="O83" s="273">
        <f t="shared" ref="O83:O110" si="20">IF(B83&lt;DATE(YEAR(PILONDate),MONTH(PILONDate),1),"",IF(ReceivePSC="Yes",IF(D83&gt;0,(G83*$G$25)+(MIN(7.5*G83,D83)*$G$26)+(MAX(MIN(9.5*G83,D83-(7.5*G83)),0)*$G$27)+(MAX(MIN(23*G83,D83-(17*G83)),0)*$G$28)+(MAX(D83-(40*G83),0)*$G$29),0),0))</f>
        <v>0</v>
      </c>
      <c r="P83" s="274">
        <f t="shared" ref="P83:P110" si="21">IF(B83&lt;DATE(YEAR(PILONDate),MONTH(PILONDate),1),"",SUM(H83:O83))</f>
        <v>8635</v>
      </c>
    </row>
    <row r="84" spans="1:16" x14ac:dyDescent="0.25">
      <c r="A84" s="171">
        <f>'A4 Demands'!A70</f>
        <v>1</v>
      </c>
      <c r="B84" s="314">
        <f>'A4 Demands'!B70</f>
        <v>43770</v>
      </c>
      <c r="C84" s="302">
        <f>'A4 Demands'!C70</f>
        <v>0</v>
      </c>
      <c r="D84" s="303">
        <f>'A4 Demands'!F70</f>
        <v>0</v>
      </c>
      <c r="E84" s="304">
        <f t="shared" si="11"/>
        <v>0</v>
      </c>
      <c r="F84" s="156">
        <f t="shared" si="12"/>
        <v>0</v>
      </c>
      <c r="G84" s="305">
        <f>VLOOKUP(A84,'A1 Contract'!$A$44:$I$53,7,FALSE)</f>
        <v>1</v>
      </c>
      <c r="H84" s="271">
        <f t="shared" si="13"/>
        <v>0</v>
      </c>
      <c r="I84" s="272">
        <f t="shared" si="14"/>
        <v>0</v>
      </c>
      <c r="J84" s="272">
        <f t="shared" si="15"/>
        <v>8635</v>
      </c>
      <c r="K84" s="272">
        <f t="shared" si="16"/>
        <v>0</v>
      </c>
      <c r="L84" s="272">
        <f t="shared" si="17"/>
        <v>0</v>
      </c>
      <c r="M84" s="272">
        <f t="shared" si="18"/>
        <v>0</v>
      </c>
      <c r="N84" s="272">
        <f t="shared" si="19"/>
        <v>0</v>
      </c>
      <c r="O84" s="273">
        <f t="shared" si="20"/>
        <v>0</v>
      </c>
      <c r="P84" s="274">
        <f t="shared" si="21"/>
        <v>8635</v>
      </c>
    </row>
    <row r="85" spans="1:16" x14ac:dyDescent="0.25">
      <c r="A85" s="171">
        <f>'A4 Demands'!A71</f>
        <v>1</v>
      </c>
      <c r="B85" s="314">
        <f>'A4 Demands'!B71</f>
        <v>43800</v>
      </c>
      <c r="C85" s="302">
        <f>'A4 Demands'!C71</f>
        <v>0</v>
      </c>
      <c r="D85" s="303">
        <f>'A4 Demands'!F71</f>
        <v>0</v>
      </c>
      <c r="E85" s="304">
        <f t="shared" si="11"/>
        <v>0</v>
      </c>
      <c r="F85" s="156">
        <f t="shared" si="12"/>
        <v>0</v>
      </c>
      <c r="G85" s="305">
        <f>VLOOKUP(A85,'A1 Contract'!$A$44:$I$53,7,FALSE)</f>
        <v>1</v>
      </c>
      <c r="H85" s="271">
        <f t="shared" si="13"/>
        <v>0</v>
      </c>
      <c r="I85" s="272">
        <f t="shared" si="14"/>
        <v>0</v>
      </c>
      <c r="J85" s="272">
        <f t="shared" si="15"/>
        <v>8635</v>
      </c>
      <c r="K85" s="272">
        <f t="shared" si="16"/>
        <v>0</v>
      </c>
      <c r="L85" s="272">
        <f t="shared" si="17"/>
        <v>0</v>
      </c>
      <c r="M85" s="272">
        <f t="shared" si="18"/>
        <v>0</v>
      </c>
      <c r="N85" s="272">
        <f t="shared" si="19"/>
        <v>0</v>
      </c>
      <c r="O85" s="273">
        <f t="shared" si="20"/>
        <v>0</v>
      </c>
      <c r="P85" s="274">
        <f t="shared" si="21"/>
        <v>8635</v>
      </c>
    </row>
    <row r="86" spans="1:16" x14ac:dyDescent="0.25">
      <c r="A86" s="171">
        <f>'A4 Demands'!A72</f>
        <v>1</v>
      </c>
      <c r="B86" s="314">
        <f>'A4 Demands'!B72</f>
        <v>43831</v>
      </c>
      <c r="C86" s="302">
        <f>'A4 Demands'!C72</f>
        <v>0</v>
      </c>
      <c r="D86" s="303">
        <f>'A4 Demands'!F72</f>
        <v>0</v>
      </c>
      <c r="E86" s="304">
        <f t="shared" si="11"/>
        <v>0</v>
      </c>
      <c r="F86" s="156">
        <f t="shared" si="12"/>
        <v>0</v>
      </c>
      <c r="G86" s="305">
        <f>VLOOKUP(A86,'A1 Contract'!$A$44:$I$53,7,FALSE)</f>
        <v>1</v>
      </c>
      <c r="H86" s="271">
        <f t="shared" si="13"/>
        <v>0</v>
      </c>
      <c r="I86" s="272">
        <f t="shared" si="14"/>
        <v>0</v>
      </c>
      <c r="J86" s="272">
        <f t="shared" si="15"/>
        <v>8635</v>
      </c>
      <c r="K86" s="272">
        <f t="shared" si="16"/>
        <v>0</v>
      </c>
      <c r="L86" s="272">
        <f t="shared" si="17"/>
        <v>0</v>
      </c>
      <c r="M86" s="272">
        <f t="shared" si="18"/>
        <v>0</v>
      </c>
      <c r="N86" s="272">
        <f t="shared" si="19"/>
        <v>0</v>
      </c>
      <c r="O86" s="273">
        <f t="shared" si="20"/>
        <v>0</v>
      </c>
      <c r="P86" s="274">
        <f t="shared" si="21"/>
        <v>8635</v>
      </c>
    </row>
    <row r="87" spans="1:16" x14ac:dyDescent="0.25">
      <c r="A87" s="171">
        <f>'A4 Demands'!A73</f>
        <v>1</v>
      </c>
      <c r="B87" s="314">
        <f>'A4 Demands'!B73</f>
        <v>43862</v>
      </c>
      <c r="C87" s="302">
        <f>'A4 Demands'!C73</f>
        <v>0</v>
      </c>
      <c r="D87" s="303">
        <f>'A4 Demands'!F73</f>
        <v>0</v>
      </c>
      <c r="E87" s="304">
        <f t="shared" si="11"/>
        <v>0</v>
      </c>
      <c r="F87" s="156">
        <f t="shared" si="12"/>
        <v>0</v>
      </c>
      <c r="G87" s="305">
        <f>VLOOKUP(A87,'A1 Contract'!$A$44:$I$53,7,FALSE)</f>
        <v>1</v>
      </c>
      <c r="H87" s="271">
        <f t="shared" si="13"/>
        <v>0</v>
      </c>
      <c r="I87" s="272">
        <f t="shared" si="14"/>
        <v>0</v>
      </c>
      <c r="J87" s="272">
        <f t="shared" si="15"/>
        <v>8635</v>
      </c>
      <c r="K87" s="272">
        <f t="shared" si="16"/>
        <v>0</v>
      </c>
      <c r="L87" s="272">
        <f t="shared" si="17"/>
        <v>0</v>
      </c>
      <c r="M87" s="272">
        <f t="shared" si="18"/>
        <v>0</v>
      </c>
      <c r="N87" s="272">
        <f t="shared" si="19"/>
        <v>0</v>
      </c>
      <c r="O87" s="273">
        <f t="shared" si="20"/>
        <v>0</v>
      </c>
      <c r="P87" s="274">
        <f t="shared" si="21"/>
        <v>8635</v>
      </c>
    </row>
    <row r="88" spans="1:16" x14ac:dyDescent="0.25">
      <c r="A88" s="171">
        <f>'A4 Demands'!A74</f>
        <v>1</v>
      </c>
      <c r="B88" s="314">
        <f>'A4 Demands'!B74</f>
        <v>43891</v>
      </c>
      <c r="C88" s="302">
        <f>'A4 Demands'!C74</f>
        <v>0</v>
      </c>
      <c r="D88" s="303">
        <f>'A4 Demands'!F74</f>
        <v>0</v>
      </c>
      <c r="E88" s="304">
        <f t="shared" si="11"/>
        <v>0</v>
      </c>
      <c r="F88" s="156">
        <f t="shared" si="12"/>
        <v>0</v>
      </c>
      <c r="G88" s="305">
        <f>VLOOKUP(A88,'A1 Contract'!$A$44:$I$53,7,FALSE)</f>
        <v>1</v>
      </c>
      <c r="H88" s="271">
        <f t="shared" si="13"/>
        <v>0</v>
      </c>
      <c r="I88" s="272">
        <f t="shared" si="14"/>
        <v>0</v>
      </c>
      <c r="J88" s="272">
        <f t="shared" si="15"/>
        <v>8635</v>
      </c>
      <c r="K88" s="272">
        <f t="shared" si="16"/>
        <v>0</v>
      </c>
      <c r="L88" s="272">
        <f t="shared" si="17"/>
        <v>0</v>
      </c>
      <c r="M88" s="272">
        <f t="shared" si="18"/>
        <v>0</v>
      </c>
      <c r="N88" s="272">
        <f t="shared" si="19"/>
        <v>0</v>
      </c>
      <c r="O88" s="273">
        <f t="shared" si="20"/>
        <v>0</v>
      </c>
      <c r="P88" s="274">
        <f t="shared" si="21"/>
        <v>8635</v>
      </c>
    </row>
    <row r="89" spans="1:16" x14ac:dyDescent="0.25">
      <c r="A89" s="171">
        <f>'A4 Demands'!A75</f>
        <v>1</v>
      </c>
      <c r="B89" s="314">
        <f>'A4 Demands'!B75</f>
        <v>43922</v>
      </c>
      <c r="C89" s="302">
        <f>'A4 Demands'!C75</f>
        <v>0</v>
      </c>
      <c r="D89" s="303">
        <f>'A4 Demands'!F75</f>
        <v>0</v>
      </c>
      <c r="E89" s="304">
        <f t="shared" si="11"/>
        <v>0</v>
      </c>
      <c r="F89" s="156">
        <f t="shared" si="12"/>
        <v>0</v>
      </c>
      <c r="G89" s="305">
        <f>VLOOKUP(A89,'A1 Contract'!$A$44:$I$53,7,FALSE)</f>
        <v>1</v>
      </c>
      <c r="H89" s="271">
        <f t="shared" si="13"/>
        <v>0</v>
      </c>
      <c r="I89" s="272">
        <f t="shared" si="14"/>
        <v>0</v>
      </c>
      <c r="J89" s="272">
        <f t="shared" si="15"/>
        <v>8635</v>
      </c>
      <c r="K89" s="272">
        <f t="shared" si="16"/>
        <v>0</v>
      </c>
      <c r="L89" s="272">
        <f t="shared" si="17"/>
        <v>0</v>
      </c>
      <c r="M89" s="272">
        <f t="shared" si="18"/>
        <v>0</v>
      </c>
      <c r="N89" s="272">
        <f t="shared" si="19"/>
        <v>0</v>
      </c>
      <c r="O89" s="273">
        <f t="shared" si="20"/>
        <v>0</v>
      </c>
      <c r="P89" s="274">
        <f t="shared" si="21"/>
        <v>8635</v>
      </c>
    </row>
    <row r="90" spans="1:16" x14ac:dyDescent="0.25">
      <c r="A90" s="171">
        <f>'A4 Demands'!A76</f>
        <v>1</v>
      </c>
      <c r="B90" s="314">
        <f>'A4 Demands'!B76</f>
        <v>43952</v>
      </c>
      <c r="C90" s="302">
        <f>'A4 Demands'!C76</f>
        <v>0</v>
      </c>
      <c r="D90" s="303">
        <f>'A4 Demands'!F76</f>
        <v>0</v>
      </c>
      <c r="E90" s="304">
        <f t="shared" si="11"/>
        <v>0</v>
      </c>
      <c r="F90" s="156">
        <f t="shared" si="12"/>
        <v>0</v>
      </c>
      <c r="G90" s="305">
        <f>VLOOKUP(A90,'A1 Contract'!$A$44:$I$53,7,FALSE)</f>
        <v>1</v>
      </c>
      <c r="H90" s="271">
        <f t="shared" si="13"/>
        <v>0</v>
      </c>
      <c r="I90" s="272">
        <f t="shared" si="14"/>
        <v>0</v>
      </c>
      <c r="J90" s="272">
        <f t="shared" si="15"/>
        <v>8635</v>
      </c>
      <c r="K90" s="272">
        <f t="shared" si="16"/>
        <v>0</v>
      </c>
      <c r="L90" s="272">
        <f t="shared" si="17"/>
        <v>0</v>
      </c>
      <c r="M90" s="272">
        <f t="shared" si="18"/>
        <v>0</v>
      </c>
      <c r="N90" s="272">
        <f t="shared" si="19"/>
        <v>0</v>
      </c>
      <c r="O90" s="273">
        <f t="shared" si="20"/>
        <v>0</v>
      </c>
      <c r="P90" s="274">
        <f t="shared" si="21"/>
        <v>8635</v>
      </c>
    </row>
    <row r="91" spans="1:16" x14ac:dyDescent="0.25">
      <c r="A91" s="171">
        <f>'A4 Demands'!A77</f>
        <v>1</v>
      </c>
      <c r="B91" s="314">
        <f>'A4 Demands'!B77</f>
        <v>43983</v>
      </c>
      <c r="C91" s="302">
        <f>'A4 Demands'!C77</f>
        <v>0</v>
      </c>
      <c r="D91" s="303">
        <f>'A4 Demands'!F77</f>
        <v>0</v>
      </c>
      <c r="E91" s="304">
        <f t="shared" si="11"/>
        <v>0</v>
      </c>
      <c r="F91" s="156">
        <f t="shared" si="12"/>
        <v>0</v>
      </c>
      <c r="G91" s="305">
        <f>VLOOKUP(A91,'A1 Contract'!$A$44:$I$53,7,FALSE)</f>
        <v>1</v>
      </c>
      <c r="H91" s="271">
        <f t="shared" si="13"/>
        <v>0</v>
      </c>
      <c r="I91" s="272">
        <f t="shared" si="14"/>
        <v>0</v>
      </c>
      <c r="J91" s="272">
        <f t="shared" si="15"/>
        <v>8635</v>
      </c>
      <c r="K91" s="272">
        <f t="shared" si="16"/>
        <v>0</v>
      </c>
      <c r="L91" s="272">
        <f t="shared" si="17"/>
        <v>0</v>
      </c>
      <c r="M91" s="272">
        <f t="shared" si="18"/>
        <v>0</v>
      </c>
      <c r="N91" s="272">
        <f t="shared" si="19"/>
        <v>0</v>
      </c>
      <c r="O91" s="273">
        <f t="shared" si="20"/>
        <v>0</v>
      </c>
      <c r="P91" s="274">
        <f t="shared" si="21"/>
        <v>8635</v>
      </c>
    </row>
    <row r="92" spans="1:16" x14ac:dyDescent="0.25">
      <c r="A92" s="171">
        <f>'A4 Demands'!A78</f>
        <v>1</v>
      </c>
      <c r="B92" s="314">
        <f>'A4 Demands'!B78</f>
        <v>44013</v>
      </c>
      <c r="C92" s="302">
        <f>'A4 Demands'!C78</f>
        <v>0</v>
      </c>
      <c r="D92" s="303">
        <f>'A4 Demands'!F78</f>
        <v>0</v>
      </c>
      <c r="E92" s="304">
        <f t="shared" si="11"/>
        <v>0</v>
      </c>
      <c r="F92" s="156">
        <f t="shared" si="12"/>
        <v>0</v>
      </c>
      <c r="G92" s="305">
        <f>VLOOKUP(A92,'A1 Contract'!$A$44:$I$53,7,FALSE)</f>
        <v>1</v>
      </c>
      <c r="H92" s="271">
        <f t="shared" si="13"/>
        <v>0</v>
      </c>
      <c r="I92" s="272">
        <f t="shared" si="14"/>
        <v>0</v>
      </c>
      <c r="J92" s="272">
        <f t="shared" si="15"/>
        <v>8635</v>
      </c>
      <c r="K92" s="272">
        <f t="shared" si="16"/>
        <v>0</v>
      </c>
      <c r="L92" s="272">
        <f t="shared" si="17"/>
        <v>0</v>
      </c>
      <c r="M92" s="272">
        <f t="shared" si="18"/>
        <v>0</v>
      </c>
      <c r="N92" s="272">
        <f t="shared" si="19"/>
        <v>0</v>
      </c>
      <c r="O92" s="273">
        <f t="shared" si="20"/>
        <v>0</v>
      </c>
      <c r="P92" s="274">
        <f t="shared" si="21"/>
        <v>8635</v>
      </c>
    </row>
    <row r="93" spans="1:16" x14ac:dyDescent="0.25">
      <c r="A93" s="171">
        <f>'A4 Demands'!A79</f>
        <v>1</v>
      </c>
      <c r="B93" s="314">
        <f>'A4 Demands'!B79</f>
        <v>44044</v>
      </c>
      <c r="C93" s="302">
        <f>'A4 Demands'!C79</f>
        <v>0</v>
      </c>
      <c r="D93" s="303">
        <f>'A4 Demands'!F79</f>
        <v>0</v>
      </c>
      <c r="E93" s="304">
        <f t="shared" si="11"/>
        <v>0</v>
      </c>
      <c r="F93" s="156">
        <f t="shared" si="12"/>
        <v>0</v>
      </c>
      <c r="G93" s="305">
        <f>VLOOKUP(A93,'A1 Contract'!$A$44:$I$53,7,FALSE)</f>
        <v>1</v>
      </c>
      <c r="H93" s="271">
        <f t="shared" si="13"/>
        <v>0</v>
      </c>
      <c r="I93" s="272">
        <f t="shared" si="14"/>
        <v>0</v>
      </c>
      <c r="J93" s="272">
        <f t="shared" si="15"/>
        <v>8635</v>
      </c>
      <c r="K93" s="272">
        <f t="shared" si="16"/>
        <v>0</v>
      </c>
      <c r="L93" s="272">
        <f t="shared" si="17"/>
        <v>0</v>
      </c>
      <c r="M93" s="272">
        <f t="shared" si="18"/>
        <v>0</v>
      </c>
      <c r="N93" s="272">
        <f t="shared" si="19"/>
        <v>0</v>
      </c>
      <c r="O93" s="273">
        <f t="shared" si="20"/>
        <v>0</v>
      </c>
      <c r="P93" s="274">
        <f t="shared" si="21"/>
        <v>8635</v>
      </c>
    </row>
    <row r="94" spans="1:16" x14ac:dyDescent="0.25">
      <c r="A94" s="171">
        <f>'A4 Demands'!A80</f>
        <v>1</v>
      </c>
      <c r="B94" s="314">
        <f>'A4 Demands'!B80</f>
        <v>44075</v>
      </c>
      <c r="C94" s="302">
        <f>'A4 Demands'!C80</f>
        <v>0</v>
      </c>
      <c r="D94" s="303">
        <f>'A4 Demands'!F80</f>
        <v>0</v>
      </c>
      <c r="E94" s="304">
        <f t="shared" si="11"/>
        <v>0</v>
      </c>
      <c r="F94" s="156">
        <f t="shared" si="12"/>
        <v>0</v>
      </c>
      <c r="G94" s="305">
        <f>VLOOKUP(A94,'A1 Contract'!$A$44:$I$53,7,FALSE)</f>
        <v>1</v>
      </c>
      <c r="H94" s="271">
        <f t="shared" si="13"/>
        <v>0</v>
      </c>
      <c r="I94" s="272">
        <f t="shared" si="14"/>
        <v>0</v>
      </c>
      <c r="J94" s="272">
        <f t="shared" si="15"/>
        <v>8635</v>
      </c>
      <c r="K94" s="272">
        <f t="shared" si="16"/>
        <v>0</v>
      </c>
      <c r="L94" s="272">
        <f t="shared" si="17"/>
        <v>0</v>
      </c>
      <c r="M94" s="272">
        <f t="shared" si="18"/>
        <v>0</v>
      </c>
      <c r="N94" s="272">
        <f t="shared" si="19"/>
        <v>0</v>
      </c>
      <c r="O94" s="273">
        <f t="shared" si="20"/>
        <v>0</v>
      </c>
      <c r="P94" s="274">
        <f t="shared" si="21"/>
        <v>8635</v>
      </c>
    </row>
    <row r="95" spans="1:16" x14ac:dyDescent="0.25">
      <c r="A95" s="171">
        <f>'A4 Demands'!A81</f>
        <v>1</v>
      </c>
      <c r="B95" s="314">
        <f>'A4 Demands'!B81</f>
        <v>44105</v>
      </c>
      <c r="C95" s="302">
        <f>'A4 Demands'!C81</f>
        <v>0</v>
      </c>
      <c r="D95" s="303">
        <f>'A4 Demands'!F81</f>
        <v>0</v>
      </c>
      <c r="E95" s="304">
        <f t="shared" si="11"/>
        <v>0</v>
      </c>
      <c r="F95" s="156">
        <f t="shared" si="12"/>
        <v>0</v>
      </c>
      <c r="G95" s="305">
        <f>VLOOKUP(A95,'A1 Contract'!$A$44:$I$53,7,FALSE)</f>
        <v>1</v>
      </c>
      <c r="H95" s="271">
        <f t="shared" si="13"/>
        <v>0</v>
      </c>
      <c r="I95" s="272">
        <f t="shared" si="14"/>
        <v>0</v>
      </c>
      <c r="J95" s="272">
        <f t="shared" si="15"/>
        <v>8635</v>
      </c>
      <c r="K95" s="272">
        <f t="shared" si="16"/>
        <v>0</v>
      </c>
      <c r="L95" s="272">
        <f t="shared" si="17"/>
        <v>0</v>
      </c>
      <c r="M95" s="272">
        <f t="shared" si="18"/>
        <v>0</v>
      </c>
      <c r="N95" s="272">
        <f t="shared" si="19"/>
        <v>0</v>
      </c>
      <c r="O95" s="273">
        <f t="shared" si="20"/>
        <v>0</v>
      </c>
      <c r="P95" s="274">
        <f t="shared" si="21"/>
        <v>8635</v>
      </c>
    </row>
    <row r="96" spans="1:16" x14ac:dyDescent="0.25">
      <c r="A96" s="171">
        <f>'A4 Demands'!A82</f>
        <v>1</v>
      </c>
      <c r="B96" s="314">
        <f>'A4 Demands'!B82</f>
        <v>44136</v>
      </c>
      <c r="C96" s="302">
        <f>'A4 Demands'!C82</f>
        <v>0</v>
      </c>
      <c r="D96" s="303">
        <f>'A4 Demands'!F82</f>
        <v>0</v>
      </c>
      <c r="E96" s="304">
        <f t="shared" si="11"/>
        <v>0</v>
      </c>
      <c r="F96" s="156">
        <f t="shared" si="12"/>
        <v>0</v>
      </c>
      <c r="G96" s="305">
        <f>VLOOKUP(A96,'A1 Contract'!$A$44:$I$53,7,FALSE)</f>
        <v>1</v>
      </c>
      <c r="H96" s="271">
        <f t="shared" si="13"/>
        <v>0</v>
      </c>
      <c r="I96" s="272">
        <f t="shared" si="14"/>
        <v>0</v>
      </c>
      <c r="J96" s="272">
        <f t="shared" si="15"/>
        <v>8635</v>
      </c>
      <c r="K96" s="272">
        <f t="shared" si="16"/>
        <v>0</v>
      </c>
      <c r="L96" s="272">
        <f t="shared" si="17"/>
        <v>0</v>
      </c>
      <c r="M96" s="272">
        <f t="shared" si="18"/>
        <v>0</v>
      </c>
      <c r="N96" s="272">
        <f t="shared" si="19"/>
        <v>0</v>
      </c>
      <c r="O96" s="273">
        <f t="shared" si="20"/>
        <v>0</v>
      </c>
      <c r="P96" s="274">
        <f t="shared" si="21"/>
        <v>8635</v>
      </c>
    </row>
    <row r="97" spans="1:16" x14ac:dyDescent="0.25">
      <c r="A97" s="171">
        <f>'A4 Demands'!A83</f>
        <v>1</v>
      </c>
      <c r="B97" s="314">
        <f>'A4 Demands'!B83</f>
        <v>44166</v>
      </c>
      <c r="C97" s="302">
        <f>'A4 Demands'!C83</f>
        <v>0</v>
      </c>
      <c r="D97" s="303">
        <f>'A4 Demands'!F83</f>
        <v>0</v>
      </c>
      <c r="E97" s="304">
        <f t="shared" si="11"/>
        <v>0</v>
      </c>
      <c r="F97" s="156">
        <f t="shared" si="12"/>
        <v>0</v>
      </c>
      <c r="G97" s="305">
        <f>VLOOKUP(A97,'A1 Contract'!$A$44:$I$53,7,FALSE)</f>
        <v>1</v>
      </c>
      <c r="H97" s="271">
        <f t="shared" si="13"/>
        <v>0</v>
      </c>
      <c r="I97" s="272">
        <f t="shared" si="14"/>
        <v>0</v>
      </c>
      <c r="J97" s="272">
        <f t="shared" si="15"/>
        <v>8635</v>
      </c>
      <c r="K97" s="272">
        <f t="shared" si="16"/>
        <v>0</v>
      </c>
      <c r="L97" s="272">
        <f t="shared" si="17"/>
        <v>0</v>
      </c>
      <c r="M97" s="272">
        <f t="shared" si="18"/>
        <v>0</v>
      </c>
      <c r="N97" s="272">
        <f t="shared" si="19"/>
        <v>0</v>
      </c>
      <c r="O97" s="273">
        <f t="shared" si="20"/>
        <v>0</v>
      </c>
      <c r="P97" s="274">
        <f t="shared" si="21"/>
        <v>8635</v>
      </c>
    </row>
    <row r="98" spans="1:16" x14ac:dyDescent="0.25">
      <c r="A98" s="171">
        <f>'A4 Demands'!A84</f>
        <v>1</v>
      </c>
      <c r="B98" s="314">
        <f>'A4 Demands'!B84</f>
        <v>44197</v>
      </c>
      <c r="C98" s="302">
        <f>'A4 Demands'!C84</f>
        <v>0</v>
      </c>
      <c r="D98" s="303">
        <f>'A4 Demands'!F84</f>
        <v>0</v>
      </c>
      <c r="E98" s="304">
        <f t="shared" si="11"/>
        <v>0</v>
      </c>
      <c r="F98" s="156">
        <f t="shared" si="12"/>
        <v>0</v>
      </c>
      <c r="G98" s="305">
        <f>VLOOKUP(A98,'A1 Contract'!$A$44:$I$53,7,FALSE)</f>
        <v>1</v>
      </c>
      <c r="H98" s="271">
        <f t="shared" si="13"/>
        <v>0</v>
      </c>
      <c r="I98" s="272">
        <f t="shared" si="14"/>
        <v>0</v>
      </c>
      <c r="J98" s="272">
        <f t="shared" si="15"/>
        <v>8635</v>
      </c>
      <c r="K98" s="272">
        <f t="shared" si="16"/>
        <v>0</v>
      </c>
      <c r="L98" s="272">
        <f t="shared" si="17"/>
        <v>0</v>
      </c>
      <c r="M98" s="272">
        <f t="shared" si="18"/>
        <v>0</v>
      </c>
      <c r="N98" s="272">
        <f t="shared" si="19"/>
        <v>0</v>
      </c>
      <c r="O98" s="273">
        <f t="shared" si="20"/>
        <v>0</v>
      </c>
      <c r="P98" s="274">
        <f t="shared" si="21"/>
        <v>8635</v>
      </c>
    </row>
    <row r="99" spans="1:16" x14ac:dyDescent="0.25">
      <c r="A99" s="171">
        <f>'A4 Demands'!A85</f>
        <v>1</v>
      </c>
      <c r="B99" s="314">
        <f>'A4 Demands'!B85</f>
        <v>44228</v>
      </c>
      <c r="C99" s="302">
        <f>'A4 Demands'!C85</f>
        <v>0</v>
      </c>
      <c r="D99" s="303">
        <f>'A4 Demands'!F85</f>
        <v>0</v>
      </c>
      <c r="E99" s="304">
        <f t="shared" si="11"/>
        <v>0</v>
      </c>
      <c r="F99" s="156">
        <f t="shared" si="12"/>
        <v>0</v>
      </c>
      <c r="G99" s="305">
        <f>VLOOKUP(A99,'A1 Contract'!$A$44:$I$53,7,FALSE)</f>
        <v>1</v>
      </c>
      <c r="H99" s="271">
        <f t="shared" si="13"/>
        <v>0</v>
      </c>
      <c r="I99" s="272">
        <f t="shared" si="14"/>
        <v>0</v>
      </c>
      <c r="J99" s="272">
        <f t="shared" si="15"/>
        <v>8635</v>
      </c>
      <c r="K99" s="272">
        <f t="shared" si="16"/>
        <v>0</v>
      </c>
      <c r="L99" s="272">
        <f t="shared" si="17"/>
        <v>0</v>
      </c>
      <c r="M99" s="272">
        <f t="shared" si="18"/>
        <v>0</v>
      </c>
      <c r="N99" s="272">
        <f t="shared" si="19"/>
        <v>0</v>
      </c>
      <c r="O99" s="273">
        <f t="shared" si="20"/>
        <v>0</v>
      </c>
      <c r="P99" s="274">
        <f t="shared" si="21"/>
        <v>8635</v>
      </c>
    </row>
    <row r="100" spans="1:16" x14ac:dyDescent="0.25">
      <c r="A100" s="171">
        <f>'A4 Demands'!A86</f>
        <v>1</v>
      </c>
      <c r="B100" s="314">
        <f>'A4 Demands'!B86</f>
        <v>44256</v>
      </c>
      <c r="C100" s="302">
        <f>'A4 Demands'!C86</f>
        <v>0</v>
      </c>
      <c r="D100" s="303">
        <f>'A4 Demands'!F86</f>
        <v>0</v>
      </c>
      <c r="E100" s="304">
        <f t="shared" si="11"/>
        <v>0</v>
      </c>
      <c r="F100" s="156">
        <f t="shared" si="12"/>
        <v>0</v>
      </c>
      <c r="G100" s="305">
        <f>VLOOKUP(A100,'A1 Contract'!$A$44:$I$53,7,FALSE)</f>
        <v>1</v>
      </c>
      <c r="H100" s="271">
        <f t="shared" si="13"/>
        <v>0</v>
      </c>
      <c r="I100" s="272">
        <f t="shared" si="14"/>
        <v>0</v>
      </c>
      <c r="J100" s="272">
        <f t="shared" si="15"/>
        <v>8635</v>
      </c>
      <c r="K100" s="272">
        <f t="shared" si="16"/>
        <v>0</v>
      </c>
      <c r="L100" s="272">
        <f t="shared" si="17"/>
        <v>0</v>
      </c>
      <c r="M100" s="272">
        <f t="shared" si="18"/>
        <v>0</v>
      </c>
      <c r="N100" s="272">
        <f t="shared" si="19"/>
        <v>0</v>
      </c>
      <c r="O100" s="273">
        <f t="shared" si="20"/>
        <v>0</v>
      </c>
      <c r="P100" s="274">
        <f t="shared" si="21"/>
        <v>8635</v>
      </c>
    </row>
    <row r="101" spans="1:16" x14ac:dyDescent="0.25">
      <c r="A101" s="171">
        <f>'A4 Demands'!A87</f>
        <v>1</v>
      </c>
      <c r="B101" s="314">
        <f>'A4 Demands'!B87</f>
        <v>44287</v>
      </c>
      <c r="C101" s="302">
        <f>'A4 Demands'!C87</f>
        <v>0</v>
      </c>
      <c r="D101" s="303">
        <f>'A4 Demands'!F87</f>
        <v>0</v>
      </c>
      <c r="E101" s="304">
        <f t="shared" si="11"/>
        <v>0</v>
      </c>
      <c r="F101" s="156">
        <f t="shared" si="12"/>
        <v>0</v>
      </c>
      <c r="G101" s="305">
        <f>VLOOKUP(A101,'A1 Contract'!$A$44:$I$53,7,FALSE)</f>
        <v>1</v>
      </c>
      <c r="H101" s="271">
        <f t="shared" si="13"/>
        <v>0</v>
      </c>
      <c r="I101" s="272">
        <f t="shared" si="14"/>
        <v>0</v>
      </c>
      <c r="J101" s="272">
        <f t="shared" si="15"/>
        <v>8635</v>
      </c>
      <c r="K101" s="272">
        <f t="shared" si="16"/>
        <v>0</v>
      </c>
      <c r="L101" s="272">
        <f t="shared" si="17"/>
        <v>0</v>
      </c>
      <c r="M101" s="272">
        <f t="shared" si="18"/>
        <v>0</v>
      </c>
      <c r="N101" s="272">
        <f t="shared" si="19"/>
        <v>0</v>
      </c>
      <c r="O101" s="273">
        <f t="shared" si="20"/>
        <v>0</v>
      </c>
      <c r="P101" s="274">
        <f t="shared" si="21"/>
        <v>8635</v>
      </c>
    </row>
    <row r="102" spans="1:16" x14ac:dyDescent="0.25">
      <c r="A102" s="171">
        <f>'A4 Demands'!A88</f>
        <v>1</v>
      </c>
      <c r="B102" s="314">
        <f>'A4 Demands'!B88</f>
        <v>44317</v>
      </c>
      <c r="C102" s="302">
        <f>'A4 Demands'!C88</f>
        <v>0</v>
      </c>
      <c r="D102" s="303">
        <f>'A4 Demands'!F88</f>
        <v>0</v>
      </c>
      <c r="E102" s="304">
        <f t="shared" si="11"/>
        <v>0</v>
      </c>
      <c r="F102" s="156">
        <f t="shared" si="12"/>
        <v>0</v>
      </c>
      <c r="G102" s="305">
        <f>VLOOKUP(A102,'A1 Contract'!$A$44:$I$53,7,FALSE)</f>
        <v>1</v>
      </c>
      <c r="H102" s="271">
        <f t="shared" si="13"/>
        <v>0</v>
      </c>
      <c r="I102" s="272">
        <f t="shared" si="14"/>
        <v>0</v>
      </c>
      <c r="J102" s="272">
        <f t="shared" si="15"/>
        <v>8635</v>
      </c>
      <c r="K102" s="272">
        <f t="shared" si="16"/>
        <v>0</v>
      </c>
      <c r="L102" s="272">
        <f t="shared" si="17"/>
        <v>0</v>
      </c>
      <c r="M102" s="272">
        <f t="shared" si="18"/>
        <v>0</v>
      </c>
      <c r="N102" s="272">
        <f t="shared" si="19"/>
        <v>0</v>
      </c>
      <c r="O102" s="273">
        <f t="shared" si="20"/>
        <v>0</v>
      </c>
      <c r="P102" s="274">
        <f t="shared" si="21"/>
        <v>8635</v>
      </c>
    </row>
    <row r="103" spans="1:16" x14ac:dyDescent="0.25">
      <c r="A103" s="171">
        <f>'A4 Demands'!A89</f>
        <v>1</v>
      </c>
      <c r="B103" s="314">
        <f>'A4 Demands'!B89</f>
        <v>44348</v>
      </c>
      <c r="C103" s="302">
        <f>'A4 Demands'!C89</f>
        <v>0</v>
      </c>
      <c r="D103" s="303">
        <f>'A4 Demands'!F89</f>
        <v>0</v>
      </c>
      <c r="E103" s="304">
        <f t="shared" si="11"/>
        <v>0</v>
      </c>
      <c r="F103" s="156">
        <f t="shared" si="12"/>
        <v>0</v>
      </c>
      <c r="G103" s="305">
        <f>VLOOKUP(A103,'A1 Contract'!$A$44:$I$53,7,FALSE)</f>
        <v>1</v>
      </c>
      <c r="H103" s="271">
        <f t="shared" si="13"/>
        <v>0</v>
      </c>
      <c r="I103" s="272">
        <f t="shared" si="14"/>
        <v>0</v>
      </c>
      <c r="J103" s="272">
        <f t="shared" si="15"/>
        <v>8635</v>
      </c>
      <c r="K103" s="272">
        <f t="shared" si="16"/>
        <v>0</v>
      </c>
      <c r="L103" s="272">
        <f t="shared" si="17"/>
        <v>0</v>
      </c>
      <c r="M103" s="272">
        <f t="shared" si="18"/>
        <v>0</v>
      </c>
      <c r="N103" s="272">
        <f t="shared" si="19"/>
        <v>0</v>
      </c>
      <c r="O103" s="273">
        <f t="shared" si="20"/>
        <v>0</v>
      </c>
      <c r="P103" s="274">
        <f t="shared" si="21"/>
        <v>8635</v>
      </c>
    </row>
    <row r="104" spans="1:16" x14ac:dyDescent="0.25">
      <c r="A104" s="171">
        <f>'A4 Demands'!A90</f>
        <v>1</v>
      </c>
      <c r="B104" s="314">
        <f>'A4 Demands'!B90</f>
        <v>44378</v>
      </c>
      <c r="C104" s="302">
        <f>'A4 Demands'!C90</f>
        <v>0</v>
      </c>
      <c r="D104" s="303">
        <f>'A4 Demands'!F90</f>
        <v>0</v>
      </c>
      <c r="E104" s="304">
        <f t="shared" si="11"/>
        <v>0</v>
      </c>
      <c r="F104" s="156">
        <f t="shared" si="12"/>
        <v>0</v>
      </c>
      <c r="G104" s="305">
        <f>VLOOKUP(A104,'A1 Contract'!$A$44:$I$53,7,FALSE)</f>
        <v>1</v>
      </c>
      <c r="H104" s="271">
        <f t="shared" si="13"/>
        <v>0</v>
      </c>
      <c r="I104" s="272">
        <f t="shared" si="14"/>
        <v>0</v>
      </c>
      <c r="J104" s="272">
        <f t="shared" si="15"/>
        <v>8635</v>
      </c>
      <c r="K104" s="272">
        <f t="shared" si="16"/>
        <v>0</v>
      </c>
      <c r="L104" s="272">
        <f t="shared" si="17"/>
        <v>0</v>
      </c>
      <c r="M104" s="272">
        <f t="shared" si="18"/>
        <v>0</v>
      </c>
      <c r="N104" s="272">
        <f t="shared" si="19"/>
        <v>0</v>
      </c>
      <c r="O104" s="273">
        <f t="shared" si="20"/>
        <v>0</v>
      </c>
      <c r="P104" s="274">
        <f t="shared" si="21"/>
        <v>8635</v>
      </c>
    </row>
    <row r="105" spans="1:16" x14ac:dyDescent="0.25">
      <c r="A105" s="171">
        <f>'A4 Demands'!A91</f>
        <v>1</v>
      </c>
      <c r="B105" s="314">
        <f>'A4 Demands'!B91</f>
        <v>44409</v>
      </c>
      <c r="C105" s="302">
        <f>'A4 Demands'!C91</f>
        <v>0</v>
      </c>
      <c r="D105" s="303">
        <f>'A4 Demands'!F91</f>
        <v>0</v>
      </c>
      <c r="E105" s="304">
        <f t="shared" si="11"/>
        <v>0</v>
      </c>
      <c r="F105" s="156">
        <f t="shared" si="12"/>
        <v>0</v>
      </c>
      <c r="G105" s="305">
        <f>VLOOKUP(A105,'A1 Contract'!$A$44:$I$53,7,FALSE)</f>
        <v>1</v>
      </c>
      <c r="H105" s="271">
        <f t="shared" si="13"/>
        <v>0</v>
      </c>
      <c r="I105" s="272">
        <f t="shared" si="14"/>
        <v>0</v>
      </c>
      <c r="J105" s="272">
        <f t="shared" si="15"/>
        <v>8635</v>
      </c>
      <c r="K105" s="272">
        <f t="shared" si="16"/>
        <v>0</v>
      </c>
      <c r="L105" s="272">
        <f t="shared" si="17"/>
        <v>0</v>
      </c>
      <c r="M105" s="272">
        <f t="shared" si="18"/>
        <v>0</v>
      </c>
      <c r="N105" s="272">
        <f t="shared" si="19"/>
        <v>0</v>
      </c>
      <c r="O105" s="273">
        <f t="shared" si="20"/>
        <v>0</v>
      </c>
      <c r="P105" s="274">
        <f t="shared" si="21"/>
        <v>8635</v>
      </c>
    </row>
    <row r="106" spans="1:16" x14ac:dyDescent="0.25">
      <c r="A106" s="171">
        <f>'A4 Demands'!A92</f>
        <v>1</v>
      </c>
      <c r="B106" s="314">
        <f>'A4 Demands'!B92</f>
        <v>44440</v>
      </c>
      <c r="C106" s="302">
        <f>'A4 Demands'!C92</f>
        <v>0</v>
      </c>
      <c r="D106" s="303">
        <f>'A4 Demands'!F92</f>
        <v>0</v>
      </c>
      <c r="E106" s="304">
        <f t="shared" si="11"/>
        <v>0</v>
      </c>
      <c r="F106" s="156">
        <f t="shared" si="12"/>
        <v>0</v>
      </c>
      <c r="G106" s="305">
        <f>VLOOKUP(A106,'A1 Contract'!$A$44:$I$53,7,FALSE)</f>
        <v>1</v>
      </c>
      <c r="H106" s="271">
        <f t="shared" si="13"/>
        <v>0</v>
      </c>
      <c r="I106" s="272">
        <f t="shared" si="14"/>
        <v>0</v>
      </c>
      <c r="J106" s="272">
        <f t="shared" si="15"/>
        <v>8635</v>
      </c>
      <c r="K106" s="272">
        <f t="shared" si="16"/>
        <v>0</v>
      </c>
      <c r="L106" s="272">
        <f t="shared" si="17"/>
        <v>0</v>
      </c>
      <c r="M106" s="272">
        <f t="shared" si="18"/>
        <v>0</v>
      </c>
      <c r="N106" s="272">
        <f t="shared" si="19"/>
        <v>0</v>
      </c>
      <c r="O106" s="273">
        <f t="shared" si="20"/>
        <v>0</v>
      </c>
      <c r="P106" s="274">
        <f t="shared" si="21"/>
        <v>8635</v>
      </c>
    </row>
    <row r="107" spans="1:16" x14ac:dyDescent="0.25">
      <c r="A107" s="171">
        <f>'A4 Demands'!A93</f>
        <v>1</v>
      </c>
      <c r="B107" s="314">
        <f>'A4 Demands'!B93</f>
        <v>44470</v>
      </c>
      <c r="C107" s="302">
        <f>'A4 Demands'!C93</f>
        <v>0</v>
      </c>
      <c r="D107" s="303">
        <f>'A4 Demands'!F93</f>
        <v>0</v>
      </c>
      <c r="E107" s="304">
        <f t="shared" si="11"/>
        <v>0</v>
      </c>
      <c r="F107" s="156">
        <f t="shared" si="12"/>
        <v>0</v>
      </c>
      <c r="G107" s="305">
        <f>VLOOKUP(A107,'A1 Contract'!$A$44:$I$53,7,FALSE)</f>
        <v>1</v>
      </c>
      <c r="H107" s="271">
        <f t="shared" si="13"/>
        <v>0</v>
      </c>
      <c r="I107" s="272">
        <f t="shared" si="14"/>
        <v>0</v>
      </c>
      <c r="J107" s="272">
        <f t="shared" si="15"/>
        <v>8635</v>
      </c>
      <c r="K107" s="272">
        <f t="shared" si="16"/>
        <v>0</v>
      </c>
      <c r="L107" s="272">
        <f t="shared" si="17"/>
        <v>0</v>
      </c>
      <c r="M107" s="272">
        <f t="shared" si="18"/>
        <v>0</v>
      </c>
      <c r="N107" s="272">
        <f t="shared" si="19"/>
        <v>0</v>
      </c>
      <c r="O107" s="273">
        <f t="shared" si="20"/>
        <v>0</v>
      </c>
      <c r="P107" s="274">
        <f t="shared" si="21"/>
        <v>8635</v>
      </c>
    </row>
    <row r="108" spans="1:16" x14ac:dyDescent="0.25">
      <c r="A108" s="171">
        <f>'A4 Demands'!A94</f>
        <v>1</v>
      </c>
      <c r="B108" s="314">
        <f>'A4 Demands'!B94</f>
        <v>44501</v>
      </c>
      <c r="C108" s="302">
        <f>'A4 Demands'!C94</f>
        <v>0</v>
      </c>
      <c r="D108" s="303">
        <f>'A4 Demands'!F94</f>
        <v>0</v>
      </c>
      <c r="E108" s="304">
        <f t="shared" si="11"/>
        <v>0</v>
      </c>
      <c r="F108" s="156">
        <f t="shared" si="12"/>
        <v>0</v>
      </c>
      <c r="G108" s="305">
        <f>VLOOKUP(A108,'A1 Contract'!$A$44:$I$53,7,FALSE)</f>
        <v>1</v>
      </c>
      <c r="H108" s="271">
        <f t="shared" si="13"/>
        <v>0</v>
      </c>
      <c r="I108" s="272">
        <f t="shared" si="14"/>
        <v>0</v>
      </c>
      <c r="J108" s="272">
        <f t="shared" si="15"/>
        <v>8635</v>
      </c>
      <c r="K108" s="272">
        <f t="shared" si="16"/>
        <v>0</v>
      </c>
      <c r="L108" s="272">
        <f t="shared" si="17"/>
        <v>0</v>
      </c>
      <c r="M108" s="272">
        <f t="shared" si="18"/>
        <v>0</v>
      </c>
      <c r="N108" s="272">
        <f t="shared" si="19"/>
        <v>0</v>
      </c>
      <c r="O108" s="273">
        <f t="shared" si="20"/>
        <v>0</v>
      </c>
      <c r="P108" s="274">
        <f t="shared" si="21"/>
        <v>8635</v>
      </c>
    </row>
    <row r="109" spans="1:16" x14ac:dyDescent="0.25">
      <c r="A109" s="171">
        <f>'A4 Demands'!A95</f>
        <v>1</v>
      </c>
      <c r="B109" s="314">
        <f>'A4 Demands'!B95</f>
        <v>44531</v>
      </c>
      <c r="C109" s="302">
        <f>'A4 Demands'!C95</f>
        <v>0</v>
      </c>
      <c r="D109" s="303">
        <f>'A4 Demands'!F95</f>
        <v>0</v>
      </c>
      <c r="E109" s="304">
        <f t="shared" si="11"/>
        <v>0</v>
      </c>
      <c r="F109" s="156">
        <f t="shared" si="12"/>
        <v>0</v>
      </c>
      <c r="G109" s="305">
        <f>VLOOKUP(A109,'A1 Contract'!$A$44:$I$53,7,FALSE)</f>
        <v>1</v>
      </c>
      <c r="H109" s="271">
        <f t="shared" si="13"/>
        <v>0</v>
      </c>
      <c r="I109" s="272">
        <f t="shared" si="14"/>
        <v>0</v>
      </c>
      <c r="J109" s="272">
        <f t="shared" si="15"/>
        <v>8635</v>
      </c>
      <c r="K109" s="272">
        <f t="shared" si="16"/>
        <v>0</v>
      </c>
      <c r="L109" s="272">
        <f t="shared" si="17"/>
        <v>0</v>
      </c>
      <c r="M109" s="272">
        <f t="shared" si="18"/>
        <v>0</v>
      </c>
      <c r="N109" s="272">
        <f t="shared" si="19"/>
        <v>0</v>
      </c>
      <c r="O109" s="273">
        <f t="shared" si="20"/>
        <v>0</v>
      </c>
      <c r="P109" s="274">
        <f t="shared" si="21"/>
        <v>8635</v>
      </c>
    </row>
    <row r="110" spans="1:16" x14ac:dyDescent="0.25">
      <c r="A110" s="172">
        <f>'A4 Demands'!A96</f>
        <v>1</v>
      </c>
      <c r="B110" s="315">
        <f>'A4 Demands'!B96</f>
        <v>44562</v>
      </c>
      <c r="C110" s="306">
        <f>'A4 Demands'!C96</f>
        <v>0</v>
      </c>
      <c r="D110" s="307">
        <f>'A4 Demands'!F96</f>
        <v>0</v>
      </c>
      <c r="E110" s="308">
        <f t="shared" si="11"/>
        <v>0</v>
      </c>
      <c r="F110" s="158">
        <f t="shared" si="12"/>
        <v>0</v>
      </c>
      <c r="G110" s="309">
        <f>VLOOKUP(A110,'A1 Contract'!$A$44:$I$53,7,FALSE)</f>
        <v>1</v>
      </c>
      <c r="H110" s="310">
        <f t="shared" si="13"/>
        <v>0</v>
      </c>
      <c r="I110" s="311">
        <f t="shared" si="14"/>
        <v>0</v>
      </c>
      <c r="J110" s="311">
        <f t="shared" si="15"/>
        <v>8635</v>
      </c>
      <c r="K110" s="311">
        <f t="shared" si="16"/>
        <v>0</v>
      </c>
      <c r="L110" s="311">
        <f t="shared" si="17"/>
        <v>0</v>
      </c>
      <c r="M110" s="311">
        <f t="shared" si="18"/>
        <v>0</v>
      </c>
      <c r="N110" s="311">
        <f t="shared" si="19"/>
        <v>0</v>
      </c>
      <c r="O110" s="330">
        <f t="shared" si="20"/>
        <v>0</v>
      </c>
      <c r="P110" s="312">
        <f t="shared" si="21"/>
        <v>8635</v>
      </c>
    </row>
    <row r="112" spans="1:16" x14ac:dyDescent="0.25">
      <c r="A112" s="316"/>
      <c r="B112" s="4"/>
      <c r="C112" s="160" t="s">
        <v>64</v>
      </c>
      <c r="D112" s="168"/>
      <c r="E112" s="321"/>
      <c r="F112" s="168" t="s">
        <v>64</v>
      </c>
      <c r="G112" s="159"/>
      <c r="H112" s="412" t="s">
        <v>142</v>
      </c>
      <c r="I112" s="413"/>
      <c r="J112" s="413"/>
      <c r="K112" s="413"/>
      <c r="L112" s="413"/>
      <c r="M112" s="413"/>
      <c r="N112" s="413"/>
      <c r="O112" s="413"/>
      <c r="P112" s="414"/>
    </row>
    <row r="113" spans="1:16" x14ac:dyDescent="0.25">
      <c r="A113" s="317"/>
      <c r="B113" s="318"/>
      <c r="C113" s="179" t="s">
        <v>61</v>
      </c>
      <c r="D113" s="163"/>
      <c r="E113" s="322" t="s">
        <v>7</v>
      </c>
      <c r="F113" s="163" t="s">
        <v>66</v>
      </c>
      <c r="G113" s="161"/>
      <c r="H113" s="324" t="s">
        <v>88</v>
      </c>
      <c r="I113" s="325" t="s">
        <v>90</v>
      </c>
      <c r="J113" s="325" t="s">
        <v>119</v>
      </c>
      <c r="K113" s="325" t="s">
        <v>121</v>
      </c>
      <c r="L113" s="325" t="s">
        <v>189</v>
      </c>
      <c r="M113" s="325" t="s">
        <v>123</v>
      </c>
      <c r="N113" s="325" t="s">
        <v>13</v>
      </c>
      <c r="O113" s="329" t="s">
        <v>134</v>
      </c>
      <c r="P113" s="326" t="s">
        <v>7</v>
      </c>
    </row>
    <row r="114" spans="1:16" x14ac:dyDescent="0.25">
      <c r="A114" s="162"/>
      <c r="B114" s="319"/>
      <c r="C114" s="179" t="s">
        <v>62</v>
      </c>
      <c r="D114" s="163" t="s">
        <v>81</v>
      </c>
      <c r="E114" s="322" t="s">
        <v>62</v>
      </c>
      <c r="F114" s="163" t="s">
        <v>62</v>
      </c>
      <c r="G114" s="161" t="s">
        <v>133</v>
      </c>
      <c r="H114" s="179" t="s">
        <v>89</v>
      </c>
      <c r="I114" s="163" t="s">
        <v>89</v>
      </c>
      <c r="J114" s="256" t="s">
        <v>120</v>
      </c>
      <c r="K114" s="256" t="s">
        <v>122</v>
      </c>
      <c r="L114" s="163" t="s">
        <v>190</v>
      </c>
      <c r="M114" s="163" t="s">
        <v>124</v>
      </c>
      <c r="N114" s="163" t="s">
        <v>89</v>
      </c>
      <c r="O114" s="257" t="s">
        <v>135</v>
      </c>
      <c r="P114" s="161" t="s">
        <v>126</v>
      </c>
    </row>
    <row r="115" spans="1:16" x14ac:dyDescent="0.25">
      <c r="A115" s="202"/>
      <c r="B115" s="319"/>
      <c r="C115" s="179" t="s">
        <v>63</v>
      </c>
      <c r="D115" s="163" t="s">
        <v>49</v>
      </c>
      <c r="E115" s="322" t="s">
        <v>65</v>
      </c>
      <c r="F115" s="163" t="s">
        <v>63</v>
      </c>
      <c r="G115" s="161" t="s">
        <v>131</v>
      </c>
      <c r="H115" s="179" t="s">
        <v>108</v>
      </c>
      <c r="I115" s="163" t="s">
        <v>108</v>
      </c>
      <c r="J115" s="256" t="s">
        <v>108</v>
      </c>
      <c r="K115" s="256" t="s">
        <v>108</v>
      </c>
      <c r="L115" s="163" t="s">
        <v>108</v>
      </c>
      <c r="M115" s="163" t="s">
        <v>108</v>
      </c>
      <c r="N115" s="163" t="s">
        <v>125</v>
      </c>
      <c r="O115" s="257" t="s">
        <v>136</v>
      </c>
      <c r="P115" s="161" t="s">
        <v>91</v>
      </c>
    </row>
    <row r="116" spans="1:16" x14ac:dyDescent="0.25">
      <c r="A116" s="164" t="s">
        <v>8</v>
      </c>
      <c r="B116" s="320" t="s">
        <v>17</v>
      </c>
      <c r="C116" s="237" t="s">
        <v>72</v>
      </c>
      <c r="D116" s="266" t="s">
        <v>72</v>
      </c>
      <c r="E116" s="323" t="s">
        <v>73</v>
      </c>
      <c r="F116" s="266" t="s">
        <v>72</v>
      </c>
      <c r="G116" s="233" t="s">
        <v>132</v>
      </c>
      <c r="H116" s="327" t="s">
        <v>98</v>
      </c>
      <c r="I116" s="235" t="s">
        <v>98</v>
      </c>
      <c r="J116" s="328" t="s">
        <v>98</v>
      </c>
      <c r="K116" s="328" t="s">
        <v>98</v>
      </c>
      <c r="L116" s="266" t="s">
        <v>98</v>
      </c>
      <c r="M116" s="266" t="s">
        <v>98</v>
      </c>
      <c r="N116" s="266" t="s">
        <v>98</v>
      </c>
      <c r="O116" s="258" t="s">
        <v>98</v>
      </c>
      <c r="P116" s="233" t="s">
        <v>98</v>
      </c>
    </row>
    <row r="117" spans="1:16" s="137" customFormat="1" x14ac:dyDescent="0.25">
      <c r="A117" s="335" t="s">
        <v>137</v>
      </c>
      <c r="B117" s="336">
        <f>PILONDate</f>
        <v>42826</v>
      </c>
      <c r="C117" s="333" t="s">
        <v>138</v>
      </c>
      <c r="D117" s="334"/>
      <c r="E117" s="337"/>
      <c r="F117" s="334"/>
      <c r="G117" s="334"/>
      <c r="H117" s="333"/>
      <c r="I117" s="331"/>
      <c r="J117" s="332"/>
      <c r="K117" s="199"/>
      <c r="L117" s="198"/>
      <c r="M117" s="198"/>
      <c r="N117" s="338" t="s">
        <v>102</v>
      </c>
      <c r="O117" s="459">
        <f>NPV(DiscountRate/12,P118:P177)</f>
        <v>431197.27464652003</v>
      </c>
      <c r="P117" s="460"/>
    </row>
    <row r="118" spans="1:16" x14ac:dyDescent="0.25">
      <c r="A118" s="170">
        <f>A51</f>
        <v>1</v>
      </c>
      <c r="B118" s="313">
        <f>B51</f>
        <v>42767</v>
      </c>
      <c r="C118" s="298">
        <f>'A4 Demands'!C37</f>
        <v>0</v>
      </c>
      <c r="D118" s="299">
        <f>'A4 Demands'!K37</f>
        <v>0</v>
      </c>
      <c r="E118" s="300">
        <f t="shared" ref="E118:E149" si="22">C118*(DATE(YEAR(B118),MONTH(B118)+1,1)-B118)*24*F$42</f>
        <v>0</v>
      </c>
      <c r="F118" s="154">
        <f t="shared" ref="F118:F149" si="23">C118*F$41</f>
        <v>0</v>
      </c>
      <c r="G118" s="301">
        <f>IF(B118&lt;EffectiveWithPILON,VLOOKUP(A118,'A1 Contract'!$A$44:$I$53,7,FALSE),VLOOKUP(A118,'A1 Contract'!$A$44:$I$53,4,FALSE))</f>
        <v>1</v>
      </c>
      <c r="H118" s="267" t="str">
        <f t="shared" ref="H118:H149" si="24">IF(B51&lt;DATE(YEAR(PILONDate),MONTH(PILONDate),1),"",(F118*$E$19)+(E118*$E$20))</f>
        <v/>
      </c>
      <c r="I118" s="268" t="str">
        <f t="shared" ref="I118:I149" si="25">IF(B51&lt;DATE(YEAR(PILONDate),MONTH(PILONDate),1),"",(D118*$E$22)+(E118*$E$23))</f>
        <v/>
      </c>
      <c r="J118" s="268" t="str">
        <f t="shared" ref="J118:J149" si="26">IF(B51&lt;DATE(YEAR(PILONDate),MONTH(PILONDate),1),"",IF(D118&gt;0,(G118*$E$25)+(MIN(7.5*G118,D118)*$E$26)+(MAX(MIN(9.5*G118,D118-(7.5*G118)),0)*$E$27)+(MAX(MIN(23*G118,D118-(17*G118)),0)*$E$28)+(MAX(D118-(40*G118),0)*$E$29),IF(OR(ReducedOrTerminated="Reduced",B118&lt;EffectiveWithPILON),G118*$E$25,0)))</f>
        <v/>
      </c>
      <c r="K118" s="268" t="str">
        <f t="shared" ref="K118:K149" si="27">IF(B51&lt;DATE(YEAR(PILONDate),MONTH(PILONDate),1),"",E118*$F$31*$F$32)</f>
        <v/>
      </c>
      <c r="L118" s="268" t="str">
        <f t="shared" ref="L118:L149" si="28">IF(B51&lt;DATE(YEAR(PILONDate),MONTH(PILONDate),1),"",E118*$F$34)</f>
        <v/>
      </c>
      <c r="M118" s="268" t="str">
        <f t="shared" ref="M118:M149" si="29">IF(B51&lt;DATE(YEAR(PILONDate),MONTH(PILONDate),1),"",E118*$F$36)</f>
        <v/>
      </c>
      <c r="N118" s="268" t="str">
        <f t="shared" ref="N118:N149" si="30">IF(B51&lt;DATE(YEAR(PILONDate),MONTH(PILONDate),1),"",C118*$F$38)</f>
        <v/>
      </c>
      <c r="O118" s="269" t="str">
        <f t="shared" ref="O118:O149" si="31">IF(B51&lt;DATE(YEAR(PILONDate),MONTH(PILONDate),1),"",IF(ReceivePSC="Yes",IF(D118&gt;0,(G118*$G$25)+(MIN(7.5*G118,D118)*$G$26)+(MAX(MIN(9.5*G118,D118-(7.5*G118)),0)*$G$27)+(MAX(MIN(23*G118,D118-(17*G118)),0)*$G$28)+(MAX(D118-(40*G118),0)*$G$29),0),0))</f>
        <v/>
      </c>
      <c r="P118" s="270" t="str">
        <f t="shared" ref="P118:P149" si="32">IF(B51&lt;DATE(YEAR(PILONDate),MONTH(PILONDate),1),"",SUM(H118:O118))</f>
        <v/>
      </c>
    </row>
    <row r="119" spans="1:16" x14ac:dyDescent="0.25">
      <c r="A119" s="171">
        <f t="shared" ref="A119:B119" si="33">A52</f>
        <v>1</v>
      </c>
      <c r="B119" s="314">
        <f t="shared" si="33"/>
        <v>42795</v>
      </c>
      <c r="C119" s="302">
        <f>'A4 Demands'!C38</f>
        <v>0</v>
      </c>
      <c r="D119" s="303">
        <f>'A4 Demands'!K38</f>
        <v>0</v>
      </c>
      <c r="E119" s="304">
        <f t="shared" si="22"/>
        <v>0</v>
      </c>
      <c r="F119" s="156">
        <f t="shared" si="23"/>
        <v>0</v>
      </c>
      <c r="G119" s="305">
        <f>IF(B119&lt;EffectiveWithPILON,VLOOKUP(A119,'A1 Contract'!$A$44:$I$53,7,FALSE),VLOOKUP(A119,'A1 Contract'!$A$44:$I$53,4,FALSE))</f>
        <v>1</v>
      </c>
      <c r="H119" s="271" t="str">
        <f t="shared" si="24"/>
        <v/>
      </c>
      <c r="I119" s="272" t="str">
        <f t="shared" si="25"/>
        <v/>
      </c>
      <c r="J119" s="272" t="str">
        <f t="shared" si="26"/>
        <v/>
      </c>
      <c r="K119" s="272" t="str">
        <f t="shared" si="27"/>
        <v/>
      </c>
      <c r="L119" s="272" t="str">
        <f t="shared" si="28"/>
        <v/>
      </c>
      <c r="M119" s="272" t="str">
        <f t="shared" si="29"/>
        <v/>
      </c>
      <c r="N119" s="272" t="str">
        <f t="shared" si="30"/>
        <v/>
      </c>
      <c r="O119" s="273" t="str">
        <f t="shared" si="31"/>
        <v/>
      </c>
      <c r="P119" s="274" t="str">
        <f t="shared" si="32"/>
        <v/>
      </c>
    </row>
    <row r="120" spans="1:16" x14ac:dyDescent="0.25">
      <c r="A120" s="171">
        <f t="shared" ref="A120:B120" si="34">A53</f>
        <v>1</v>
      </c>
      <c r="B120" s="314">
        <f t="shared" si="34"/>
        <v>42826</v>
      </c>
      <c r="C120" s="302">
        <f>'A4 Demands'!C39</f>
        <v>0</v>
      </c>
      <c r="D120" s="303">
        <f>'A4 Demands'!K39</f>
        <v>0</v>
      </c>
      <c r="E120" s="304">
        <f t="shared" si="22"/>
        <v>0</v>
      </c>
      <c r="F120" s="156">
        <f t="shared" si="23"/>
        <v>0</v>
      </c>
      <c r="G120" s="305">
        <f>IF(B120&lt;EffectiveWithPILON,VLOOKUP(A120,'A1 Contract'!$A$44:$I$53,7,FALSE),VLOOKUP(A120,'A1 Contract'!$A$44:$I$53,4,FALSE))</f>
        <v>1</v>
      </c>
      <c r="H120" s="271">
        <f t="shared" si="24"/>
        <v>0</v>
      </c>
      <c r="I120" s="272">
        <f t="shared" si="25"/>
        <v>0</v>
      </c>
      <c r="J120" s="272">
        <f t="shared" si="26"/>
        <v>8635</v>
      </c>
      <c r="K120" s="272">
        <f t="shared" si="27"/>
        <v>0</v>
      </c>
      <c r="L120" s="272">
        <f t="shared" si="28"/>
        <v>0</v>
      </c>
      <c r="M120" s="272">
        <f t="shared" si="29"/>
        <v>0</v>
      </c>
      <c r="N120" s="272">
        <f t="shared" si="30"/>
        <v>0</v>
      </c>
      <c r="O120" s="273">
        <f t="shared" si="31"/>
        <v>0</v>
      </c>
      <c r="P120" s="274">
        <f t="shared" si="32"/>
        <v>8635</v>
      </c>
    </row>
    <row r="121" spans="1:16" x14ac:dyDescent="0.25">
      <c r="A121" s="171">
        <f t="shared" ref="A121:B121" si="35">A54</f>
        <v>1</v>
      </c>
      <c r="B121" s="314">
        <f t="shared" si="35"/>
        <v>42856</v>
      </c>
      <c r="C121" s="302">
        <f>'A4 Demands'!C40</f>
        <v>0</v>
      </c>
      <c r="D121" s="303">
        <f>'A4 Demands'!K40</f>
        <v>0</v>
      </c>
      <c r="E121" s="304">
        <f t="shared" si="22"/>
        <v>0</v>
      </c>
      <c r="F121" s="156">
        <f t="shared" si="23"/>
        <v>0</v>
      </c>
      <c r="G121" s="305">
        <f>IF(B121&lt;EffectiveWithPILON,VLOOKUP(A121,'A1 Contract'!$A$44:$I$53,7,FALSE),VLOOKUP(A121,'A1 Contract'!$A$44:$I$53,4,FALSE))</f>
        <v>1</v>
      </c>
      <c r="H121" s="271">
        <f t="shared" si="24"/>
        <v>0</v>
      </c>
      <c r="I121" s="272">
        <f t="shared" si="25"/>
        <v>0</v>
      </c>
      <c r="J121" s="272">
        <f t="shared" si="26"/>
        <v>8635</v>
      </c>
      <c r="K121" s="272">
        <f t="shared" si="27"/>
        <v>0</v>
      </c>
      <c r="L121" s="272">
        <f t="shared" si="28"/>
        <v>0</v>
      </c>
      <c r="M121" s="272">
        <f t="shared" si="29"/>
        <v>0</v>
      </c>
      <c r="N121" s="272">
        <f t="shared" si="30"/>
        <v>0</v>
      </c>
      <c r="O121" s="273">
        <f t="shared" si="31"/>
        <v>0</v>
      </c>
      <c r="P121" s="274">
        <f t="shared" si="32"/>
        <v>8635</v>
      </c>
    </row>
    <row r="122" spans="1:16" x14ac:dyDescent="0.25">
      <c r="A122" s="171">
        <f t="shared" ref="A122:B122" si="36">A55</f>
        <v>1</v>
      </c>
      <c r="B122" s="314">
        <f t="shared" si="36"/>
        <v>42887</v>
      </c>
      <c r="C122" s="302">
        <f>'A4 Demands'!C41</f>
        <v>0</v>
      </c>
      <c r="D122" s="303">
        <f>'A4 Demands'!K41</f>
        <v>0</v>
      </c>
      <c r="E122" s="304">
        <f t="shared" si="22"/>
        <v>0</v>
      </c>
      <c r="F122" s="156">
        <f t="shared" si="23"/>
        <v>0</v>
      </c>
      <c r="G122" s="305">
        <f>IF(B122&lt;EffectiveWithPILON,VLOOKUP(A122,'A1 Contract'!$A$44:$I$53,7,FALSE),VLOOKUP(A122,'A1 Contract'!$A$44:$I$53,4,FALSE))</f>
        <v>1</v>
      </c>
      <c r="H122" s="271">
        <f t="shared" si="24"/>
        <v>0</v>
      </c>
      <c r="I122" s="272">
        <f t="shared" si="25"/>
        <v>0</v>
      </c>
      <c r="J122" s="272">
        <f t="shared" si="26"/>
        <v>8635</v>
      </c>
      <c r="K122" s="272">
        <f t="shared" si="27"/>
        <v>0</v>
      </c>
      <c r="L122" s="272">
        <f t="shared" si="28"/>
        <v>0</v>
      </c>
      <c r="M122" s="272">
        <f t="shared" si="29"/>
        <v>0</v>
      </c>
      <c r="N122" s="272">
        <f t="shared" si="30"/>
        <v>0</v>
      </c>
      <c r="O122" s="273">
        <f t="shared" si="31"/>
        <v>0</v>
      </c>
      <c r="P122" s="274">
        <f t="shared" si="32"/>
        <v>8635</v>
      </c>
    </row>
    <row r="123" spans="1:16" x14ac:dyDescent="0.25">
      <c r="A123" s="171">
        <f t="shared" ref="A123:B123" si="37">A56</f>
        <v>1</v>
      </c>
      <c r="B123" s="314">
        <f t="shared" si="37"/>
        <v>42917</v>
      </c>
      <c r="C123" s="302">
        <f>'A4 Demands'!C42</f>
        <v>0</v>
      </c>
      <c r="D123" s="303">
        <f>'A4 Demands'!K42</f>
        <v>0</v>
      </c>
      <c r="E123" s="304">
        <f t="shared" si="22"/>
        <v>0</v>
      </c>
      <c r="F123" s="156">
        <f t="shared" si="23"/>
        <v>0</v>
      </c>
      <c r="G123" s="305">
        <f>IF(B123&lt;EffectiveWithPILON,VLOOKUP(A123,'A1 Contract'!$A$44:$I$53,7,FALSE),VLOOKUP(A123,'A1 Contract'!$A$44:$I$53,4,FALSE))</f>
        <v>1</v>
      </c>
      <c r="H123" s="271">
        <f t="shared" si="24"/>
        <v>0</v>
      </c>
      <c r="I123" s="272">
        <f t="shared" si="25"/>
        <v>0</v>
      </c>
      <c r="J123" s="272">
        <f t="shared" si="26"/>
        <v>8635</v>
      </c>
      <c r="K123" s="272">
        <f t="shared" si="27"/>
        <v>0</v>
      </c>
      <c r="L123" s="272">
        <f t="shared" si="28"/>
        <v>0</v>
      </c>
      <c r="M123" s="272">
        <f t="shared" si="29"/>
        <v>0</v>
      </c>
      <c r="N123" s="272">
        <f t="shared" si="30"/>
        <v>0</v>
      </c>
      <c r="O123" s="273">
        <f t="shared" si="31"/>
        <v>0</v>
      </c>
      <c r="P123" s="274">
        <f t="shared" si="32"/>
        <v>8635</v>
      </c>
    </row>
    <row r="124" spans="1:16" x14ac:dyDescent="0.25">
      <c r="A124" s="171">
        <f t="shared" ref="A124:B124" si="38">A57</f>
        <v>1</v>
      </c>
      <c r="B124" s="314">
        <f t="shared" si="38"/>
        <v>42948</v>
      </c>
      <c r="C124" s="302">
        <f>'A4 Demands'!C43</f>
        <v>0</v>
      </c>
      <c r="D124" s="303">
        <f>'A4 Demands'!K43</f>
        <v>0</v>
      </c>
      <c r="E124" s="304">
        <f t="shared" si="22"/>
        <v>0</v>
      </c>
      <c r="F124" s="156">
        <f t="shared" si="23"/>
        <v>0</v>
      </c>
      <c r="G124" s="305">
        <f>IF(B124&lt;EffectiveWithPILON,VLOOKUP(A124,'A1 Contract'!$A$44:$I$53,7,FALSE),VLOOKUP(A124,'A1 Contract'!$A$44:$I$53,4,FALSE))</f>
        <v>1</v>
      </c>
      <c r="H124" s="271">
        <f t="shared" si="24"/>
        <v>0</v>
      </c>
      <c r="I124" s="272">
        <f t="shared" si="25"/>
        <v>0</v>
      </c>
      <c r="J124" s="272">
        <f t="shared" si="26"/>
        <v>8635</v>
      </c>
      <c r="K124" s="272">
        <f t="shared" si="27"/>
        <v>0</v>
      </c>
      <c r="L124" s="272">
        <f t="shared" si="28"/>
        <v>0</v>
      </c>
      <c r="M124" s="272">
        <f t="shared" si="29"/>
        <v>0</v>
      </c>
      <c r="N124" s="272">
        <f t="shared" si="30"/>
        <v>0</v>
      </c>
      <c r="O124" s="273">
        <f t="shared" si="31"/>
        <v>0</v>
      </c>
      <c r="P124" s="274">
        <f t="shared" si="32"/>
        <v>8635</v>
      </c>
    </row>
    <row r="125" spans="1:16" x14ac:dyDescent="0.25">
      <c r="A125" s="171">
        <f t="shared" ref="A125:B125" si="39">A58</f>
        <v>1</v>
      </c>
      <c r="B125" s="314">
        <f t="shared" si="39"/>
        <v>42979</v>
      </c>
      <c r="C125" s="302">
        <f>'A4 Demands'!C44</f>
        <v>0</v>
      </c>
      <c r="D125" s="303">
        <f>'A4 Demands'!K44</f>
        <v>0</v>
      </c>
      <c r="E125" s="304">
        <f t="shared" si="22"/>
        <v>0</v>
      </c>
      <c r="F125" s="156">
        <f t="shared" si="23"/>
        <v>0</v>
      </c>
      <c r="G125" s="305">
        <f>IF(B125&lt;EffectiveWithPILON,VLOOKUP(A125,'A1 Contract'!$A$44:$I$53,7,FALSE),VLOOKUP(A125,'A1 Contract'!$A$44:$I$53,4,FALSE))</f>
        <v>1</v>
      </c>
      <c r="H125" s="271">
        <f t="shared" si="24"/>
        <v>0</v>
      </c>
      <c r="I125" s="272">
        <f t="shared" si="25"/>
        <v>0</v>
      </c>
      <c r="J125" s="272">
        <f t="shared" si="26"/>
        <v>8635</v>
      </c>
      <c r="K125" s="272">
        <f t="shared" si="27"/>
        <v>0</v>
      </c>
      <c r="L125" s="272">
        <f t="shared" si="28"/>
        <v>0</v>
      </c>
      <c r="M125" s="272">
        <f t="shared" si="29"/>
        <v>0</v>
      </c>
      <c r="N125" s="272">
        <f t="shared" si="30"/>
        <v>0</v>
      </c>
      <c r="O125" s="273">
        <f t="shared" si="31"/>
        <v>0</v>
      </c>
      <c r="P125" s="274">
        <f t="shared" si="32"/>
        <v>8635</v>
      </c>
    </row>
    <row r="126" spans="1:16" x14ac:dyDescent="0.25">
      <c r="A126" s="171">
        <f t="shared" ref="A126:B126" si="40">A59</f>
        <v>1</v>
      </c>
      <c r="B126" s="314">
        <f t="shared" si="40"/>
        <v>43009</v>
      </c>
      <c r="C126" s="302">
        <f>'A4 Demands'!C45</f>
        <v>0</v>
      </c>
      <c r="D126" s="303">
        <f>'A4 Demands'!K45</f>
        <v>0</v>
      </c>
      <c r="E126" s="304">
        <f t="shared" si="22"/>
        <v>0</v>
      </c>
      <c r="F126" s="156">
        <f t="shared" si="23"/>
        <v>0</v>
      </c>
      <c r="G126" s="305">
        <f>IF(B126&lt;EffectiveWithPILON,VLOOKUP(A126,'A1 Contract'!$A$44:$I$53,7,FALSE),VLOOKUP(A126,'A1 Contract'!$A$44:$I$53,4,FALSE))</f>
        <v>1</v>
      </c>
      <c r="H126" s="271">
        <f t="shared" si="24"/>
        <v>0</v>
      </c>
      <c r="I126" s="272">
        <f t="shared" si="25"/>
        <v>0</v>
      </c>
      <c r="J126" s="272">
        <f t="shared" si="26"/>
        <v>8635</v>
      </c>
      <c r="K126" s="272">
        <f t="shared" si="27"/>
        <v>0</v>
      </c>
      <c r="L126" s="272">
        <f t="shared" si="28"/>
        <v>0</v>
      </c>
      <c r="M126" s="272">
        <f t="shared" si="29"/>
        <v>0</v>
      </c>
      <c r="N126" s="272">
        <f t="shared" si="30"/>
        <v>0</v>
      </c>
      <c r="O126" s="273">
        <f t="shared" si="31"/>
        <v>0</v>
      </c>
      <c r="P126" s="274">
        <f t="shared" si="32"/>
        <v>8635</v>
      </c>
    </row>
    <row r="127" spans="1:16" x14ac:dyDescent="0.25">
      <c r="A127" s="171">
        <f t="shared" ref="A127:B127" si="41">A60</f>
        <v>1</v>
      </c>
      <c r="B127" s="314">
        <f t="shared" si="41"/>
        <v>43040</v>
      </c>
      <c r="C127" s="302">
        <f>'A4 Demands'!C46</f>
        <v>0</v>
      </c>
      <c r="D127" s="303">
        <f>'A4 Demands'!K46</f>
        <v>0</v>
      </c>
      <c r="E127" s="304">
        <f t="shared" si="22"/>
        <v>0</v>
      </c>
      <c r="F127" s="156">
        <f t="shared" si="23"/>
        <v>0</v>
      </c>
      <c r="G127" s="305">
        <f>IF(B127&lt;EffectiveWithPILON,VLOOKUP(A127,'A1 Contract'!$A$44:$I$53,7,FALSE),VLOOKUP(A127,'A1 Contract'!$A$44:$I$53,4,FALSE))</f>
        <v>1</v>
      </c>
      <c r="H127" s="271">
        <f t="shared" si="24"/>
        <v>0</v>
      </c>
      <c r="I127" s="272">
        <f t="shared" si="25"/>
        <v>0</v>
      </c>
      <c r="J127" s="272">
        <f t="shared" si="26"/>
        <v>8635</v>
      </c>
      <c r="K127" s="272">
        <f t="shared" si="27"/>
        <v>0</v>
      </c>
      <c r="L127" s="272">
        <f t="shared" si="28"/>
        <v>0</v>
      </c>
      <c r="M127" s="272">
        <f t="shared" si="29"/>
        <v>0</v>
      </c>
      <c r="N127" s="272">
        <f t="shared" si="30"/>
        <v>0</v>
      </c>
      <c r="O127" s="273">
        <f t="shared" si="31"/>
        <v>0</v>
      </c>
      <c r="P127" s="274">
        <f t="shared" si="32"/>
        <v>8635</v>
      </c>
    </row>
    <row r="128" spans="1:16" x14ac:dyDescent="0.25">
      <c r="A128" s="171">
        <f t="shared" ref="A128:B128" si="42">A61</f>
        <v>1</v>
      </c>
      <c r="B128" s="314">
        <f t="shared" si="42"/>
        <v>43070</v>
      </c>
      <c r="C128" s="302">
        <f>'A4 Demands'!C47</f>
        <v>0</v>
      </c>
      <c r="D128" s="303">
        <f>'A4 Demands'!K47</f>
        <v>0</v>
      </c>
      <c r="E128" s="304">
        <f t="shared" si="22"/>
        <v>0</v>
      </c>
      <c r="F128" s="156">
        <f t="shared" si="23"/>
        <v>0</v>
      </c>
      <c r="G128" s="305">
        <f>IF(B128&lt;EffectiveWithPILON,VLOOKUP(A128,'A1 Contract'!$A$44:$I$53,7,FALSE),VLOOKUP(A128,'A1 Contract'!$A$44:$I$53,4,FALSE))</f>
        <v>1</v>
      </c>
      <c r="H128" s="271">
        <f t="shared" si="24"/>
        <v>0</v>
      </c>
      <c r="I128" s="272">
        <f t="shared" si="25"/>
        <v>0</v>
      </c>
      <c r="J128" s="272">
        <f t="shared" si="26"/>
        <v>8635</v>
      </c>
      <c r="K128" s="272">
        <f t="shared" si="27"/>
        <v>0</v>
      </c>
      <c r="L128" s="272">
        <f t="shared" si="28"/>
        <v>0</v>
      </c>
      <c r="M128" s="272">
        <f t="shared" si="29"/>
        <v>0</v>
      </c>
      <c r="N128" s="272">
        <f t="shared" si="30"/>
        <v>0</v>
      </c>
      <c r="O128" s="273">
        <f t="shared" si="31"/>
        <v>0</v>
      </c>
      <c r="P128" s="274">
        <f t="shared" si="32"/>
        <v>8635</v>
      </c>
    </row>
    <row r="129" spans="1:16" x14ac:dyDescent="0.25">
      <c r="A129" s="171">
        <f t="shared" ref="A129:B129" si="43">A62</f>
        <v>1</v>
      </c>
      <c r="B129" s="314">
        <f t="shared" si="43"/>
        <v>43101</v>
      </c>
      <c r="C129" s="302">
        <f>'A4 Demands'!C48</f>
        <v>0</v>
      </c>
      <c r="D129" s="303">
        <f>'A4 Demands'!K48</f>
        <v>0</v>
      </c>
      <c r="E129" s="304">
        <f t="shared" si="22"/>
        <v>0</v>
      </c>
      <c r="F129" s="156">
        <f t="shared" si="23"/>
        <v>0</v>
      </c>
      <c r="G129" s="305">
        <f>IF(B129&lt;EffectiveWithPILON,VLOOKUP(A129,'A1 Contract'!$A$44:$I$53,7,FALSE),VLOOKUP(A129,'A1 Contract'!$A$44:$I$53,4,FALSE))</f>
        <v>1</v>
      </c>
      <c r="H129" s="271">
        <f t="shared" si="24"/>
        <v>0</v>
      </c>
      <c r="I129" s="272">
        <f t="shared" si="25"/>
        <v>0</v>
      </c>
      <c r="J129" s="272">
        <f t="shared" si="26"/>
        <v>8635</v>
      </c>
      <c r="K129" s="272">
        <f t="shared" si="27"/>
        <v>0</v>
      </c>
      <c r="L129" s="272">
        <f t="shared" si="28"/>
        <v>0</v>
      </c>
      <c r="M129" s="272">
        <f t="shared" si="29"/>
        <v>0</v>
      </c>
      <c r="N129" s="272">
        <f t="shared" si="30"/>
        <v>0</v>
      </c>
      <c r="O129" s="273">
        <f t="shared" si="31"/>
        <v>0</v>
      </c>
      <c r="P129" s="274">
        <f t="shared" si="32"/>
        <v>8635</v>
      </c>
    </row>
    <row r="130" spans="1:16" x14ac:dyDescent="0.25">
      <c r="A130" s="171">
        <f t="shared" ref="A130:B130" si="44">A63</f>
        <v>1</v>
      </c>
      <c r="B130" s="314">
        <f t="shared" si="44"/>
        <v>43132</v>
      </c>
      <c r="C130" s="302">
        <f>'A4 Demands'!C49</f>
        <v>0</v>
      </c>
      <c r="D130" s="303">
        <f>'A4 Demands'!K49</f>
        <v>0</v>
      </c>
      <c r="E130" s="304">
        <f t="shared" si="22"/>
        <v>0</v>
      </c>
      <c r="F130" s="156">
        <f t="shared" si="23"/>
        <v>0</v>
      </c>
      <c r="G130" s="305">
        <f>IF(B130&lt;EffectiveWithPILON,VLOOKUP(A130,'A1 Contract'!$A$44:$I$53,7,FALSE),VLOOKUP(A130,'A1 Contract'!$A$44:$I$53,4,FALSE))</f>
        <v>1</v>
      </c>
      <c r="H130" s="271">
        <f t="shared" si="24"/>
        <v>0</v>
      </c>
      <c r="I130" s="272">
        <f t="shared" si="25"/>
        <v>0</v>
      </c>
      <c r="J130" s="272">
        <f t="shared" si="26"/>
        <v>8635</v>
      </c>
      <c r="K130" s="272">
        <f t="shared" si="27"/>
        <v>0</v>
      </c>
      <c r="L130" s="272">
        <f t="shared" si="28"/>
        <v>0</v>
      </c>
      <c r="M130" s="272">
        <f t="shared" si="29"/>
        <v>0</v>
      </c>
      <c r="N130" s="272">
        <f t="shared" si="30"/>
        <v>0</v>
      </c>
      <c r="O130" s="273">
        <f t="shared" si="31"/>
        <v>0</v>
      </c>
      <c r="P130" s="274">
        <f t="shared" si="32"/>
        <v>8635</v>
      </c>
    </row>
    <row r="131" spans="1:16" x14ac:dyDescent="0.25">
      <c r="A131" s="171">
        <f t="shared" ref="A131:B131" si="45">A64</f>
        <v>1</v>
      </c>
      <c r="B131" s="314">
        <f t="shared" si="45"/>
        <v>43160</v>
      </c>
      <c r="C131" s="302">
        <f>'A4 Demands'!C50</f>
        <v>0</v>
      </c>
      <c r="D131" s="303">
        <f>'A4 Demands'!K50</f>
        <v>0</v>
      </c>
      <c r="E131" s="304">
        <f t="shared" si="22"/>
        <v>0</v>
      </c>
      <c r="F131" s="156">
        <f t="shared" si="23"/>
        <v>0</v>
      </c>
      <c r="G131" s="305">
        <f>IF(B131&lt;EffectiveWithPILON,VLOOKUP(A131,'A1 Contract'!$A$44:$I$53,7,FALSE),VLOOKUP(A131,'A1 Contract'!$A$44:$I$53,4,FALSE))</f>
        <v>1</v>
      </c>
      <c r="H131" s="271">
        <f t="shared" si="24"/>
        <v>0</v>
      </c>
      <c r="I131" s="272">
        <f t="shared" si="25"/>
        <v>0</v>
      </c>
      <c r="J131" s="272">
        <f t="shared" si="26"/>
        <v>8635</v>
      </c>
      <c r="K131" s="272">
        <f t="shared" si="27"/>
        <v>0</v>
      </c>
      <c r="L131" s="272">
        <f t="shared" si="28"/>
        <v>0</v>
      </c>
      <c r="M131" s="272">
        <f t="shared" si="29"/>
        <v>0</v>
      </c>
      <c r="N131" s="272">
        <f t="shared" si="30"/>
        <v>0</v>
      </c>
      <c r="O131" s="273">
        <f t="shared" si="31"/>
        <v>0</v>
      </c>
      <c r="P131" s="274">
        <f t="shared" si="32"/>
        <v>8635</v>
      </c>
    </row>
    <row r="132" spans="1:16" x14ac:dyDescent="0.25">
      <c r="A132" s="171">
        <f t="shared" ref="A132:B132" si="46">A65</f>
        <v>1</v>
      </c>
      <c r="B132" s="314">
        <f t="shared" si="46"/>
        <v>43191</v>
      </c>
      <c r="C132" s="302">
        <f>'A4 Demands'!C51</f>
        <v>0</v>
      </c>
      <c r="D132" s="303">
        <f>'A4 Demands'!K51</f>
        <v>0</v>
      </c>
      <c r="E132" s="304">
        <f t="shared" si="22"/>
        <v>0</v>
      </c>
      <c r="F132" s="156">
        <f t="shared" si="23"/>
        <v>0</v>
      </c>
      <c r="G132" s="305">
        <f>IF(B132&lt;EffectiveWithPILON,VLOOKUP(A132,'A1 Contract'!$A$44:$I$53,7,FALSE),VLOOKUP(A132,'A1 Contract'!$A$44:$I$53,4,FALSE))</f>
        <v>1</v>
      </c>
      <c r="H132" s="271">
        <f t="shared" si="24"/>
        <v>0</v>
      </c>
      <c r="I132" s="272">
        <f t="shared" si="25"/>
        <v>0</v>
      </c>
      <c r="J132" s="272">
        <f t="shared" si="26"/>
        <v>8635</v>
      </c>
      <c r="K132" s="272">
        <f t="shared" si="27"/>
        <v>0</v>
      </c>
      <c r="L132" s="272">
        <f t="shared" si="28"/>
        <v>0</v>
      </c>
      <c r="M132" s="272">
        <f t="shared" si="29"/>
        <v>0</v>
      </c>
      <c r="N132" s="272">
        <f t="shared" si="30"/>
        <v>0</v>
      </c>
      <c r="O132" s="273">
        <f t="shared" si="31"/>
        <v>0</v>
      </c>
      <c r="P132" s="274">
        <f t="shared" si="32"/>
        <v>8635</v>
      </c>
    </row>
    <row r="133" spans="1:16" x14ac:dyDescent="0.25">
      <c r="A133" s="171">
        <f t="shared" ref="A133:B133" si="47">A66</f>
        <v>1</v>
      </c>
      <c r="B133" s="314">
        <f t="shared" si="47"/>
        <v>43221</v>
      </c>
      <c r="C133" s="302">
        <f>'A4 Demands'!C52</f>
        <v>0</v>
      </c>
      <c r="D133" s="303">
        <f>'A4 Demands'!K52</f>
        <v>0</v>
      </c>
      <c r="E133" s="304">
        <f t="shared" si="22"/>
        <v>0</v>
      </c>
      <c r="F133" s="156">
        <f t="shared" si="23"/>
        <v>0</v>
      </c>
      <c r="G133" s="305">
        <f>IF(B133&lt;EffectiveWithPILON,VLOOKUP(A133,'A1 Contract'!$A$44:$I$53,7,FALSE),VLOOKUP(A133,'A1 Contract'!$A$44:$I$53,4,FALSE))</f>
        <v>1</v>
      </c>
      <c r="H133" s="271">
        <f t="shared" si="24"/>
        <v>0</v>
      </c>
      <c r="I133" s="272">
        <f t="shared" si="25"/>
        <v>0</v>
      </c>
      <c r="J133" s="272">
        <f t="shared" si="26"/>
        <v>8635</v>
      </c>
      <c r="K133" s="272">
        <f t="shared" si="27"/>
        <v>0</v>
      </c>
      <c r="L133" s="272">
        <f t="shared" si="28"/>
        <v>0</v>
      </c>
      <c r="M133" s="272">
        <f t="shared" si="29"/>
        <v>0</v>
      </c>
      <c r="N133" s="272">
        <f t="shared" si="30"/>
        <v>0</v>
      </c>
      <c r="O133" s="273">
        <f t="shared" si="31"/>
        <v>0</v>
      </c>
      <c r="P133" s="274">
        <f t="shared" si="32"/>
        <v>8635</v>
      </c>
    </row>
    <row r="134" spans="1:16" x14ac:dyDescent="0.25">
      <c r="A134" s="171">
        <f t="shared" ref="A134:B134" si="48">A67</f>
        <v>1</v>
      </c>
      <c r="B134" s="314">
        <f t="shared" si="48"/>
        <v>43252</v>
      </c>
      <c r="C134" s="302">
        <f>'A4 Demands'!C53</f>
        <v>0</v>
      </c>
      <c r="D134" s="303">
        <f>'A4 Demands'!K53</f>
        <v>0</v>
      </c>
      <c r="E134" s="304">
        <f t="shared" si="22"/>
        <v>0</v>
      </c>
      <c r="F134" s="156">
        <f t="shared" si="23"/>
        <v>0</v>
      </c>
      <c r="G134" s="305">
        <f>IF(B134&lt;EffectiveWithPILON,VLOOKUP(A134,'A1 Contract'!$A$44:$I$53,7,FALSE),VLOOKUP(A134,'A1 Contract'!$A$44:$I$53,4,FALSE))</f>
        <v>1</v>
      </c>
      <c r="H134" s="271">
        <f t="shared" si="24"/>
        <v>0</v>
      </c>
      <c r="I134" s="272">
        <f t="shared" si="25"/>
        <v>0</v>
      </c>
      <c r="J134" s="272">
        <f t="shared" si="26"/>
        <v>8635</v>
      </c>
      <c r="K134" s="272">
        <f t="shared" si="27"/>
        <v>0</v>
      </c>
      <c r="L134" s="272">
        <f t="shared" si="28"/>
        <v>0</v>
      </c>
      <c r="M134" s="272">
        <f t="shared" si="29"/>
        <v>0</v>
      </c>
      <c r="N134" s="272">
        <f t="shared" si="30"/>
        <v>0</v>
      </c>
      <c r="O134" s="273">
        <f t="shared" si="31"/>
        <v>0</v>
      </c>
      <c r="P134" s="274">
        <f t="shared" si="32"/>
        <v>8635</v>
      </c>
    </row>
    <row r="135" spans="1:16" x14ac:dyDescent="0.25">
      <c r="A135" s="171">
        <f t="shared" ref="A135:B135" si="49">A68</f>
        <v>1</v>
      </c>
      <c r="B135" s="314">
        <f t="shared" si="49"/>
        <v>43282</v>
      </c>
      <c r="C135" s="302">
        <f>'A4 Demands'!C54</f>
        <v>0</v>
      </c>
      <c r="D135" s="303">
        <f>'A4 Demands'!K54</f>
        <v>0</v>
      </c>
      <c r="E135" s="304">
        <f t="shared" si="22"/>
        <v>0</v>
      </c>
      <c r="F135" s="156">
        <f t="shared" si="23"/>
        <v>0</v>
      </c>
      <c r="G135" s="305">
        <f>IF(B135&lt;EffectiveWithPILON,VLOOKUP(A135,'A1 Contract'!$A$44:$I$53,7,FALSE),VLOOKUP(A135,'A1 Contract'!$A$44:$I$53,4,FALSE))</f>
        <v>1</v>
      </c>
      <c r="H135" s="271">
        <f t="shared" si="24"/>
        <v>0</v>
      </c>
      <c r="I135" s="272">
        <f t="shared" si="25"/>
        <v>0</v>
      </c>
      <c r="J135" s="272">
        <f t="shared" si="26"/>
        <v>8635</v>
      </c>
      <c r="K135" s="272">
        <f t="shared" si="27"/>
        <v>0</v>
      </c>
      <c r="L135" s="272">
        <f t="shared" si="28"/>
        <v>0</v>
      </c>
      <c r="M135" s="272">
        <f t="shared" si="29"/>
        <v>0</v>
      </c>
      <c r="N135" s="272">
        <f t="shared" si="30"/>
        <v>0</v>
      </c>
      <c r="O135" s="273">
        <f t="shared" si="31"/>
        <v>0</v>
      </c>
      <c r="P135" s="274">
        <f t="shared" si="32"/>
        <v>8635</v>
      </c>
    </row>
    <row r="136" spans="1:16" x14ac:dyDescent="0.25">
      <c r="A136" s="171">
        <f t="shared" ref="A136:B136" si="50">A69</f>
        <v>1</v>
      </c>
      <c r="B136" s="314">
        <f t="shared" si="50"/>
        <v>43313</v>
      </c>
      <c r="C136" s="302">
        <f>'A4 Demands'!C55</f>
        <v>0</v>
      </c>
      <c r="D136" s="303">
        <f>'A4 Demands'!K55</f>
        <v>0</v>
      </c>
      <c r="E136" s="304">
        <f t="shared" si="22"/>
        <v>0</v>
      </c>
      <c r="F136" s="156">
        <f t="shared" si="23"/>
        <v>0</v>
      </c>
      <c r="G136" s="305">
        <f>IF(B136&lt;EffectiveWithPILON,VLOOKUP(A136,'A1 Contract'!$A$44:$I$53,7,FALSE),VLOOKUP(A136,'A1 Contract'!$A$44:$I$53,4,FALSE))</f>
        <v>1</v>
      </c>
      <c r="H136" s="271">
        <f t="shared" si="24"/>
        <v>0</v>
      </c>
      <c r="I136" s="272">
        <f t="shared" si="25"/>
        <v>0</v>
      </c>
      <c r="J136" s="272">
        <f t="shared" si="26"/>
        <v>8635</v>
      </c>
      <c r="K136" s="272">
        <f t="shared" si="27"/>
        <v>0</v>
      </c>
      <c r="L136" s="272">
        <f t="shared" si="28"/>
        <v>0</v>
      </c>
      <c r="M136" s="272">
        <f t="shared" si="29"/>
        <v>0</v>
      </c>
      <c r="N136" s="272">
        <f t="shared" si="30"/>
        <v>0</v>
      </c>
      <c r="O136" s="273">
        <f t="shared" si="31"/>
        <v>0</v>
      </c>
      <c r="P136" s="274">
        <f t="shared" si="32"/>
        <v>8635</v>
      </c>
    </row>
    <row r="137" spans="1:16" x14ac:dyDescent="0.25">
      <c r="A137" s="171">
        <f t="shared" ref="A137:B137" si="51">A70</f>
        <v>1</v>
      </c>
      <c r="B137" s="314">
        <f t="shared" si="51"/>
        <v>43344</v>
      </c>
      <c r="C137" s="302">
        <f>'A4 Demands'!C56</f>
        <v>0</v>
      </c>
      <c r="D137" s="303">
        <f>'A4 Demands'!K56</f>
        <v>0</v>
      </c>
      <c r="E137" s="304">
        <f t="shared" si="22"/>
        <v>0</v>
      </c>
      <c r="F137" s="156">
        <f t="shared" si="23"/>
        <v>0</v>
      </c>
      <c r="G137" s="305">
        <f>IF(B137&lt;EffectiveWithPILON,VLOOKUP(A137,'A1 Contract'!$A$44:$I$53,7,FALSE),VLOOKUP(A137,'A1 Contract'!$A$44:$I$53,4,FALSE))</f>
        <v>1</v>
      </c>
      <c r="H137" s="271">
        <f t="shared" si="24"/>
        <v>0</v>
      </c>
      <c r="I137" s="272">
        <f t="shared" si="25"/>
        <v>0</v>
      </c>
      <c r="J137" s="272">
        <f t="shared" si="26"/>
        <v>8635</v>
      </c>
      <c r="K137" s="272">
        <f t="shared" si="27"/>
        <v>0</v>
      </c>
      <c r="L137" s="272">
        <f t="shared" si="28"/>
        <v>0</v>
      </c>
      <c r="M137" s="272">
        <f t="shared" si="29"/>
        <v>0</v>
      </c>
      <c r="N137" s="272">
        <f t="shared" si="30"/>
        <v>0</v>
      </c>
      <c r="O137" s="273">
        <f t="shared" si="31"/>
        <v>0</v>
      </c>
      <c r="P137" s="274">
        <f t="shared" si="32"/>
        <v>8635</v>
      </c>
    </row>
    <row r="138" spans="1:16" x14ac:dyDescent="0.25">
      <c r="A138" s="171">
        <f t="shared" ref="A138:B138" si="52">A71</f>
        <v>1</v>
      </c>
      <c r="B138" s="314">
        <f t="shared" si="52"/>
        <v>43374</v>
      </c>
      <c r="C138" s="302">
        <f>'A4 Demands'!C57</f>
        <v>0</v>
      </c>
      <c r="D138" s="303">
        <f>'A4 Demands'!K57</f>
        <v>0</v>
      </c>
      <c r="E138" s="304">
        <f t="shared" si="22"/>
        <v>0</v>
      </c>
      <c r="F138" s="156">
        <f t="shared" si="23"/>
        <v>0</v>
      </c>
      <c r="G138" s="305">
        <f>IF(B138&lt;EffectiveWithPILON,VLOOKUP(A138,'A1 Contract'!$A$44:$I$53,7,FALSE),VLOOKUP(A138,'A1 Contract'!$A$44:$I$53,4,FALSE))</f>
        <v>1</v>
      </c>
      <c r="H138" s="271">
        <f t="shared" si="24"/>
        <v>0</v>
      </c>
      <c r="I138" s="272">
        <f t="shared" si="25"/>
        <v>0</v>
      </c>
      <c r="J138" s="272">
        <f t="shared" si="26"/>
        <v>8635</v>
      </c>
      <c r="K138" s="272">
        <f t="shared" si="27"/>
        <v>0</v>
      </c>
      <c r="L138" s="272">
        <f t="shared" si="28"/>
        <v>0</v>
      </c>
      <c r="M138" s="272">
        <f t="shared" si="29"/>
        <v>0</v>
      </c>
      <c r="N138" s="272">
        <f t="shared" si="30"/>
        <v>0</v>
      </c>
      <c r="O138" s="273">
        <f t="shared" si="31"/>
        <v>0</v>
      </c>
      <c r="P138" s="274">
        <f t="shared" si="32"/>
        <v>8635</v>
      </c>
    </row>
    <row r="139" spans="1:16" x14ac:dyDescent="0.25">
      <c r="A139" s="171">
        <f t="shared" ref="A139:B139" si="53">A72</f>
        <v>1</v>
      </c>
      <c r="B139" s="314">
        <f t="shared" si="53"/>
        <v>43405</v>
      </c>
      <c r="C139" s="302">
        <f>'A4 Demands'!C58</f>
        <v>0</v>
      </c>
      <c r="D139" s="303">
        <f>'A4 Demands'!K58</f>
        <v>0</v>
      </c>
      <c r="E139" s="304">
        <f t="shared" si="22"/>
        <v>0</v>
      </c>
      <c r="F139" s="156">
        <f t="shared" si="23"/>
        <v>0</v>
      </c>
      <c r="G139" s="305">
        <f>IF(B139&lt;EffectiveWithPILON,VLOOKUP(A139,'A1 Contract'!$A$44:$I$53,7,FALSE),VLOOKUP(A139,'A1 Contract'!$A$44:$I$53,4,FALSE))</f>
        <v>1</v>
      </c>
      <c r="H139" s="271">
        <f t="shared" si="24"/>
        <v>0</v>
      </c>
      <c r="I139" s="272">
        <f t="shared" si="25"/>
        <v>0</v>
      </c>
      <c r="J139" s="272">
        <f t="shared" si="26"/>
        <v>8635</v>
      </c>
      <c r="K139" s="272">
        <f t="shared" si="27"/>
        <v>0</v>
      </c>
      <c r="L139" s="272">
        <f t="shared" si="28"/>
        <v>0</v>
      </c>
      <c r="M139" s="272">
        <f t="shared" si="29"/>
        <v>0</v>
      </c>
      <c r="N139" s="272">
        <f t="shared" si="30"/>
        <v>0</v>
      </c>
      <c r="O139" s="273">
        <f t="shared" si="31"/>
        <v>0</v>
      </c>
      <c r="P139" s="274">
        <f t="shared" si="32"/>
        <v>8635</v>
      </c>
    </row>
    <row r="140" spans="1:16" x14ac:dyDescent="0.25">
      <c r="A140" s="171">
        <f t="shared" ref="A140:B140" si="54">A73</f>
        <v>1</v>
      </c>
      <c r="B140" s="314">
        <f t="shared" si="54"/>
        <v>43435</v>
      </c>
      <c r="C140" s="302">
        <f>'A4 Demands'!C59</f>
        <v>0</v>
      </c>
      <c r="D140" s="303">
        <f>'A4 Demands'!K59</f>
        <v>0</v>
      </c>
      <c r="E140" s="304">
        <f t="shared" si="22"/>
        <v>0</v>
      </c>
      <c r="F140" s="156">
        <f t="shared" si="23"/>
        <v>0</v>
      </c>
      <c r="G140" s="305">
        <f>IF(B140&lt;EffectiveWithPILON,VLOOKUP(A140,'A1 Contract'!$A$44:$I$53,7,FALSE),VLOOKUP(A140,'A1 Contract'!$A$44:$I$53,4,FALSE))</f>
        <v>1</v>
      </c>
      <c r="H140" s="271">
        <f t="shared" si="24"/>
        <v>0</v>
      </c>
      <c r="I140" s="272">
        <f t="shared" si="25"/>
        <v>0</v>
      </c>
      <c r="J140" s="272">
        <f t="shared" si="26"/>
        <v>8635</v>
      </c>
      <c r="K140" s="272">
        <f t="shared" si="27"/>
        <v>0</v>
      </c>
      <c r="L140" s="272">
        <f t="shared" si="28"/>
        <v>0</v>
      </c>
      <c r="M140" s="272">
        <f t="shared" si="29"/>
        <v>0</v>
      </c>
      <c r="N140" s="272">
        <f t="shared" si="30"/>
        <v>0</v>
      </c>
      <c r="O140" s="273">
        <f t="shared" si="31"/>
        <v>0</v>
      </c>
      <c r="P140" s="274">
        <f t="shared" si="32"/>
        <v>8635</v>
      </c>
    </row>
    <row r="141" spans="1:16" x14ac:dyDescent="0.25">
      <c r="A141" s="171">
        <f t="shared" ref="A141:B141" si="55">A74</f>
        <v>1</v>
      </c>
      <c r="B141" s="314">
        <f t="shared" si="55"/>
        <v>43466</v>
      </c>
      <c r="C141" s="302">
        <f>'A4 Demands'!C60</f>
        <v>0</v>
      </c>
      <c r="D141" s="303">
        <f>'A4 Demands'!K60</f>
        <v>0</v>
      </c>
      <c r="E141" s="304">
        <f t="shared" si="22"/>
        <v>0</v>
      </c>
      <c r="F141" s="156">
        <f t="shared" si="23"/>
        <v>0</v>
      </c>
      <c r="G141" s="305">
        <f>IF(B141&lt;EffectiveWithPILON,VLOOKUP(A141,'A1 Contract'!$A$44:$I$53,7,FALSE),VLOOKUP(A141,'A1 Contract'!$A$44:$I$53,4,FALSE))</f>
        <v>1</v>
      </c>
      <c r="H141" s="271">
        <f t="shared" si="24"/>
        <v>0</v>
      </c>
      <c r="I141" s="272">
        <f t="shared" si="25"/>
        <v>0</v>
      </c>
      <c r="J141" s="272">
        <f t="shared" si="26"/>
        <v>8635</v>
      </c>
      <c r="K141" s="272">
        <f t="shared" si="27"/>
        <v>0</v>
      </c>
      <c r="L141" s="272">
        <f t="shared" si="28"/>
        <v>0</v>
      </c>
      <c r="M141" s="272">
        <f t="shared" si="29"/>
        <v>0</v>
      </c>
      <c r="N141" s="272">
        <f t="shared" si="30"/>
        <v>0</v>
      </c>
      <c r="O141" s="273">
        <f t="shared" si="31"/>
        <v>0</v>
      </c>
      <c r="P141" s="274">
        <f t="shared" si="32"/>
        <v>8635</v>
      </c>
    </row>
    <row r="142" spans="1:16" x14ac:dyDescent="0.25">
      <c r="A142" s="171">
        <f t="shared" ref="A142:B142" si="56">A75</f>
        <v>1</v>
      </c>
      <c r="B142" s="314">
        <f t="shared" si="56"/>
        <v>43497</v>
      </c>
      <c r="C142" s="302">
        <f>'A4 Demands'!C61</f>
        <v>0</v>
      </c>
      <c r="D142" s="303">
        <f>'A4 Demands'!K61</f>
        <v>0</v>
      </c>
      <c r="E142" s="304">
        <f t="shared" si="22"/>
        <v>0</v>
      </c>
      <c r="F142" s="156">
        <f t="shared" si="23"/>
        <v>0</v>
      </c>
      <c r="G142" s="305">
        <f>IF(B142&lt;EffectiveWithPILON,VLOOKUP(A142,'A1 Contract'!$A$44:$I$53,7,FALSE),VLOOKUP(A142,'A1 Contract'!$A$44:$I$53,4,FALSE))</f>
        <v>1</v>
      </c>
      <c r="H142" s="271">
        <f t="shared" si="24"/>
        <v>0</v>
      </c>
      <c r="I142" s="272">
        <f t="shared" si="25"/>
        <v>0</v>
      </c>
      <c r="J142" s="272">
        <f t="shared" si="26"/>
        <v>8635</v>
      </c>
      <c r="K142" s="272">
        <f t="shared" si="27"/>
        <v>0</v>
      </c>
      <c r="L142" s="272">
        <f t="shared" si="28"/>
        <v>0</v>
      </c>
      <c r="M142" s="272">
        <f t="shared" si="29"/>
        <v>0</v>
      </c>
      <c r="N142" s="272">
        <f t="shared" si="30"/>
        <v>0</v>
      </c>
      <c r="O142" s="273">
        <f t="shared" si="31"/>
        <v>0</v>
      </c>
      <c r="P142" s="274">
        <f t="shared" si="32"/>
        <v>8635</v>
      </c>
    </row>
    <row r="143" spans="1:16" x14ac:dyDescent="0.25">
      <c r="A143" s="171">
        <f t="shared" ref="A143:B143" si="57">A76</f>
        <v>1</v>
      </c>
      <c r="B143" s="314">
        <f t="shared" si="57"/>
        <v>43525</v>
      </c>
      <c r="C143" s="302">
        <f>'A4 Demands'!C62</f>
        <v>0</v>
      </c>
      <c r="D143" s="303">
        <f>'A4 Demands'!K62</f>
        <v>0</v>
      </c>
      <c r="E143" s="304">
        <f t="shared" si="22"/>
        <v>0</v>
      </c>
      <c r="F143" s="156">
        <f t="shared" si="23"/>
        <v>0</v>
      </c>
      <c r="G143" s="305">
        <f>IF(B143&lt;EffectiveWithPILON,VLOOKUP(A143,'A1 Contract'!$A$44:$I$53,7,FALSE),VLOOKUP(A143,'A1 Contract'!$A$44:$I$53,4,FALSE))</f>
        <v>1</v>
      </c>
      <c r="H143" s="271">
        <f t="shared" si="24"/>
        <v>0</v>
      </c>
      <c r="I143" s="272">
        <f t="shared" si="25"/>
        <v>0</v>
      </c>
      <c r="J143" s="272">
        <f t="shared" si="26"/>
        <v>8635</v>
      </c>
      <c r="K143" s="272">
        <f t="shared" si="27"/>
        <v>0</v>
      </c>
      <c r="L143" s="272">
        <f t="shared" si="28"/>
        <v>0</v>
      </c>
      <c r="M143" s="272">
        <f t="shared" si="29"/>
        <v>0</v>
      </c>
      <c r="N143" s="272">
        <f t="shared" si="30"/>
        <v>0</v>
      </c>
      <c r="O143" s="273">
        <f t="shared" si="31"/>
        <v>0</v>
      </c>
      <c r="P143" s="274">
        <f t="shared" si="32"/>
        <v>8635</v>
      </c>
    </row>
    <row r="144" spans="1:16" x14ac:dyDescent="0.25">
      <c r="A144" s="171">
        <f t="shared" ref="A144:B144" si="58">A77</f>
        <v>1</v>
      </c>
      <c r="B144" s="314">
        <f t="shared" si="58"/>
        <v>43556</v>
      </c>
      <c r="C144" s="302">
        <f>'A4 Demands'!C63</f>
        <v>0</v>
      </c>
      <c r="D144" s="303">
        <f>'A4 Demands'!K63</f>
        <v>0</v>
      </c>
      <c r="E144" s="304">
        <f t="shared" si="22"/>
        <v>0</v>
      </c>
      <c r="F144" s="156">
        <f t="shared" si="23"/>
        <v>0</v>
      </c>
      <c r="G144" s="305">
        <f>IF(B144&lt;EffectiveWithPILON,VLOOKUP(A144,'A1 Contract'!$A$44:$I$53,7,FALSE),VLOOKUP(A144,'A1 Contract'!$A$44:$I$53,4,FALSE))</f>
        <v>1</v>
      </c>
      <c r="H144" s="271">
        <f t="shared" si="24"/>
        <v>0</v>
      </c>
      <c r="I144" s="272">
        <f t="shared" si="25"/>
        <v>0</v>
      </c>
      <c r="J144" s="272">
        <f t="shared" si="26"/>
        <v>8635</v>
      </c>
      <c r="K144" s="272">
        <f t="shared" si="27"/>
        <v>0</v>
      </c>
      <c r="L144" s="272">
        <f t="shared" si="28"/>
        <v>0</v>
      </c>
      <c r="M144" s="272">
        <f t="shared" si="29"/>
        <v>0</v>
      </c>
      <c r="N144" s="272">
        <f t="shared" si="30"/>
        <v>0</v>
      </c>
      <c r="O144" s="273">
        <f t="shared" si="31"/>
        <v>0</v>
      </c>
      <c r="P144" s="274">
        <f t="shared" si="32"/>
        <v>8635</v>
      </c>
    </row>
    <row r="145" spans="1:16" x14ac:dyDescent="0.25">
      <c r="A145" s="171">
        <f t="shared" ref="A145:B145" si="59">A78</f>
        <v>1</v>
      </c>
      <c r="B145" s="314">
        <f t="shared" si="59"/>
        <v>43586</v>
      </c>
      <c r="C145" s="302">
        <f>'A4 Demands'!C64</f>
        <v>0</v>
      </c>
      <c r="D145" s="303">
        <f>'A4 Demands'!K64</f>
        <v>0</v>
      </c>
      <c r="E145" s="304">
        <f t="shared" si="22"/>
        <v>0</v>
      </c>
      <c r="F145" s="156">
        <f t="shared" si="23"/>
        <v>0</v>
      </c>
      <c r="G145" s="305">
        <f>IF(B145&lt;EffectiveWithPILON,VLOOKUP(A145,'A1 Contract'!$A$44:$I$53,7,FALSE),VLOOKUP(A145,'A1 Contract'!$A$44:$I$53,4,FALSE))</f>
        <v>1</v>
      </c>
      <c r="H145" s="271">
        <f t="shared" si="24"/>
        <v>0</v>
      </c>
      <c r="I145" s="272">
        <f t="shared" si="25"/>
        <v>0</v>
      </c>
      <c r="J145" s="272">
        <f t="shared" si="26"/>
        <v>8635</v>
      </c>
      <c r="K145" s="272">
        <f t="shared" si="27"/>
        <v>0</v>
      </c>
      <c r="L145" s="272">
        <f t="shared" si="28"/>
        <v>0</v>
      </c>
      <c r="M145" s="272">
        <f t="shared" si="29"/>
        <v>0</v>
      </c>
      <c r="N145" s="272">
        <f t="shared" si="30"/>
        <v>0</v>
      </c>
      <c r="O145" s="273">
        <f t="shared" si="31"/>
        <v>0</v>
      </c>
      <c r="P145" s="274">
        <f t="shared" si="32"/>
        <v>8635</v>
      </c>
    </row>
    <row r="146" spans="1:16" x14ac:dyDescent="0.25">
      <c r="A146" s="171">
        <f t="shared" ref="A146:B146" si="60">A79</f>
        <v>1</v>
      </c>
      <c r="B146" s="314">
        <f t="shared" si="60"/>
        <v>43617</v>
      </c>
      <c r="C146" s="302">
        <f>'A4 Demands'!C65</f>
        <v>0</v>
      </c>
      <c r="D146" s="303">
        <f>'A4 Demands'!K65</f>
        <v>0</v>
      </c>
      <c r="E146" s="304">
        <f t="shared" si="22"/>
        <v>0</v>
      </c>
      <c r="F146" s="156">
        <f t="shared" si="23"/>
        <v>0</v>
      </c>
      <c r="G146" s="305">
        <f>IF(B146&lt;EffectiveWithPILON,VLOOKUP(A146,'A1 Contract'!$A$44:$I$53,7,FALSE),VLOOKUP(A146,'A1 Contract'!$A$44:$I$53,4,FALSE))</f>
        <v>1</v>
      </c>
      <c r="H146" s="271">
        <f t="shared" si="24"/>
        <v>0</v>
      </c>
      <c r="I146" s="272">
        <f t="shared" si="25"/>
        <v>0</v>
      </c>
      <c r="J146" s="272">
        <f t="shared" si="26"/>
        <v>8635</v>
      </c>
      <c r="K146" s="272">
        <f t="shared" si="27"/>
        <v>0</v>
      </c>
      <c r="L146" s="272">
        <f t="shared" si="28"/>
        <v>0</v>
      </c>
      <c r="M146" s="272">
        <f t="shared" si="29"/>
        <v>0</v>
      </c>
      <c r="N146" s="272">
        <f t="shared" si="30"/>
        <v>0</v>
      </c>
      <c r="O146" s="273">
        <f t="shared" si="31"/>
        <v>0</v>
      </c>
      <c r="P146" s="274">
        <f t="shared" si="32"/>
        <v>8635</v>
      </c>
    </row>
    <row r="147" spans="1:16" x14ac:dyDescent="0.25">
      <c r="A147" s="171">
        <f t="shared" ref="A147:B147" si="61">A80</f>
        <v>1</v>
      </c>
      <c r="B147" s="314">
        <f t="shared" si="61"/>
        <v>43647</v>
      </c>
      <c r="C147" s="302">
        <f>'A4 Demands'!C66</f>
        <v>0</v>
      </c>
      <c r="D147" s="303">
        <f>'A4 Demands'!K66</f>
        <v>0</v>
      </c>
      <c r="E147" s="304">
        <f t="shared" si="22"/>
        <v>0</v>
      </c>
      <c r="F147" s="156">
        <f t="shared" si="23"/>
        <v>0</v>
      </c>
      <c r="G147" s="305">
        <f>IF(B147&lt;EffectiveWithPILON,VLOOKUP(A147,'A1 Contract'!$A$44:$I$53,7,FALSE),VLOOKUP(A147,'A1 Contract'!$A$44:$I$53,4,FALSE))</f>
        <v>1</v>
      </c>
      <c r="H147" s="271">
        <f t="shared" si="24"/>
        <v>0</v>
      </c>
      <c r="I147" s="272">
        <f t="shared" si="25"/>
        <v>0</v>
      </c>
      <c r="J147" s="272">
        <f t="shared" si="26"/>
        <v>8635</v>
      </c>
      <c r="K147" s="272">
        <f t="shared" si="27"/>
        <v>0</v>
      </c>
      <c r="L147" s="272">
        <f t="shared" si="28"/>
        <v>0</v>
      </c>
      <c r="M147" s="272">
        <f t="shared" si="29"/>
        <v>0</v>
      </c>
      <c r="N147" s="272">
        <f t="shared" si="30"/>
        <v>0</v>
      </c>
      <c r="O147" s="273">
        <f t="shared" si="31"/>
        <v>0</v>
      </c>
      <c r="P147" s="274">
        <f t="shared" si="32"/>
        <v>8635</v>
      </c>
    </row>
    <row r="148" spans="1:16" x14ac:dyDescent="0.25">
      <c r="A148" s="171">
        <f t="shared" ref="A148:B148" si="62">A81</f>
        <v>1</v>
      </c>
      <c r="B148" s="314">
        <f t="shared" si="62"/>
        <v>43678</v>
      </c>
      <c r="C148" s="302">
        <f>'A4 Demands'!C67</f>
        <v>0</v>
      </c>
      <c r="D148" s="303">
        <f>'A4 Demands'!K67</f>
        <v>0</v>
      </c>
      <c r="E148" s="304">
        <f t="shared" si="22"/>
        <v>0</v>
      </c>
      <c r="F148" s="156">
        <f t="shared" si="23"/>
        <v>0</v>
      </c>
      <c r="G148" s="305">
        <f>IF(B148&lt;EffectiveWithPILON,VLOOKUP(A148,'A1 Contract'!$A$44:$I$53,7,FALSE),VLOOKUP(A148,'A1 Contract'!$A$44:$I$53,4,FALSE))</f>
        <v>1</v>
      </c>
      <c r="H148" s="271">
        <f t="shared" si="24"/>
        <v>0</v>
      </c>
      <c r="I148" s="272">
        <f t="shared" si="25"/>
        <v>0</v>
      </c>
      <c r="J148" s="272">
        <f t="shared" si="26"/>
        <v>8635</v>
      </c>
      <c r="K148" s="272">
        <f t="shared" si="27"/>
        <v>0</v>
      </c>
      <c r="L148" s="272">
        <f t="shared" si="28"/>
        <v>0</v>
      </c>
      <c r="M148" s="272">
        <f t="shared" si="29"/>
        <v>0</v>
      </c>
      <c r="N148" s="272">
        <f t="shared" si="30"/>
        <v>0</v>
      </c>
      <c r="O148" s="273">
        <f t="shared" si="31"/>
        <v>0</v>
      </c>
      <c r="P148" s="274">
        <f t="shared" si="32"/>
        <v>8635</v>
      </c>
    </row>
    <row r="149" spans="1:16" x14ac:dyDescent="0.25">
      <c r="A149" s="171">
        <f t="shared" ref="A149:B149" si="63">A82</f>
        <v>1</v>
      </c>
      <c r="B149" s="314">
        <f t="shared" si="63"/>
        <v>43709</v>
      </c>
      <c r="C149" s="302">
        <f>'A4 Demands'!C68</f>
        <v>0</v>
      </c>
      <c r="D149" s="303">
        <f>'A4 Demands'!K68</f>
        <v>0</v>
      </c>
      <c r="E149" s="304">
        <f t="shared" si="22"/>
        <v>0</v>
      </c>
      <c r="F149" s="156">
        <f t="shared" si="23"/>
        <v>0</v>
      </c>
      <c r="G149" s="305">
        <f>IF(B149&lt;EffectiveWithPILON,VLOOKUP(A149,'A1 Contract'!$A$44:$I$53,7,FALSE),VLOOKUP(A149,'A1 Contract'!$A$44:$I$53,4,FALSE))</f>
        <v>1</v>
      </c>
      <c r="H149" s="271">
        <f t="shared" si="24"/>
        <v>0</v>
      </c>
      <c r="I149" s="272">
        <f t="shared" si="25"/>
        <v>0</v>
      </c>
      <c r="J149" s="272">
        <f t="shared" si="26"/>
        <v>8635</v>
      </c>
      <c r="K149" s="272">
        <f t="shared" si="27"/>
        <v>0</v>
      </c>
      <c r="L149" s="272">
        <f t="shared" si="28"/>
        <v>0</v>
      </c>
      <c r="M149" s="272">
        <f t="shared" si="29"/>
        <v>0</v>
      </c>
      <c r="N149" s="272">
        <f t="shared" si="30"/>
        <v>0</v>
      </c>
      <c r="O149" s="273">
        <f t="shared" si="31"/>
        <v>0</v>
      </c>
      <c r="P149" s="274">
        <f t="shared" si="32"/>
        <v>8635</v>
      </c>
    </row>
    <row r="150" spans="1:16" x14ac:dyDescent="0.25">
      <c r="A150" s="171">
        <f t="shared" ref="A150:B150" si="64">A83</f>
        <v>1</v>
      </c>
      <c r="B150" s="314">
        <f t="shared" si="64"/>
        <v>43739</v>
      </c>
      <c r="C150" s="302">
        <f>'A4 Demands'!C69</f>
        <v>0</v>
      </c>
      <c r="D150" s="303">
        <f>'A4 Demands'!K69</f>
        <v>0</v>
      </c>
      <c r="E150" s="304">
        <f t="shared" ref="E150:E177" si="65">C150*(DATE(YEAR(B150),MONTH(B150)+1,1)-B150)*24*F$42</f>
        <v>0</v>
      </c>
      <c r="F150" s="156">
        <f t="shared" ref="F150:F177" si="66">C150*F$41</f>
        <v>0</v>
      </c>
      <c r="G150" s="305">
        <f>IF(B150&lt;EffectiveWithPILON,VLOOKUP(A150,'A1 Contract'!$A$44:$I$53,7,FALSE),VLOOKUP(A150,'A1 Contract'!$A$44:$I$53,4,FALSE))</f>
        <v>1</v>
      </c>
      <c r="H150" s="271">
        <f t="shared" ref="H150:H177" si="67">IF(B83&lt;DATE(YEAR(PILONDate),MONTH(PILONDate),1),"",(F150*$E$19)+(E150*$E$20))</f>
        <v>0</v>
      </c>
      <c r="I150" s="272">
        <f t="shared" ref="I150:I177" si="68">IF(B83&lt;DATE(YEAR(PILONDate),MONTH(PILONDate),1),"",(D150*$E$22)+(E150*$E$23))</f>
        <v>0</v>
      </c>
      <c r="J150" s="272">
        <f t="shared" ref="J150:J177" si="69">IF(B83&lt;DATE(YEAR(PILONDate),MONTH(PILONDate),1),"",IF(D150&gt;0,(G150*$E$25)+(MIN(7.5*G150,D150)*$E$26)+(MAX(MIN(9.5*G150,D150-(7.5*G150)),0)*$E$27)+(MAX(MIN(23*G150,D150-(17*G150)),0)*$E$28)+(MAX(D150-(40*G150),0)*$E$29),IF(OR(ReducedOrTerminated="Reduced",B150&lt;EffectiveWithPILON),G150*$E$25,0)))</f>
        <v>8635</v>
      </c>
      <c r="K150" s="272">
        <f t="shared" ref="K150:K177" si="70">IF(B83&lt;DATE(YEAR(PILONDate),MONTH(PILONDate),1),"",E150*$F$31*$F$32)</f>
        <v>0</v>
      </c>
      <c r="L150" s="272">
        <f t="shared" ref="L150:L177" si="71">IF(B83&lt;DATE(YEAR(PILONDate),MONTH(PILONDate),1),"",E150*$F$34)</f>
        <v>0</v>
      </c>
      <c r="M150" s="272">
        <f t="shared" ref="M150:M177" si="72">IF(B83&lt;DATE(YEAR(PILONDate),MONTH(PILONDate),1),"",E150*$F$36)</f>
        <v>0</v>
      </c>
      <c r="N150" s="272">
        <f t="shared" ref="N150:N177" si="73">IF(B83&lt;DATE(YEAR(PILONDate),MONTH(PILONDate),1),"",C150*$F$38)</f>
        <v>0</v>
      </c>
      <c r="O150" s="273">
        <f t="shared" ref="O150:O177" si="74">IF(B83&lt;DATE(YEAR(PILONDate),MONTH(PILONDate),1),"",IF(ReceivePSC="Yes",IF(D150&gt;0,(G150*$G$25)+(MIN(7.5*G150,D150)*$G$26)+(MAX(MIN(9.5*G150,D150-(7.5*G150)),0)*$G$27)+(MAX(MIN(23*G150,D150-(17*G150)),0)*$G$28)+(MAX(D150-(40*G150),0)*$G$29),0),0))</f>
        <v>0</v>
      </c>
      <c r="P150" s="274">
        <f t="shared" ref="P150:P177" si="75">IF(B83&lt;DATE(YEAR(PILONDate),MONTH(PILONDate),1),"",SUM(H150:O150))</f>
        <v>8635</v>
      </c>
    </row>
    <row r="151" spans="1:16" x14ac:dyDescent="0.25">
      <c r="A151" s="171">
        <f t="shared" ref="A151:B151" si="76">A84</f>
        <v>1</v>
      </c>
      <c r="B151" s="314">
        <f t="shared" si="76"/>
        <v>43770</v>
      </c>
      <c r="C151" s="302">
        <f>'A4 Demands'!C70</f>
        <v>0</v>
      </c>
      <c r="D151" s="303">
        <f>'A4 Demands'!K70</f>
        <v>0</v>
      </c>
      <c r="E151" s="304">
        <f t="shared" si="65"/>
        <v>0</v>
      </c>
      <c r="F151" s="156">
        <f t="shared" si="66"/>
        <v>0</v>
      </c>
      <c r="G151" s="305">
        <f>IF(B151&lt;EffectiveWithPILON,VLOOKUP(A151,'A1 Contract'!$A$44:$I$53,7,FALSE),VLOOKUP(A151,'A1 Contract'!$A$44:$I$53,4,FALSE))</f>
        <v>1</v>
      </c>
      <c r="H151" s="271">
        <f t="shared" si="67"/>
        <v>0</v>
      </c>
      <c r="I151" s="272">
        <f t="shared" si="68"/>
        <v>0</v>
      </c>
      <c r="J151" s="272">
        <f t="shared" si="69"/>
        <v>8635</v>
      </c>
      <c r="K151" s="272">
        <f t="shared" si="70"/>
        <v>0</v>
      </c>
      <c r="L151" s="272">
        <f t="shared" si="71"/>
        <v>0</v>
      </c>
      <c r="M151" s="272">
        <f t="shared" si="72"/>
        <v>0</v>
      </c>
      <c r="N151" s="272">
        <f t="shared" si="73"/>
        <v>0</v>
      </c>
      <c r="O151" s="273">
        <f t="shared" si="74"/>
        <v>0</v>
      </c>
      <c r="P151" s="274">
        <f t="shared" si="75"/>
        <v>8635</v>
      </c>
    </row>
    <row r="152" spans="1:16" x14ac:dyDescent="0.25">
      <c r="A152" s="171">
        <f t="shared" ref="A152:B152" si="77">A85</f>
        <v>1</v>
      </c>
      <c r="B152" s="314">
        <f t="shared" si="77"/>
        <v>43800</v>
      </c>
      <c r="C152" s="302">
        <f>'A4 Demands'!C71</f>
        <v>0</v>
      </c>
      <c r="D152" s="303">
        <f>'A4 Demands'!K71</f>
        <v>0</v>
      </c>
      <c r="E152" s="304">
        <f t="shared" si="65"/>
        <v>0</v>
      </c>
      <c r="F152" s="156">
        <f t="shared" si="66"/>
        <v>0</v>
      </c>
      <c r="G152" s="305">
        <f>IF(B152&lt;EffectiveWithPILON,VLOOKUP(A152,'A1 Contract'!$A$44:$I$53,7,FALSE),VLOOKUP(A152,'A1 Contract'!$A$44:$I$53,4,FALSE))</f>
        <v>1</v>
      </c>
      <c r="H152" s="271">
        <f t="shared" si="67"/>
        <v>0</v>
      </c>
      <c r="I152" s="272">
        <f t="shared" si="68"/>
        <v>0</v>
      </c>
      <c r="J152" s="272">
        <f t="shared" si="69"/>
        <v>8635</v>
      </c>
      <c r="K152" s="272">
        <f t="shared" si="70"/>
        <v>0</v>
      </c>
      <c r="L152" s="272">
        <f t="shared" si="71"/>
        <v>0</v>
      </c>
      <c r="M152" s="272">
        <f t="shared" si="72"/>
        <v>0</v>
      </c>
      <c r="N152" s="272">
        <f t="shared" si="73"/>
        <v>0</v>
      </c>
      <c r="O152" s="273">
        <f t="shared" si="74"/>
        <v>0</v>
      </c>
      <c r="P152" s="274">
        <f t="shared" si="75"/>
        <v>8635</v>
      </c>
    </row>
    <row r="153" spans="1:16" x14ac:dyDescent="0.25">
      <c r="A153" s="171">
        <f t="shared" ref="A153:B153" si="78">A86</f>
        <v>1</v>
      </c>
      <c r="B153" s="314">
        <f t="shared" si="78"/>
        <v>43831</v>
      </c>
      <c r="C153" s="302">
        <f>'A4 Demands'!C72</f>
        <v>0</v>
      </c>
      <c r="D153" s="303">
        <f>'A4 Demands'!K72</f>
        <v>0</v>
      </c>
      <c r="E153" s="304">
        <f t="shared" si="65"/>
        <v>0</v>
      </c>
      <c r="F153" s="156">
        <f t="shared" si="66"/>
        <v>0</v>
      </c>
      <c r="G153" s="305">
        <f>IF(B153&lt;EffectiveWithPILON,VLOOKUP(A153,'A1 Contract'!$A$44:$I$53,7,FALSE),VLOOKUP(A153,'A1 Contract'!$A$44:$I$53,4,FALSE))</f>
        <v>1</v>
      </c>
      <c r="H153" s="271">
        <f t="shared" si="67"/>
        <v>0</v>
      </c>
      <c r="I153" s="272">
        <f t="shared" si="68"/>
        <v>0</v>
      </c>
      <c r="J153" s="272">
        <f t="shared" si="69"/>
        <v>8635</v>
      </c>
      <c r="K153" s="272">
        <f t="shared" si="70"/>
        <v>0</v>
      </c>
      <c r="L153" s="272">
        <f t="shared" si="71"/>
        <v>0</v>
      </c>
      <c r="M153" s="272">
        <f t="shared" si="72"/>
        <v>0</v>
      </c>
      <c r="N153" s="272">
        <f t="shared" si="73"/>
        <v>0</v>
      </c>
      <c r="O153" s="273">
        <f t="shared" si="74"/>
        <v>0</v>
      </c>
      <c r="P153" s="274">
        <f t="shared" si="75"/>
        <v>8635</v>
      </c>
    </row>
    <row r="154" spans="1:16" x14ac:dyDescent="0.25">
      <c r="A154" s="171">
        <f t="shared" ref="A154:B154" si="79">A87</f>
        <v>1</v>
      </c>
      <c r="B154" s="314">
        <f t="shared" si="79"/>
        <v>43862</v>
      </c>
      <c r="C154" s="302">
        <f>'A4 Demands'!C73</f>
        <v>0</v>
      </c>
      <c r="D154" s="303">
        <f>'A4 Demands'!K73</f>
        <v>0</v>
      </c>
      <c r="E154" s="304">
        <f t="shared" si="65"/>
        <v>0</v>
      </c>
      <c r="F154" s="156">
        <f t="shared" si="66"/>
        <v>0</v>
      </c>
      <c r="G154" s="305">
        <f>IF(B154&lt;EffectiveWithPILON,VLOOKUP(A154,'A1 Contract'!$A$44:$I$53,7,FALSE),VLOOKUP(A154,'A1 Contract'!$A$44:$I$53,4,FALSE))</f>
        <v>1</v>
      </c>
      <c r="H154" s="271">
        <f t="shared" si="67"/>
        <v>0</v>
      </c>
      <c r="I154" s="272">
        <f t="shared" si="68"/>
        <v>0</v>
      </c>
      <c r="J154" s="272">
        <f t="shared" si="69"/>
        <v>8635</v>
      </c>
      <c r="K154" s="272">
        <f t="shared" si="70"/>
        <v>0</v>
      </c>
      <c r="L154" s="272">
        <f t="shared" si="71"/>
        <v>0</v>
      </c>
      <c r="M154" s="272">
        <f t="shared" si="72"/>
        <v>0</v>
      </c>
      <c r="N154" s="272">
        <f t="shared" si="73"/>
        <v>0</v>
      </c>
      <c r="O154" s="273">
        <f t="shared" si="74"/>
        <v>0</v>
      </c>
      <c r="P154" s="274">
        <f t="shared" si="75"/>
        <v>8635</v>
      </c>
    </row>
    <row r="155" spans="1:16" x14ac:dyDescent="0.25">
      <c r="A155" s="171">
        <f t="shared" ref="A155:B155" si="80">A88</f>
        <v>1</v>
      </c>
      <c r="B155" s="314">
        <f t="shared" si="80"/>
        <v>43891</v>
      </c>
      <c r="C155" s="302">
        <f>'A4 Demands'!C74</f>
        <v>0</v>
      </c>
      <c r="D155" s="303">
        <f>'A4 Demands'!K74</f>
        <v>0</v>
      </c>
      <c r="E155" s="304">
        <f t="shared" si="65"/>
        <v>0</v>
      </c>
      <c r="F155" s="156">
        <f t="shared" si="66"/>
        <v>0</v>
      </c>
      <c r="G155" s="305">
        <f>IF(B155&lt;EffectiveWithPILON,VLOOKUP(A155,'A1 Contract'!$A$44:$I$53,7,FALSE),VLOOKUP(A155,'A1 Contract'!$A$44:$I$53,4,FALSE))</f>
        <v>1</v>
      </c>
      <c r="H155" s="271">
        <f t="shared" si="67"/>
        <v>0</v>
      </c>
      <c r="I155" s="272">
        <f t="shared" si="68"/>
        <v>0</v>
      </c>
      <c r="J155" s="272">
        <f t="shared" si="69"/>
        <v>8635</v>
      </c>
      <c r="K155" s="272">
        <f t="shared" si="70"/>
        <v>0</v>
      </c>
      <c r="L155" s="272">
        <f t="shared" si="71"/>
        <v>0</v>
      </c>
      <c r="M155" s="272">
        <f t="shared" si="72"/>
        <v>0</v>
      </c>
      <c r="N155" s="272">
        <f t="shared" si="73"/>
        <v>0</v>
      </c>
      <c r="O155" s="273">
        <f t="shared" si="74"/>
        <v>0</v>
      </c>
      <c r="P155" s="274">
        <f t="shared" si="75"/>
        <v>8635</v>
      </c>
    </row>
    <row r="156" spans="1:16" x14ac:dyDescent="0.25">
      <c r="A156" s="171">
        <f t="shared" ref="A156:B156" si="81">A89</f>
        <v>1</v>
      </c>
      <c r="B156" s="314">
        <f t="shared" si="81"/>
        <v>43922</v>
      </c>
      <c r="C156" s="302">
        <f>'A4 Demands'!C75</f>
        <v>0</v>
      </c>
      <c r="D156" s="303">
        <f>'A4 Demands'!K75</f>
        <v>0</v>
      </c>
      <c r="E156" s="304">
        <f t="shared" si="65"/>
        <v>0</v>
      </c>
      <c r="F156" s="156">
        <f t="shared" si="66"/>
        <v>0</v>
      </c>
      <c r="G156" s="305">
        <f>IF(B156&lt;EffectiveWithPILON,VLOOKUP(A156,'A1 Contract'!$A$44:$I$53,7,FALSE),VLOOKUP(A156,'A1 Contract'!$A$44:$I$53,4,FALSE))</f>
        <v>1</v>
      </c>
      <c r="H156" s="271">
        <f t="shared" si="67"/>
        <v>0</v>
      </c>
      <c r="I156" s="272">
        <f t="shared" si="68"/>
        <v>0</v>
      </c>
      <c r="J156" s="272">
        <f t="shared" si="69"/>
        <v>8635</v>
      </c>
      <c r="K156" s="272">
        <f t="shared" si="70"/>
        <v>0</v>
      </c>
      <c r="L156" s="272">
        <f t="shared" si="71"/>
        <v>0</v>
      </c>
      <c r="M156" s="272">
        <f t="shared" si="72"/>
        <v>0</v>
      </c>
      <c r="N156" s="272">
        <f t="shared" si="73"/>
        <v>0</v>
      </c>
      <c r="O156" s="273">
        <f t="shared" si="74"/>
        <v>0</v>
      </c>
      <c r="P156" s="274">
        <f t="shared" si="75"/>
        <v>8635</v>
      </c>
    </row>
    <row r="157" spans="1:16" x14ac:dyDescent="0.25">
      <c r="A157" s="171">
        <f t="shared" ref="A157:B157" si="82">A90</f>
        <v>1</v>
      </c>
      <c r="B157" s="314">
        <f t="shared" si="82"/>
        <v>43952</v>
      </c>
      <c r="C157" s="302">
        <f>'A4 Demands'!C76</f>
        <v>0</v>
      </c>
      <c r="D157" s="303">
        <f>'A4 Demands'!K76</f>
        <v>0</v>
      </c>
      <c r="E157" s="304">
        <f t="shared" si="65"/>
        <v>0</v>
      </c>
      <c r="F157" s="156">
        <f t="shared" si="66"/>
        <v>0</v>
      </c>
      <c r="G157" s="305">
        <f>IF(B157&lt;EffectiveWithPILON,VLOOKUP(A157,'A1 Contract'!$A$44:$I$53,7,FALSE),VLOOKUP(A157,'A1 Contract'!$A$44:$I$53,4,FALSE))</f>
        <v>1</v>
      </c>
      <c r="H157" s="271">
        <f t="shared" si="67"/>
        <v>0</v>
      </c>
      <c r="I157" s="272">
        <f t="shared" si="68"/>
        <v>0</v>
      </c>
      <c r="J157" s="272">
        <f t="shared" si="69"/>
        <v>8635</v>
      </c>
      <c r="K157" s="272">
        <f t="shared" si="70"/>
        <v>0</v>
      </c>
      <c r="L157" s="272">
        <f t="shared" si="71"/>
        <v>0</v>
      </c>
      <c r="M157" s="272">
        <f t="shared" si="72"/>
        <v>0</v>
      </c>
      <c r="N157" s="272">
        <f t="shared" si="73"/>
        <v>0</v>
      </c>
      <c r="O157" s="273">
        <f t="shared" si="74"/>
        <v>0</v>
      </c>
      <c r="P157" s="274">
        <f t="shared" si="75"/>
        <v>8635</v>
      </c>
    </row>
    <row r="158" spans="1:16" x14ac:dyDescent="0.25">
      <c r="A158" s="171">
        <f t="shared" ref="A158:B158" si="83">A91</f>
        <v>1</v>
      </c>
      <c r="B158" s="314">
        <f t="shared" si="83"/>
        <v>43983</v>
      </c>
      <c r="C158" s="302">
        <f>'A4 Demands'!C77</f>
        <v>0</v>
      </c>
      <c r="D158" s="303">
        <f>'A4 Demands'!K77</f>
        <v>0</v>
      </c>
      <c r="E158" s="304">
        <f t="shared" si="65"/>
        <v>0</v>
      </c>
      <c r="F158" s="156">
        <f t="shared" si="66"/>
        <v>0</v>
      </c>
      <c r="G158" s="305">
        <f>IF(B158&lt;EffectiveWithPILON,VLOOKUP(A158,'A1 Contract'!$A$44:$I$53,7,FALSE),VLOOKUP(A158,'A1 Contract'!$A$44:$I$53,4,FALSE))</f>
        <v>1</v>
      </c>
      <c r="H158" s="271">
        <f t="shared" si="67"/>
        <v>0</v>
      </c>
      <c r="I158" s="272">
        <f t="shared" si="68"/>
        <v>0</v>
      </c>
      <c r="J158" s="272">
        <f t="shared" si="69"/>
        <v>8635</v>
      </c>
      <c r="K158" s="272">
        <f t="shared" si="70"/>
        <v>0</v>
      </c>
      <c r="L158" s="272">
        <f t="shared" si="71"/>
        <v>0</v>
      </c>
      <c r="M158" s="272">
        <f t="shared" si="72"/>
        <v>0</v>
      </c>
      <c r="N158" s="272">
        <f t="shared" si="73"/>
        <v>0</v>
      </c>
      <c r="O158" s="273">
        <f t="shared" si="74"/>
        <v>0</v>
      </c>
      <c r="P158" s="274">
        <f t="shared" si="75"/>
        <v>8635</v>
      </c>
    </row>
    <row r="159" spans="1:16" x14ac:dyDescent="0.25">
      <c r="A159" s="171">
        <f t="shared" ref="A159:B159" si="84">A92</f>
        <v>1</v>
      </c>
      <c r="B159" s="314">
        <f t="shared" si="84"/>
        <v>44013</v>
      </c>
      <c r="C159" s="302">
        <f>'A4 Demands'!C78</f>
        <v>0</v>
      </c>
      <c r="D159" s="303">
        <f>'A4 Demands'!K78</f>
        <v>0</v>
      </c>
      <c r="E159" s="304">
        <f t="shared" si="65"/>
        <v>0</v>
      </c>
      <c r="F159" s="156">
        <f t="shared" si="66"/>
        <v>0</v>
      </c>
      <c r="G159" s="305">
        <f>IF(B159&lt;EffectiveWithPILON,VLOOKUP(A159,'A1 Contract'!$A$44:$I$53,7,FALSE),VLOOKUP(A159,'A1 Contract'!$A$44:$I$53,4,FALSE))</f>
        <v>1</v>
      </c>
      <c r="H159" s="271">
        <f t="shared" si="67"/>
        <v>0</v>
      </c>
      <c r="I159" s="272">
        <f t="shared" si="68"/>
        <v>0</v>
      </c>
      <c r="J159" s="272">
        <f t="shared" si="69"/>
        <v>8635</v>
      </c>
      <c r="K159" s="272">
        <f t="shared" si="70"/>
        <v>0</v>
      </c>
      <c r="L159" s="272">
        <f t="shared" si="71"/>
        <v>0</v>
      </c>
      <c r="M159" s="272">
        <f t="shared" si="72"/>
        <v>0</v>
      </c>
      <c r="N159" s="272">
        <f t="shared" si="73"/>
        <v>0</v>
      </c>
      <c r="O159" s="273">
        <f t="shared" si="74"/>
        <v>0</v>
      </c>
      <c r="P159" s="274">
        <f t="shared" si="75"/>
        <v>8635</v>
      </c>
    </row>
    <row r="160" spans="1:16" x14ac:dyDescent="0.25">
      <c r="A160" s="171">
        <f t="shared" ref="A160:B160" si="85">A93</f>
        <v>1</v>
      </c>
      <c r="B160" s="314">
        <f t="shared" si="85"/>
        <v>44044</v>
      </c>
      <c r="C160" s="302">
        <f>'A4 Demands'!C79</f>
        <v>0</v>
      </c>
      <c r="D160" s="303">
        <f>'A4 Demands'!K79</f>
        <v>0</v>
      </c>
      <c r="E160" s="304">
        <f t="shared" si="65"/>
        <v>0</v>
      </c>
      <c r="F160" s="156">
        <f t="shared" si="66"/>
        <v>0</v>
      </c>
      <c r="G160" s="305">
        <f>IF(B160&lt;EffectiveWithPILON,VLOOKUP(A160,'A1 Contract'!$A$44:$I$53,7,FALSE),VLOOKUP(A160,'A1 Contract'!$A$44:$I$53,4,FALSE))</f>
        <v>1</v>
      </c>
      <c r="H160" s="271">
        <f t="shared" si="67"/>
        <v>0</v>
      </c>
      <c r="I160" s="272">
        <f t="shared" si="68"/>
        <v>0</v>
      </c>
      <c r="J160" s="272">
        <f t="shared" si="69"/>
        <v>8635</v>
      </c>
      <c r="K160" s="272">
        <f t="shared" si="70"/>
        <v>0</v>
      </c>
      <c r="L160" s="272">
        <f t="shared" si="71"/>
        <v>0</v>
      </c>
      <c r="M160" s="272">
        <f t="shared" si="72"/>
        <v>0</v>
      </c>
      <c r="N160" s="272">
        <f t="shared" si="73"/>
        <v>0</v>
      </c>
      <c r="O160" s="273">
        <f t="shared" si="74"/>
        <v>0</v>
      </c>
      <c r="P160" s="274">
        <f t="shared" si="75"/>
        <v>8635</v>
      </c>
    </row>
    <row r="161" spans="1:16" x14ac:dyDescent="0.25">
      <c r="A161" s="171">
        <f t="shared" ref="A161:B161" si="86">A94</f>
        <v>1</v>
      </c>
      <c r="B161" s="314">
        <f t="shared" si="86"/>
        <v>44075</v>
      </c>
      <c r="C161" s="302">
        <f>'A4 Demands'!C80</f>
        <v>0</v>
      </c>
      <c r="D161" s="303">
        <f>'A4 Demands'!K80</f>
        <v>0</v>
      </c>
      <c r="E161" s="304">
        <f t="shared" si="65"/>
        <v>0</v>
      </c>
      <c r="F161" s="156">
        <f t="shared" si="66"/>
        <v>0</v>
      </c>
      <c r="G161" s="305">
        <f>IF(B161&lt;EffectiveWithPILON,VLOOKUP(A161,'A1 Contract'!$A$44:$I$53,7,FALSE),VLOOKUP(A161,'A1 Contract'!$A$44:$I$53,4,FALSE))</f>
        <v>1</v>
      </c>
      <c r="H161" s="271">
        <f t="shared" si="67"/>
        <v>0</v>
      </c>
      <c r="I161" s="272">
        <f t="shared" si="68"/>
        <v>0</v>
      </c>
      <c r="J161" s="272">
        <f t="shared" si="69"/>
        <v>8635</v>
      </c>
      <c r="K161" s="272">
        <f t="shared" si="70"/>
        <v>0</v>
      </c>
      <c r="L161" s="272">
        <f t="shared" si="71"/>
        <v>0</v>
      </c>
      <c r="M161" s="272">
        <f t="shared" si="72"/>
        <v>0</v>
      </c>
      <c r="N161" s="272">
        <f t="shared" si="73"/>
        <v>0</v>
      </c>
      <c r="O161" s="273">
        <f t="shared" si="74"/>
        <v>0</v>
      </c>
      <c r="P161" s="274">
        <f t="shared" si="75"/>
        <v>8635</v>
      </c>
    </row>
    <row r="162" spans="1:16" x14ac:dyDescent="0.25">
      <c r="A162" s="171">
        <f t="shared" ref="A162:B162" si="87">A95</f>
        <v>1</v>
      </c>
      <c r="B162" s="314">
        <f t="shared" si="87"/>
        <v>44105</v>
      </c>
      <c r="C162" s="302">
        <f>'A4 Demands'!C81</f>
        <v>0</v>
      </c>
      <c r="D162" s="303">
        <f>'A4 Demands'!K81</f>
        <v>0</v>
      </c>
      <c r="E162" s="304">
        <f t="shared" si="65"/>
        <v>0</v>
      </c>
      <c r="F162" s="156">
        <f t="shared" si="66"/>
        <v>0</v>
      </c>
      <c r="G162" s="305">
        <f>IF(B162&lt;EffectiveWithPILON,VLOOKUP(A162,'A1 Contract'!$A$44:$I$53,7,FALSE),VLOOKUP(A162,'A1 Contract'!$A$44:$I$53,4,FALSE))</f>
        <v>1</v>
      </c>
      <c r="H162" s="271">
        <f t="shared" si="67"/>
        <v>0</v>
      </c>
      <c r="I162" s="272">
        <f t="shared" si="68"/>
        <v>0</v>
      </c>
      <c r="J162" s="272">
        <f t="shared" si="69"/>
        <v>8635</v>
      </c>
      <c r="K162" s="272">
        <f t="shared" si="70"/>
        <v>0</v>
      </c>
      <c r="L162" s="272">
        <f t="shared" si="71"/>
        <v>0</v>
      </c>
      <c r="M162" s="272">
        <f t="shared" si="72"/>
        <v>0</v>
      </c>
      <c r="N162" s="272">
        <f t="shared" si="73"/>
        <v>0</v>
      </c>
      <c r="O162" s="273">
        <f t="shared" si="74"/>
        <v>0</v>
      </c>
      <c r="P162" s="274">
        <f t="shared" si="75"/>
        <v>8635</v>
      </c>
    </row>
    <row r="163" spans="1:16" x14ac:dyDescent="0.25">
      <c r="A163" s="171">
        <f t="shared" ref="A163:B163" si="88">A96</f>
        <v>1</v>
      </c>
      <c r="B163" s="314">
        <f t="shared" si="88"/>
        <v>44136</v>
      </c>
      <c r="C163" s="302">
        <f>'A4 Demands'!C82</f>
        <v>0</v>
      </c>
      <c r="D163" s="303">
        <f>'A4 Demands'!K82</f>
        <v>0</v>
      </c>
      <c r="E163" s="304">
        <f t="shared" si="65"/>
        <v>0</v>
      </c>
      <c r="F163" s="156">
        <f t="shared" si="66"/>
        <v>0</v>
      </c>
      <c r="G163" s="305">
        <f>IF(B163&lt;EffectiveWithPILON,VLOOKUP(A163,'A1 Contract'!$A$44:$I$53,7,FALSE),VLOOKUP(A163,'A1 Contract'!$A$44:$I$53,4,FALSE))</f>
        <v>1</v>
      </c>
      <c r="H163" s="271">
        <f t="shared" si="67"/>
        <v>0</v>
      </c>
      <c r="I163" s="272">
        <f t="shared" si="68"/>
        <v>0</v>
      </c>
      <c r="J163" s="272">
        <f t="shared" si="69"/>
        <v>8635</v>
      </c>
      <c r="K163" s="272">
        <f t="shared" si="70"/>
        <v>0</v>
      </c>
      <c r="L163" s="272">
        <f t="shared" si="71"/>
        <v>0</v>
      </c>
      <c r="M163" s="272">
        <f t="shared" si="72"/>
        <v>0</v>
      </c>
      <c r="N163" s="272">
        <f t="shared" si="73"/>
        <v>0</v>
      </c>
      <c r="O163" s="273">
        <f t="shared" si="74"/>
        <v>0</v>
      </c>
      <c r="P163" s="274">
        <f t="shared" si="75"/>
        <v>8635</v>
      </c>
    </row>
    <row r="164" spans="1:16" x14ac:dyDescent="0.25">
      <c r="A164" s="171">
        <f t="shared" ref="A164:B164" si="89">A97</f>
        <v>1</v>
      </c>
      <c r="B164" s="314">
        <f t="shared" si="89"/>
        <v>44166</v>
      </c>
      <c r="C164" s="302">
        <f>'A4 Demands'!C83</f>
        <v>0</v>
      </c>
      <c r="D164" s="303">
        <f>'A4 Demands'!K83</f>
        <v>0</v>
      </c>
      <c r="E164" s="304">
        <f t="shared" si="65"/>
        <v>0</v>
      </c>
      <c r="F164" s="156">
        <f t="shared" si="66"/>
        <v>0</v>
      </c>
      <c r="G164" s="305">
        <f>IF(B164&lt;EffectiveWithPILON,VLOOKUP(A164,'A1 Contract'!$A$44:$I$53,7,FALSE),VLOOKUP(A164,'A1 Contract'!$A$44:$I$53,4,FALSE))</f>
        <v>1</v>
      </c>
      <c r="H164" s="271">
        <f t="shared" si="67"/>
        <v>0</v>
      </c>
      <c r="I164" s="272">
        <f t="shared" si="68"/>
        <v>0</v>
      </c>
      <c r="J164" s="272">
        <f t="shared" si="69"/>
        <v>8635</v>
      </c>
      <c r="K164" s="272">
        <f t="shared" si="70"/>
        <v>0</v>
      </c>
      <c r="L164" s="272">
        <f t="shared" si="71"/>
        <v>0</v>
      </c>
      <c r="M164" s="272">
        <f t="shared" si="72"/>
        <v>0</v>
      </c>
      <c r="N164" s="272">
        <f t="shared" si="73"/>
        <v>0</v>
      </c>
      <c r="O164" s="273">
        <f t="shared" si="74"/>
        <v>0</v>
      </c>
      <c r="P164" s="274">
        <f t="shared" si="75"/>
        <v>8635</v>
      </c>
    </row>
    <row r="165" spans="1:16" x14ac:dyDescent="0.25">
      <c r="A165" s="171">
        <f t="shared" ref="A165:B165" si="90">A98</f>
        <v>1</v>
      </c>
      <c r="B165" s="314">
        <f t="shared" si="90"/>
        <v>44197</v>
      </c>
      <c r="C165" s="302">
        <f>'A4 Demands'!C84</f>
        <v>0</v>
      </c>
      <c r="D165" s="303">
        <f>'A4 Demands'!K84</f>
        <v>0</v>
      </c>
      <c r="E165" s="304">
        <f t="shared" si="65"/>
        <v>0</v>
      </c>
      <c r="F165" s="156">
        <f t="shared" si="66"/>
        <v>0</v>
      </c>
      <c r="G165" s="305">
        <f>IF(B165&lt;EffectiveWithPILON,VLOOKUP(A165,'A1 Contract'!$A$44:$I$53,7,FALSE),VLOOKUP(A165,'A1 Contract'!$A$44:$I$53,4,FALSE))</f>
        <v>1</v>
      </c>
      <c r="H165" s="271">
        <f t="shared" si="67"/>
        <v>0</v>
      </c>
      <c r="I165" s="272">
        <f t="shared" si="68"/>
        <v>0</v>
      </c>
      <c r="J165" s="272">
        <f t="shared" si="69"/>
        <v>8635</v>
      </c>
      <c r="K165" s="272">
        <f t="shared" si="70"/>
        <v>0</v>
      </c>
      <c r="L165" s="272">
        <f t="shared" si="71"/>
        <v>0</v>
      </c>
      <c r="M165" s="272">
        <f t="shared" si="72"/>
        <v>0</v>
      </c>
      <c r="N165" s="272">
        <f t="shared" si="73"/>
        <v>0</v>
      </c>
      <c r="O165" s="273">
        <f t="shared" si="74"/>
        <v>0</v>
      </c>
      <c r="P165" s="274">
        <f t="shared" si="75"/>
        <v>8635</v>
      </c>
    </row>
    <row r="166" spans="1:16" x14ac:dyDescent="0.25">
      <c r="A166" s="171">
        <f t="shared" ref="A166:B166" si="91">A99</f>
        <v>1</v>
      </c>
      <c r="B166" s="314">
        <f t="shared" si="91"/>
        <v>44228</v>
      </c>
      <c r="C166" s="302">
        <f>'A4 Demands'!C85</f>
        <v>0</v>
      </c>
      <c r="D166" s="303">
        <f>'A4 Demands'!K85</f>
        <v>0</v>
      </c>
      <c r="E166" s="304">
        <f t="shared" si="65"/>
        <v>0</v>
      </c>
      <c r="F166" s="156">
        <f t="shared" si="66"/>
        <v>0</v>
      </c>
      <c r="G166" s="305">
        <f>IF(B166&lt;EffectiveWithPILON,VLOOKUP(A166,'A1 Contract'!$A$44:$I$53,7,FALSE),VLOOKUP(A166,'A1 Contract'!$A$44:$I$53,4,FALSE))</f>
        <v>1</v>
      </c>
      <c r="H166" s="271">
        <f t="shared" si="67"/>
        <v>0</v>
      </c>
      <c r="I166" s="272">
        <f t="shared" si="68"/>
        <v>0</v>
      </c>
      <c r="J166" s="272">
        <f t="shared" si="69"/>
        <v>8635</v>
      </c>
      <c r="K166" s="272">
        <f t="shared" si="70"/>
        <v>0</v>
      </c>
      <c r="L166" s="272">
        <f t="shared" si="71"/>
        <v>0</v>
      </c>
      <c r="M166" s="272">
        <f t="shared" si="72"/>
        <v>0</v>
      </c>
      <c r="N166" s="272">
        <f t="shared" si="73"/>
        <v>0</v>
      </c>
      <c r="O166" s="273">
        <f t="shared" si="74"/>
        <v>0</v>
      </c>
      <c r="P166" s="274">
        <f t="shared" si="75"/>
        <v>8635</v>
      </c>
    </row>
    <row r="167" spans="1:16" x14ac:dyDescent="0.25">
      <c r="A167" s="171">
        <f t="shared" ref="A167:B167" si="92">A100</f>
        <v>1</v>
      </c>
      <c r="B167" s="314">
        <f t="shared" si="92"/>
        <v>44256</v>
      </c>
      <c r="C167" s="302">
        <f>'A4 Demands'!C86</f>
        <v>0</v>
      </c>
      <c r="D167" s="303">
        <f>'A4 Demands'!K86</f>
        <v>0</v>
      </c>
      <c r="E167" s="304">
        <f t="shared" si="65"/>
        <v>0</v>
      </c>
      <c r="F167" s="156">
        <f t="shared" si="66"/>
        <v>0</v>
      </c>
      <c r="G167" s="305">
        <f>IF(B167&lt;EffectiveWithPILON,VLOOKUP(A167,'A1 Contract'!$A$44:$I$53,7,FALSE),VLOOKUP(A167,'A1 Contract'!$A$44:$I$53,4,FALSE))</f>
        <v>1</v>
      </c>
      <c r="H167" s="271">
        <f t="shared" si="67"/>
        <v>0</v>
      </c>
      <c r="I167" s="272">
        <f t="shared" si="68"/>
        <v>0</v>
      </c>
      <c r="J167" s="272">
        <f t="shared" si="69"/>
        <v>8635</v>
      </c>
      <c r="K167" s="272">
        <f t="shared" si="70"/>
        <v>0</v>
      </c>
      <c r="L167" s="272">
        <f t="shared" si="71"/>
        <v>0</v>
      </c>
      <c r="M167" s="272">
        <f t="shared" si="72"/>
        <v>0</v>
      </c>
      <c r="N167" s="272">
        <f t="shared" si="73"/>
        <v>0</v>
      </c>
      <c r="O167" s="273">
        <f t="shared" si="74"/>
        <v>0</v>
      </c>
      <c r="P167" s="274">
        <f t="shared" si="75"/>
        <v>8635</v>
      </c>
    </row>
    <row r="168" spans="1:16" x14ac:dyDescent="0.25">
      <c r="A168" s="171">
        <f t="shared" ref="A168:B168" si="93">A101</f>
        <v>1</v>
      </c>
      <c r="B168" s="314">
        <f t="shared" si="93"/>
        <v>44287</v>
      </c>
      <c r="C168" s="302">
        <f>'A4 Demands'!C87</f>
        <v>0</v>
      </c>
      <c r="D168" s="303">
        <f>'A4 Demands'!K87</f>
        <v>0</v>
      </c>
      <c r="E168" s="304">
        <f t="shared" si="65"/>
        <v>0</v>
      </c>
      <c r="F168" s="156">
        <f t="shared" si="66"/>
        <v>0</v>
      </c>
      <c r="G168" s="305">
        <f>IF(B168&lt;EffectiveWithPILON,VLOOKUP(A168,'A1 Contract'!$A$44:$I$53,7,FALSE),VLOOKUP(A168,'A1 Contract'!$A$44:$I$53,4,FALSE))</f>
        <v>1</v>
      </c>
      <c r="H168" s="271">
        <f t="shared" si="67"/>
        <v>0</v>
      </c>
      <c r="I168" s="272">
        <f t="shared" si="68"/>
        <v>0</v>
      </c>
      <c r="J168" s="272">
        <f t="shared" si="69"/>
        <v>8635</v>
      </c>
      <c r="K168" s="272">
        <f t="shared" si="70"/>
        <v>0</v>
      </c>
      <c r="L168" s="272">
        <f t="shared" si="71"/>
        <v>0</v>
      </c>
      <c r="M168" s="272">
        <f t="shared" si="72"/>
        <v>0</v>
      </c>
      <c r="N168" s="272">
        <f t="shared" si="73"/>
        <v>0</v>
      </c>
      <c r="O168" s="273">
        <f t="shared" si="74"/>
        <v>0</v>
      </c>
      <c r="P168" s="274">
        <f t="shared" si="75"/>
        <v>8635</v>
      </c>
    </row>
    <row r="169" spans="1:16" x14ac:dyDescent="0.25">
      <c r="A169" s="171">
        <f t="shared" ref="A169:B169" si="94">A102</f>
        <v>1</v>
      </c>
      <c r="B169" s="314">
        <f t="shared" si="94"/>
        <v>44317</v>
      </c>
      <c r="C169" s="302">
        <f>'A4 Demands'!C88</f>
        <v>0</v>
      </c>
      <c r="D169" s="303">
        <f>'A4 Demands'!K88</f>
        <v>0</v>
      </c>
      <c r="E169" s="304">
        <f t="shared" si="65"/>
        <v>0</v>
      </c>
      <c r="F169" s="156">
        <f t="shared" si="66"/>
        <v>0</v>
      </c>
      <c r="G169" s="305">
        <f>IF(B169&lt;EffectiveWithPILON,VLOOKUP(A169,'A1 Contract'!$A$44:$I$53,7,FALSE),VLOOKUP(A169,'A1 Contract'!$A$44:$I$53,4,FALSE))</f>
        <v>1</v>
      </c>
      <c r="H169" s="271">
        <f t="shared" si="67"/>
        <v>0</v>
      </c>
      <c r="I169" s="272">
        <f t="shared" si="68"/>
        <v>0</v>
      </c>
      <c r="J169" s="272">
        <f t="shared" si="69"/>
        <v>8635</v>
      </c>
      <c r="K169" s="272">
        <f t="shared" si="70"/>
        <v>0</v>
      </c>
      <c r="L169" s="272">
        <f t="shared" si="71"/>
        <v>0</v>
      </c>
      <c r="M169" s="272">
        <f t="shared" si="72"/>
        <v>0</v>
      </c>
      <c r="N169" s="272">
        <f t="shared" si="73"/>
        <v>0</v>
      </c>
      <c r="O169" s="273">
        <f t="shared" si="74"/>
        <v>0</v>
      </c>
      <c r="P169" s="274">
        <f t="shared" si="75"/>
        <v>8635</v>
      </c>
    </row>
    <row r="170" spans="1:16" x14ac:dyDescent="0.25">
      <c r="A170" s="171">
        <f t="shared" ref="A170:B170" si="95">A103</f>
        <v>1</v>
      </c>
      <c r="B170" s="314">
        <f t="shared" si="95"/>
        <v>44348</v>
      </c>
      <c r="C170" s="302">
        <f>'A4 Demands'!C89</f>
        <v>0</v>
      </c>
      <c r="D170" s="303">
        <f>'A4 Demands'!K89</f>
        <v>0</v>
      </c>
      <c r="E170" s="304">
        <f t="shared" si="65"/>
        <v>0</v>
      </c>
      <c r="F170" s="156">
        <f t="shared" si="66"/>
        <v>0</v>
      </c>
      <c r="G170" s="305">
        <f>IF(B170&lt;EffectiveWithPILON,VLOOKUP(A170,'A1 Contract'!$A$44:$I$53,7,FALSE),VLOOKUP(A170,'A1 Contract'!$A$44:$I$53,4,FALSE))</f>
        <v>1</v>
      </c>
      <c r="H170" s="271">
        <f t="shared" si="67"/>
        <v>0</v>
      </c>
      <c r="I170" s="272">
        <f t="shared" si="68"/>
        <v>0</v>
      </c>
      <c r="J170" s="272">
        <f t="shared" si="69"/>
        <v>8635</v>
      </c>
      <c r="K170" s="272">
        <f t="shared" si="70"/>
        <v>0</v>
      </c>
      <c r="L170" s="272">
        <f t="shared" si="71"/>
        <v>0</v>
      </c>
      <c r="M170" s="272">
        <f t="shared" si="72"/>
        <v>0</v>
      </c>
      <c r="N170" s="272">
        <f t="shared" si="73"/>
        <v>0</v>
      </c>
      <c r="O170" s="273">
        <f t="shared" si="74"/>
        <v>0</v>
      </c>
      <c r="P170" s="274">
        <f t="shared" si="75"/>
        <v>8635</v>
      </c>
    </row>
    <row r="171" spans="1:16" x14ac:dyDescent="0.25">
      <c r="A171" s="171">
        <f t="shared" ref="A171:B171" si="96">A104</f>
        <v>1</v>
      </c>
      <c r="B171" s="314">
        <f t="shared" si="96"/>
        <v>44378</v>
      </c>
      <c r="C171" s="302">
        <f>'A4 Demands'!C90</f>
        <v>0</v>
      </c>
      <c r="D171" s="303">
        <f>'A4 Demands'!K90</f>
        <v>0</v>
      </c>
      <c r="E171" s="304">
        <f t="shared" si="65"/>
        <v>0</v>
      </c>
      <c r="F171" s="156">
        <f t="shared" si="66"/>
        <v>0</v>
      </c>
      <c r="G171" s="305">
        <f>IF(B171&lt;EffectiveWithPILON,VLOOKUP(A171,'A1 Contract'!$A$44:$I$53,7,FALSE),VLOOKUP(A171,'A1 Contract'!$A$44:$I$53,4,FALSE))</f>
        <v>1</v>
      </c>
      <c r="H171" s="271">
        <f t="shared" si="67"/>
        <v>0</v>
      </c>
      <c r="I171" s="272">
        <f t="shared" si="68"/>
        <v>0</v>
      </c>
      <c r="J171" s="272">
        <f t="shared" si="69"/>
        <v>8635</v>
      </c>
      <c r="K171" s="272">
        <f t="shared" si="70"/>
        <v>0</v>
      </c>
      <c r="L171" s="272">
        <f t="shared" si="71"/>
        <v>0</v>
      </c>
      <c r="M171" s="272">
        <f t="shared" si="72"/>
        <v>0</v>
      </c>
      <c r="N171" s="272">
        <f t="shared" si="73"/>
        <v>0</v>
      </c>
      <c r="O171" s="273">
        <f t="shared" si="74"/>
        <v>0</v>
      </c>
      <c r="P171" s="274">
        <f t="shared" si="75"/>
        <v>8635</v>
      </c>
    </row>
    <row r="172" spans="1:16" x14ac:dyDescent="0.25">
      <c r="A172" s="171">
        <f t="shared" ref="A172:B172" si="97">A105</f>
        <v>1</v>
      </c>
      <c r="B172" s="314">
        <f t="shared" si="97"/>
        <v>44409</v>
      </c>
      <c r="C172" s="302">
        <f>'A4 Demands'!C91</f>
        <v>0</v>
      </c>
      <c r="D172" s="303">
        <f>'A4 Demands'!K91</f>
        <v>0</v>
      </c>
      <c r="E172" s="304">
        <f t="shared" si="65"/>
        <v>0</v>
      </c>
      <c r="F172" s="156">
        <f t="shared" si="66"/>
        <v>0</v>
      </c>
      <c r="G172" s="305">
        <f>IF(B172&lt;EffectiveWithPILON,VLOOKUP(A172,'A1 Contract'!$A$44:$I$53,7,FALSE),VLOOKUP(A172,'A1 Contract'!$A$44:$I$53,4,FALSE))</f>
        <v>1</v>
      </c>
      <c r="H172" s="271">
        <f t="shared" si="67"/>
        <v>0</v>
      </c>
      <c r="I172" s="272">
        <f t="shared" si="68"/>
        <v>0</v>
      </c>
      <c r="J172" s="272">
        <f t="shared" si="69"/>
        <v>8635</v>
      </c>
      <c r="K172" s="272">
        <f t="shared" si="70"/>
        <v>0</v>
      </c>
      <c r="L172" s="272">
        <f t="shared" si="71"/>
        <v>0</v>
      </c>
      <c r="M172" s="272">
        <f t="shared" si="72"/>
        <v>0</v>
      </c>
      <c r="N172" s="272">
        <f t="shared" si="73"/>
        <v>0</v>
      </c>
      <c r="O172" s="273">
        <f t="shared" si="74"/>
        <v>0</v>
      </c>
      <c r="P172" s="274">
        <f t="shared" si="75"/>
        <v>8635</v>
      </c>
    </row>
    <row r="173" spans="1:16" x14ac:dyDescent="0.25">
      <c r="A173" s="171">
        <f t="shared" ref="A173:B173" si="98">A106</f>
        <v>1</v>
      </c>
      <c r="B173" s="314">
        <f t="shared" si="98"/>
        <v>44440</v>
      </c>
      <c r="C173" s="302">
        <f>'A4 Demands'!C92</f>
        <v>0</v>
      </c>
      <c r="D173" s="303">
        <f>'A4 Demands'!K92</f>
        <v>0</v>
      </c>
      <c r="E173" s="304">
        <f t="shared" si="65"/>
        <v>0</v>
      </c>
      <c r="F173" s="156">
        <f t="shared" si="66"/>
        <v>0</v>
      </c>
      <c r="G173" s="305">
        <f>IF(B173&lt;EffectiveWithPILON,VLOOKUP(A173,'A1 Contract'!$A$44:$I$53,7,FALSE),VLOOKUP(A173,'A1 Contract'!$A$44:$I$53,4,FALSE))</f>
        <v>1</v>
      </c>
      <c r="H173" s="271">
        <f t="shared" si="67"/>
        <v>0</v>
      </c>
      <c r="I173" s="272">
        <f t="shared" si="68"/>
        <v>0</v>
      </c>
      <c r="J173" s="272">
        <f t="shared" si="69"/>
        <v>8635</v>
      </c>
      <c r="K173" s="272">
        <f t="shared" si="70"/>
        <v>0</v>
      </c>
      <c r="L173" s="272">
        <f t="shared" si="71"/>
        <v>0</v>
      </c>
      <c r="M173" s="272">
        <f t="shared" si="72"/>
        <v>0</v>
      </c>
      <c r="N173" s="272">
        <f t="shared" si="73"/>
        <v>0</v>
      </c>
      <c r="O173" s="273">
        <f t="shared" si="74"/>
        <v>0</v>
      </c>
      <c r="P173" s="274">
        <f t="shared" si="75"/>
        <v>8635</v>
      </c>
    </row>
    <row r="174" spans="1:16" x14ac:dyDescent="0.25">
      <c r="A174" s="171">
        <f t="shared" ref="A174:B174" si="99">A107</f>
        <v>1</v>
      </c>
      <c r="B174" s="314">
        <f t="shared" si="99"/>
        <v>44470</v>
      </c>
      <c r="C174" s="302">
        <f>'A4 Demands'!C93</f>
        <v>0</v>
      </c>
      <c r="D174" s="303">
        <f>'A4 Demands'!K93</f>
        <v>0</v>
      </c>
      <c r="E174" s="304">
        <f t="shared" si="65"/>
        <v>0</v>
      </c>
      <c r="F174" s="156">
        <f t="shared" si="66"/>
        <v>0</v>
      </c>
      <c r="G174" s="305">
        <f>IF(B174&lt;EffectiveWithPILON,VLOOKUP(A174,'A1 Contract'!$A$44:$I$53,7,FALSE),VLOOKUP(A174,'A1 Contract'!$A$44:$I$53,4,FALSE))</f>
        <v>1</v>
      </c>
      <c r="H174" s="271">
        <f t="shared" si="67"/>
        <v>0</v>
      </c>
      <c r="I174" s="272">
        <f t="shared" si="68"/>
        <v>0</v>
      </c>
      <c r="J174" s="272">
        <f t="shared" si="69"/>
        <v>8635</v>
      </c>
      <c r="K174" s="272">
        <f t="shared" si="70"/>
        <v>0</v>
      </c>
      <c r="L174" s="272">
        <f t="shared" si="71"/>
        <v>0</v>
      </c>
      <c r="M174" s="272">
        <f t="shared" si="72"/>
        <v>0</v>
      </c>
      <c r="N174" s="272">
        <f t="shared" si="73"/>
        <v>0</v>
      </c>
      <c r="O174" s="273">
        <f t="shared" si="74"/>
        <v>0</v>
      </c>
      <c r="P174" s="274">
        <f t="shared" si="75"/>
        <v>8635</v>
      </c>
    </row>
    <row r="175" spans="1:16" x14ac:dyDescent="0.25">
      <c r="A175" s="171">
        <f t="shared" ref="A175:B175" si="100">A108</f>
        <v>1</v>
      </c>
      <c r="B175" s="314">
        <f t="shared" si="100"/>
        <v>44501</v>
      </c>
      <c r="C175" s="302">
        <f>'A4 Demands'!C94</f>
        <v>0</v>
      </c>
      <c r="D175" s="303">
        <f>'A4 Demands'!K94</f>
        <v>0</v>
      </c>
      <c r="E175" s="304">
        <f t="shared" si="65"/>
        <v>0</v>
      </c>
      <c r="F175" s="156">
        <f t="shared" si="66"/>
        <v>0</v>
      </c>
      <c r="G175" s="305">
        <f>IF(B175&lt;EffectiveWithPILON,VLOOKUP(A175,'A1 Contract'!$A$44:$I$53,7,FALSE),VLOOKUP(A175,'A1 Contract'!$A$44:$I$53,4,FALSE))</f>
        <v>1</v>
      </c>
      <c r="H175" s="271">
        <f t="shared" si="67"/>
        <v>0</v>
      </c>
      <c r="I175" s="272">
        <f t="shared" si="68"/>
        <v>0</v>
      </c>
      <c r="J175" s="272">
        <f t="shared" si="69"/>
        <v>8635</v>
      </c>
      <c r="K175" s="272">
        <f t="shared" si="70"/>
        <v>0</v>
      </c>
      <c r="L175" s="272">
        <f t="shared" si="71"/>
        <v>0</v>
      </c>
      <c r="M175" s="272">
        <f t="shared" si="72"/>
        <v>0</v>
      </c>
      <c r="N175" s="272">
        <f t="shared" si="73"/>
        <v>0</v>
      </c>
      <c r="O175" s="273">
        <f t="shared" si="74"/>
        <v>0</v>
      </c>
      <c r="P175" s="274">
        <f t="shared" si="75"/>
        <v>8635</v>
      </c>
    </row>
    <row r="176" spans="1:16" x14ac:dyDescent="0.25">
      <c r="A176" s="171">
        <f t="shared" ref="A176:B176" si="101">A109</f>
        <v>1</v>
      </c>
      <c r="B176" s="314">
        <f t="shared" si="101"/>
        <v>44531</v>
      </c>
      <c r="C176" s="302">
        <f>'A4 Demands'!C95</f>
        <v>0</v>
      </c>
      <c r="D176" s="303">
        <f>'A4 Demands'!K95</f>
        <v>0</v>
      </c>
      <c r="E176" s="304">
        <f t="shared" si="65"/>
        <v>0</v>
      </c>
      <c r="F176" s="156">
        <f t="shared" si="66"/>
        <v>0</v>
      </c>
      <c r="G176" s="305">
        <f>IF(B176&lt;EffectiveWithPILON,VLOOKUP(A176,'A1 Contract'!$A$44:$I$53,7,FALSE),VLOOKUP(A176,'A1 Contract'!$A$44:$I$53,4,FALSE))</f>
        <v>1</v>
      </c>
      <c r="H176" s="271">
        <f t="shared" si="67"/>
        <v>0</v>
      </c>
      <c r="I176" s="272">
        <f t="shared" si="68"/>
        <v>0</v>
      </c>
      <c r="J176" s="272">
        <f t="shared" si="69"/>
        <v>8635</v>
      </c>
      <c r="K176" s="272">
        <f t="shared" si="70"/>
        <v>0</v>
      </c>
      <c r="L176" s="272">
        <f t="shared" si="71"/>
        <v>0</v>
      </c>
      <c r="M176" s="272">
        <f t="shared" si="72"/>
        <v>0</v>
      </c>
      <c r="N176" s="272">
        <f t="shared" si="73"/>
        <v>0</v>
      </c>
      <c r="O176" s="273">
        <f t="shared" si="74"/>
        <v>0</v>
      </c>
      <c r="P176" s="274">
        <f t="shared" si="75"/>
        <v>8635</v>
      </c>
    </row>
    <row r="177" spans="1:16" x14ac:dyDescent="0.25">
      <c r="A177" s="172">
        <f t="shared" ref="A177:B177" si="102">A110</f>
        <v>1</v>
      </c>
      <c r="B177" s="315">
        <f t="shared" si="102"/>
        <v>44562</v>
      </c>
      <c r="C177" s="306">
        <f>'A4 Demands'!C96</f>
        <v>0</v>
      </c>
      <c r="D177" s="307">
        <f>'A4 Demands'!K96</f>
        <v>0</v>
      </c>
      <c r="E177" s="308">
        <f t="shared" si="65"/>
        <v>0</v>
      </c>
      <c r="F177" s="158">
        <f t="shared" si="66"/>
        <v>0</v>
      </c>
      <c r="G177" s="309">
        <f>IF(B177&lt;EffectiveWithPILON,VLOOKUP(A177,'A1 Contract'!$A$44:$I$53,7,FALSE),VLOOKUP(A177,'A1 Contract'!$A$44:$I$53,4,FALSE))</f>
        <v>1</v>
      </c>
      <c r="H177" s="310">
        <f t="shared" si="67"/>
        <v>0</v>
      </c>
      <c r="I177" s="311">
        <f t="shared" si="68"/>
        <v>0</v>
      </c>
      <c r="J177" s="311">
        <f t="shared" si="69"/>
        <v>8635</v>
      </c>
      <c r="K177" s="311">
        <f t="shared" si="70"/>
        <v>0</v>
      </c>
      <c r="L177" s="311">
        <f t="shared" si="71"/>
        <v>0</v>
      </c>
      <c r="M177" s="311">
        <f t="shared" si="72"/>
        <v>0</v>
      </c>
      <c r="N177" s="311">
        <f t="shared" si="73"/>
        <v>0</v>
      </c>
      <c r="O177" s="330">
        <f t="shared" si="74"/>
        <v>0</v>
      </c>
      <c r="P177" s="312">
        <f t="shared" si="75"/>
        <v>8635</v>
      </c>
    </row>
  </sheetData>
  <sheetProtection sheet="1" objects="1" scenarios="1"/>
  <mergeCells count="37">
    <mergeCell ref="A1:I1"/>
    <mergeCell ref="C6:D6"/>
    <mergeCell ref="I6:K6"/>
    <mergeCell ref="E19:F19"/>
    <mergeCell ref="E20:F20"/>
    <mergeCell ref="C5:D5"/>
    <mergeCell ref="I5:K5"/>
    <mergeCell ref="C3:G3"/>
    <mergeCell ref="I3:K3"/>
    <mergeCell ref="C4:G4"/>
    <mergeCell ref="I4:K4"/>
    <mergeCell ref="H10:I10"/>
    <mergeCell ref="H11:I11"/>
    <mergeCell ref="H12:I12"/>
    <mergeCell ref="F6:G6"/>
    <mergeCell ref="F5:G5"/>
    <mergeCell ref="O117:P117"/>
    <mergeCell ref="G25:H25"/>
    <mergeCell ref="G26:H26"/>
    <mergeCell ref="G27:H27"/>
    <mergeCell ref="G28:H28"/>
    <mergeCell ref="H45:P45"/>
    <mergeCell ref="H112:P112"/>
    <mergeCell ref="O50:P50"/>
    <mergeCell ref="A40:D40"/>
    <mergeCell ref="G16:H16"/>
    <mergeCell ref="E16:F16"/>
    <mergeCell ref="E40:F40"/>
    <mergeCell ref="G29:H29"/>
    <mergeCell ref="A16:D16"/>
    <mergeCell ref="E22:F22"/>
    <mergeCell ref="E23:F23"/>
    <mergeCell ref="E28:F28"/>
    <mergeCell ref="E29:F29"/>
    <mergeCell ref="E27:F27"/>
    <mergeCell ref="E26:F26"/>
    <mergeCell ref="E25:F25"/>
  </mergeCells>
  <printOptions horizontalCentered="1"/>
  <pageMargins left="0.75" right="0.75" top="0.5" bottom="0.85" header="0.5" footer="0.5"/>
  <pageSetup orientation="portrait" r:id="rId1"/>
  <headerFooter>
    <oddFooter>&amp;L&amp;8Additional Detail for PILON Calculator for 2018 Tariff (AESO ID No. 2018-010T)
Filename: &amp;F — Page &amp;P of &amp;N&amp;R&amp;8Confidentiality: Proprietary When Completed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2127FE67165914AA0FC76E62B7EFB37" ma:contentTypeVersion="11" ma:contentTypeDescription="Create a new document." ma:contentTypeScope="" ma:versionID="2f0150a8bb0be11645c41ef3c296f033">
  <xsd:schema xmlns:xsd="http://www.w3.org/2001/XMLSchema" xmlns:xs="http://www.w3.org/2001/XMLSchema" xmlns:p="http://schemas.microsoft.com/office/2006/metadata/properties" xmlns:ns2="eb560407-084e-4bf1-8f6f-9c2123753d2a" targetNamespace="http://schemas.microsoft.com/office/2006/metadata/properties" ma:root="true" ma:fieldsID="826f59aefddd9e842219cf2f89ca4d95" ns2:_="">
    <xsd:import namespace="eb560407-084e-4bf1-8f6f-9c2123753d2a"/>
    <xsd:element name="properties">
      <xsd:complexType>
        <xsd:sequence>
          <xsd:element name="documentManagement">
            <xsd:complexType>
              <xsd:all>
                <xsd:element ref="ns2:AD_x0020_Sponsor" minOccurs="0"/>
                <xsd:element ref="ns2:Project_x0020_Manager" minOccurs="0"/>
                <xsd:element ref="ns2:ID_x0020_Drafter" minOccurs="0"/>
                <xsd:element ref="ns2:Effectiv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560407-084e-4bf1-8f6f-9c2123753d2a" elementFormDefault="qualified">
    <xsd:import namespace="http://schemas.microsoft.com/office/2006/documentManagement/types"/>
    <xsd:import namespace="http://schemas.microsoft.com/office/infopath/2007/PartnerControls"/>
    <xsd:element name="AD_x0020_Sponsor" ma:index="8" nillable="true" ma:displayName="AD Sponsor" ma:list="{ee3d1e00-d8e9-4248-b64d-b2faacb00194}" ma:internalName="AD_x0020_Sponsor" ma:showField="Title">
      <xsd:simpleType>
        <xsd:restriction base="dms:Lookup"/>
      </xsd:simpleType>
    </xsd:element>
    <xsd:element name="Project_x0020_Manager" ma:index="9" nillable="true" ma:displayName="Project Manager" ma:list="{d3565f1d-3a0e-463f-98a9-19c0038fb837}" ma:internalName="Project_x0020_Manager" ma:showField="Title">
      <xsd:simpleType>
        <xsd:restriction base="dms:Lookup"/>
      </xsd:simpleType>
    </xsd:element>
    <xsd:element name="ID_x0020_Drafter" ma:index="10" nillable="true" ma:displayName="ID Drafter" ma:list="{86a29a72-310b-4039-a188-85430796e04f}" ma:internalName="ID_x0020_Drafter" ma:showField="Title">
      <xsd:simpleType>
        <xsd:restriction base="dms:Lookup"/>
      </xsd:simpleType>
    </xsd:element>
    <xsd:element name="Effective_x0020_Date" ma:index="11" nillable="true" ma:displayName="Effective Date" ma:format="DateOnly" ma:internalName="Effective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D_x0020_Drafter xmlns="eb560407-084e-4bf1-8f6f-9c2123753d2a" xsi:nil="true"/>
    <Project_x0020_Manager xmlns="eb560407-084e-4bf1-8f6f-9c2123753d2a" xsi:nil="true"/>
    <Effective_x0020_Date xmlns="eb560407-084e-4bf1-8f6f-9c2123753d2a" xsi:nil="true"/>
    <AD_x0020_Sponsor xmlns="eb560407-084e-4bf1-8f6f-9c2123753d2a" xsi:nil="true"/>
  </documentManagement>
</p:properties>
</file>

<file path=customXml/itemProps1.xml><?xml version="1.0" encoding="utf-8"?>
<ds:datastoreItem xmlns:ds="http://schemas.openxmlformats.org/officeDocument/2006/customXml" ds:itemID="{3EA5CAB6-8AAE-4A61-928A-FAB4DA94A194}">
  <ds:schemaRefs>
    <ds:schemaRef ds:uri="http://schemas.microsoft.com/sharepoint/v3/contenttype/forms"/>
  </ds:schemaRefs>
</ds:datastoreItem>
</file>

<file path=customXml/itemProps2.xml><?xml version="1.0" encoding="utf-8"?>
<ds:datastoreItem xmlns:ds="http://schemas.openxmlformats.org/officeDocument/2006/customXml" ds:itemID="{2AA9D574-7155-464B-ADFE-2515923361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560407-084e-4bf1-8f6f-9c2123753d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EC7D46-708A-42FD-90B5-6F78CAAD72FA}">
  <ds:schemaRefs>
    <ds:schemaRef ds:uri="http://schemas.microsoft.com/office/2006/documentManagement/types"/>
    <ds:schemaRef ds:uri="http://schemas.openxmlformats.org/package/2006/metadata/core-properties"/>
    <ds:schemaRef ds:uri="http://purl.org/dc/terms/"/>
    <ds:schemaRef ds:uri="eb560407-084e-4bf1-8f6f-9c2123753d2a"/>
    <ds:schemaRef ds:uri="http://www.w3.org/XML/1998/namespace"/>
    <ds:schemaRef ds:uri="http://purl.org/dc/elements/1.1/"/>
    <ds:schemaRef ds:uri="http://schemas.microsoft.com/office/2006/metadata/properti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9</vt:i4>
      </vt:variant>
      <vt:variant>
        <vt:lpstr>Named Ranges</vt:lpstr>
      </vt:variant>
      <vt:variant>
        <vt:i4>37</vt:i4>
      </vt:variant>
    </vt:vector>
  </HeadingPairs>
  <TitlesOfParts>
    <vt:vector size="46" baseType="lpstr">
      <vt:lpstr>Information Page 1</vt:lpstr>
      <vt:lpstr>Information Page 2</vt:lpstr>
      <vt:lpstr>Information Page 3</vt:lpstr>
      <vt:lpstr>Information Page 4</vt:lpstr>
      <vt:lpstr>A1 Contract</vt:lpstr>
      <vt:lpstr>A2 History</vt:lpstr>
      <vt:lpstr>A3 PILON</vt:lpstr>
      <vt:lpstr>A4 Demands</vt:lpstr>
      <vt:lpstr>Rate DTS Charges</vt:lpstr>
      <vt:lpstr>AverageCF</vt:lpstr>
      <vt:lpstr>AverageCoincident</vt:lpstr>
      <vt:lpstr>AverageContract</vt:lpstr>
      <vt:lpstr>AverageDemand</vt:lpstr>
      <vt:lpstr>AverageEnergy</vt:lpstr>
      <vt:lpstr>AverageLF</vt:lpstr>
      <vt:lpstr>ContractLookup</vt:lpstr>
      <vt:lpstr>DiscountRate</vt:lpstr>
      <vt:lpstr>EffectiveWithoutPILON</vt:lpstr>
      <vt:lpstr>EffectiveWithPILON</vt:lpstr>
      <vt:lpstr>HistoryLookup</vt:lpstr>
      <vt:lpstr>MaxInvestTerm</vt:lpstr>
      <vt:lpstr>NoticeStartDate</vt:lpstr>
      <vt:lpstr>OtherParticipant</vt:lpstr>
      <vt:lpstr>OverrideCF</vt:lpstr>
      <vt:lpstr>OverrideLF</vt:lpstr>
      <vt:lpstr>ParticipantName</vt:lpstr>
      <vt:lpstr>PILONDate</vt:lpstr>
      <vt:lpstr>PreparationDate</vt:lpstr>
      <vt:lpstr>PreparerName</vt:lpstr>
      <vt:lpstr>'A1 Contract'!Print_Area</vt:lpstr>
      <vt:lpstr>'A2 History'!Print_Area</vt:lpstr>
      <vt:lpstr>'A3 PILON'!Print_Area</vt:lpstr>
      <vt:lpstr>'A4 Demands'!Print_Area</vt:lpstr>
      <vt:lpstr>'Information Page 1'!Print_Area</vt:lpstr>
      <vt:lpstr>'Information Page 2'!Print_Area</vt:lpstr>
      <vt:lpstr>'Information Page 3'!Print_Area</vt:lpstr>
      <vt:lpstr>'Information Page 4'!Print_Area</vt:lpstr>
      <vt:lpstr>'A3 PILON'!Print_Titles</vt:lpstr>
      <vt:lpstr>'A4 Demands'!Print_Titles</vt:lpstr>
      <vt:lpstr>'Rate DTS Charges'!Print_Titles</vt:lpstr>
      <vt:lpstr>ProjectName</vt:lpstr>
      <vt:lpstr>ProjectNumber</vt:lpstr>
      <vt:lpstr>ProjectType</vt:lpstr>
      <vt:lpstr>ReceivePSC</vt:lpstr>
      <vt:lpstr>ReducedOrTerminated</vt:lpstr>
      <vt:lpstr>RequestDate</vt:lpstr>
    </vt:vector>
  </TitlesOfParts>
  <Company>AESO - Alberta Electric System Operators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Martin</dc:creator>
  <cp:lastModifiedBy>Brenda Hill</cp:lastModifiedBy>
  <cp:lastPrinted>2017-01-04T18:04:55Z</cp:lastPrinted>
  <dcterms:created xsi:type="dcterms:W3CDTF">2010-11-12T22:32:25Z</dcterms:created>
  <dcterms:modified xsi:type="dcterms:W3CDTF">2018-01-19T20:37:38Z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0x010100C2127FE67165914AA0FC76E62B7EFB37</vt:lpwstr>
  </property>
</Properties>
</file>