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6C2CBB44-04B4-45D7-9CE2-9322C1C3F167}" xr6:coauthVersionLast="44" xr6:coauthVersionMax="45" xr10:uidLastSave="{00000000-0000-0000-0000-000000000000}"/>
  <bookViews>
    <workbookView xWindow="28680" yWindow="1785" windowWidth="29040" windowHeight="15840" tabRatio="777" xr2:uid="{00000000-000D-0000-FFFF-FFFF00000000}"/>
  </bookViews>
  <sheets>
    <sheet name="Information Page 1" sheetId="37" r:id="rId1"/>
    <sheet name="Information Page 2" sheetId="39" r:id="rId2"/>
    <sheet name="Information Page 3" sheetId="42" r:id="rId3"/>
    <sheet name="A Inputs and Summary" sheetId="1" r:id="rId4"/>
    <sheet name="B Rate DTS and Riders" sheetId="32" r:id="rId5"/>
    <sheet name="C Rate PSC and Rider" sheetId="41" r:id="rId6"/>
    <sheet name="D Rate STS and Riders" sheetId="33" r:id="rId7"/>
    <sheet name="Lookup" sheetId="43" state="hidden" r:id="rId8"/>
  </sheets>
  <definedNames>
    <definedName name="AccountID">'A Inputs and Summary'!$D$11</definedName>
    <definedName name="AESOTariff">Lookup!$C$1:$Z$1</definedName>
    <definedName name="EstimateType">'A Inputs and Summary'!$I$15</definedName>
    <definedName name="OtherParticipant">'A Inputs and Summary'!$I$16</definedName>
    <definedName name="ParticipantName">'A Inputs and Summary'!$D$10</definedName>
    <definedName name="PreparationDate">'A Inputs and Summary'!$D$12</definedName>
    <definedName name="PrimaryServiceCredit">'A Inputs and Summary'!$I$17</definedName>
    <definedName name="_xlnm.Print_Area" localSheetId="3">'A Inputs and Summary'!$A$1:$K$63</definedName>
    <definedName name="_xlnm.Print_Area" localSheetId="4">'B Rate DTS and Riders'!$A$1:$J$62</definedName>
    <definedName name="_xlnm.Print_Area" localSheetId="5">'C Rate PSC and Rider'!$A$1:$K$33</definedName>
    <definedName name="_xlnm.Print_Area" localSheetId="6">'D Rate STS and Riders'!$B$1:$K$36</definedName>
    <definedName name="_xlnm.Print_Area" localSheetId="0">'Information Page 1'!$A$1:$G$57</definedName>
    <definedName name="_xlnm.Print_Area" localSheetId="1">'Information Page 2'!$A$1:$G$62</definedName>
    <definedName name="_xlnm.Print_Area" localSheetId="2">'Information Page 3'!$A$1:$H$27</definedName>
    <definedName name="ReceivePSC">'A Inputs and Summary'!$H$29</definedName>
    <definedName name="RegulatedGeneratingUnit">'A Inputs and Summary'!$I$18</definedName>
    <definedName name="RiderC">'A Inputs and Summary'!$I$19</definedName>
    <definedName name="RiderE">'A Inputs and Summary'!$I$20</definedName>
    <definedName name="RiderF">'A Inputs and Summary'!$I$21</definedName>
    <definedName name="RiderJ">'A Inputs and Summary'!$I$22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33" l="1"/>
  <c r="B8" i="41"/>
  <c r="A8" i="32"/>
  <c r="I43" i="1" l="1"/>
  <c r="H22" i="32"/>
  <c r="H47" i="32" s="1"/>
  <c r="I37" i="1"/>
  <c r="H21" i="32" s="1"/>
  <c r="E40" i="32" s="1"/>
  <c r="I36" i="1"/>
  <c r="J36" i="1" s="1"/>
  <c r="K12" i="1"/>
  <c r="K12" i="41" s="1"/>
  <c r="K11" i="1"/>
  <c r="J11" i="32" s="1"/>
  <c r="G28" i="41"/>
  <c r="J16" i="41"/>
  <c r="J23" i="41" s="1"/>
  <c r="C16" i="41"/>
  <c r="C15" i="41"/>
  <c r="D12" i="41"/>
  <c r="D11" i="41"/>
  <c r="K10" i="41"/>
  <c r="G22" i="41" s="1"/>
  <c r="D10" i="41"/>
  <c r="K27" i="1"/>
  <c r="J27" i="1"/>
  <c r="I27" i="1"/>
  <c r="H15" i="32" s="1"/>
  <c r="J34" i="1"/>
  <c r="J35" i="1" s="1"/>
  <c r="I16" i="33"/>
  <c r="I15" i="33"/>
  <c r="I23" i="33" s="1"/>
  <c r="G32" i="33"/>
  <c r="F59" i="32"/>
  <c r="H16" i="32"/>
  <c r="H46" i="32" s="1"/>
  <c r="F29" i="33"/>
  <c r="G29" i="33"/>
  <c r="K29" i="33"/>
  <c r="J49" i="1"/>
  <c r="J57" i="1" s="1"/>
  <c r="I17" i="33"/>
  <c r="F23" i="33"/>
  <c r="G23" i="33"/>
  <c r="K23" i="33"/>
  <c r="I35" i="1"/>
  <c r="H19" i="32" s="1"/>
  <c r="I32" i="1"/>
  <c r="I16" i="41" s="1"/>
  <c r="I18" i="33"/>
  <c r="I25" i="33"/>
  <c r="K25" i="33"/>
  <c r="J15" i="33"/>
  <c r="J23" i="33" s="1"/>
  <c r="J18" i="33"/>
  <c r="J25" i="33" s="1"/>
  <c r="I30" i="1"/>
  <c r="H17" i="32" s="1"/>
  <c r="H28" i="32" s="1"/>
  <c r="J16" i="33"/>
  <c r="C18" i="33"/>
  <c r="C17" i="33"/>
  <c r="D10" i="33"/>
  <c r="K10" i="33"/>
  <c r="G25" i="33" s="1"/>
  <c r="D11" i="33"/>
  <c r="D12" i="33"/>
  <c r="C15" i="33"/>
  <c r="C16" i="33"/>
  <c r="J32" i="33"/>
  <c r="B21" i="32"/>
  <c r="B22" i="32"/>
  <c r="B20" i="32"/>
  <c r="B15" i="32"/>
  <c r="B19" i="32"/>
  <c r="B18" i="32"/>
  <c r="B16" i="32"/>
  <c r="I59" i="32"/>
  <c r="I22" i="32"/>
  <c r="I47" i="32" s="1"/>
  <c r="I16" i="32"/>
  <c r="I46" i="32" s="1"/>
  <c r="I19" i="32"/>
  <c r="I44" i="32" s="1"/>
  <c r="I18" i="32"/>
  <c r="I38" i="32" s="1"/>
  <c r="I17" i="32"/>
  <c r="I28" i="32" s="1"/>
  <c r="I20" i="32"/>
  <c r="J10" i="32"/>
  <c r="F37" i="32" s="1"/>
  <c r="C11" i="32"/>
  <c r="C12" i="32"/>
  <c r="C10" i="32"/>
  <c r="I29" i="33"/>
  <c r="I32" i="33"/>
  <c r="K32" i="33"/>
  <c r="J51" i="1"/>
  <c r="J59" i="1" s="1"/>
  <c r="J29" i="33"/>
  <c r="K51" i="1"/>
  <c r="K59" i="1" s="1"/>
  <c r="K49" i="1"/>
  <c r="K57" i="1" s="1"/>
  <c r="K26" i="33"/>
  <c r="J47" i="1"/>
  <c r="J55" i="1" s="1"/>
  <c r="K34" i="33"/>
  <c r="J52" i="1"/>
  <c r="J60" i="1" s="1"/>
  <c r="H54" i="32"/>
  <c r="J54" i="32"/>
  <c r="I20" i="41"/>
  <c r="K20" i="41"/>
  <c r="H55" i="32"/>
  <c r="J55" i="32"/>
  <c r="H59" i="32"/>
  <c r="J59" i="32"/>
  <c r="H50" i="1"/>
  <c r="H58" i="1" s="1"/>
  <c r="H52" i="32"/>
  <c r="J52" i="32"/>
  <c r="H53" i="32"/>
  <c r="J53" i="32"/>
  <c r="I24" i="41"/>
  <c r="K24" i="41"/>
  <c r="H51" i="32"/>
  <c r="J51" i="32"/>
  <c r="J56" i="32"/>
  <c r="H48" i="1"/>
  <c r="H56" i="1" s="1"/>
  <c r="I23" i="41"/>
  <c r="K23" i="41"/>
  <c r="I22" i="41"/>
  <c r="K22" i="41"/>
  <c r="I21" i="41"/>
  <c r="K21" i="41"/>
  <c r="I28" i="41"/>
  <c r="K28" i="41"/>
  <c r="K29" i="41"/>
  <c r="I48" i="1"/>
  <c r="I56" i="1" s="1"/>
  <c r="K50" i="1"/>
  <c r="K58" i="1" s="1"/>
  <c r="K25" i="41"/>
  <c r="I47" i="1"/>
  <c r="K31" i="41"/>
  <c r="K48" i="1"/>
  <c r="K56" i="1" s="1"/>
  <c r="F31" i="32" l="1"/>
  <c r="I36" i="32"/>
  <c r="I15" i="41"/>
  <c r="I42" i="32"/>
  <c r="I35" i="32"/>
  <c r="H18" i="32"/>
  <c r="H36" i="32" s="1"/>
  <c r="I31" i="32"/>
  <c r="I37" i="32"/>
  <c r="H34" i="32"/>
  <c r="I40" i="32"/>
  <c r="I29" i="32"/>
  <c r="I32" i="32"/>
  <c r="F47" i="32"/>
  <c r="J47" i="32" s="1"/>
  <c r="G21" i="41"/>
  <c r="H40" i="32"/>
  <c r="H29" i="32"/>
  <c r="H42" i="32"/>
  <c r="H32" i="32"/>
  <c r="H44" i="32"/>
  <c r="F35" i="32"/>
  <c r="I52" i="1"/>
  <c r="K11" i="41"/>
  <c r="J24" i="41"/>
  <c r="F28" i="32"/>
  <c r="J28" i="32" s="1"/>
  <c r="J21" i="41"/>
  <c r="F38" i="32"/>
  <c r="F32" i="32"/>
  <c r="F29" i="32"/>
  <c r="J22" i="41"/>
  <c r="F42" i="32"/>
  <c r="F46" i="32"/>
  <c r="J46" i="32" s="1"/>
  <c r="H20" i="32"/>
  <c r="F40" i="32" s="1"/>
  <c r="F44" i="32"/>
  <c r="F36" i="32"/>
  <c r="G24" i="41"/>
  <c r="G23" i="41"/>
  <c r="I55" i="1"/>
  <c r="I60" i="1" s="1"/>
  <c r="F34" i="32"/>
  <c r="K11" i="33"/>
  <c r="K12" i="33"/>
  <c r="G20" i="41"/>
  <c r="J12" i="32"/>
  <c r="J34" i="32" l="1"/>
  <c r="J44" i="32"/>
  <c r="H37" i="32"/>
  <c r="J37" i="32" s="1"/>
  <c r="H35" i="32"/>
  <c r="J35" i="32" s="1"/>
  <c r="H38" i="32"/>
  <c r="J38" i="32" s="1"/>
  <c r="J32" i="32"/>
  <c r="H31" i="32"/>
  <c r="J31" i="32" s="1"/>
  <c r="J36" i="32"/>
  <c r="J40" i="32"/>
  <c r="J42" i="32"/>
  <c r="J29" i="32"/>
  <c r="J48" i="32" l="1"/>
  <c r="J61" i="32" s="1"/>
  <c r="H47" i="1" l="1"/>
  <c r="H52" i="1" s="1"/>
  <c r="K47" i="1" l="1"/>
  <c r="K52" i="1" s="1"/>
  <c r="H55" i="1"/>
  <c r="K55" i="1" s="1"/>
  <c r="K60" i="1" s="1"/>
  <c r="H60" i="1" l="1"/>
</calcChain>
</file>

<file path=xl/sharedStrings.xml><?xml version="1.0" encoding="utf-8"?>
<sst xmlns="http://schemas.openxmlformats.org/spreadsheetml/2006/main" count="504" uniqueCount="302">
  <si>
    <t>Tariff:</t>
  </si>
  <si>
    <t>Effective:</t>
  </si>
  <si>
    <t>To:</t>
  </si>
  <si>
    <t>Other</t>
  </si>
  <si>
    <t>MW</t>
  </si>
  <si>
    <t>Date:</t>
  </si>
  <si>
    <t>Reference</t>
  </si>
  <si>
    <t>Amount</t>
  </si>
  <si>
    <t>NA</t>
  </si>
  <si>
    <t>(a)</t>
  </si>
  <si>
    <t>(b)</t>
  </si>
  <si>
    <t>(c)</t>
  </si>
  <si>
    <t>(d)</t>
  </si>
  <si>
    <t>(e)</t>
  </si>
  <si>
    <t>(f)</t>
  </si>
  <si>
    <t>(g)</t>
  </si>
  <si>
    <t>(h)</t>
  </si>
  <si>
    <t>(j)</t>
  </si>
  <si>
    <t>(k)</t>
  </si>
  <si>
    <t>(l)</t>
  </si>
  <si>
    <t>Date Prepared</t>
  </si>
  <si>
    <t>Revision History</t>
  </si>
  <si>
    <t>Current</t>
  </si>
  <si>
    <t>Account:</t>
  </si>
  <si>
    <t>Account ID</t>
  </si>
  <si>
    <t>Units</t>
  </si>
  <si>
    <t>%</t>
  </si>
  <si>
    <t>hours</t>
  </si>
  <si>
    <t>MWh</t>
  </si>
  <si>
    <t>$/MWh</t>
  </si>
  <si>
    <t>Bulk System Charge</t>
  </si>
  <si>
    <t>Coincident metered demand</t>
  </si>
  <si>
    <t>Metered energy</t>
  </si>
  <si>
    <t>Billing capacity</t>
  </si>
  <si>
    <t>Point of Delivery Charge</t>
  </si>
  <si>
    <t>Substation fraction</t>
  </si>
  <si>
    <t>All remaining MW of billing capacity</t>
  </si>
  <si>
    <t>Connection Charge</t>
  </si>
  <si>
    <t>Operating Reserve Charge Estimate</t>
  </si>
  <si>
    <t>5</t>
  </si>
  <si>
    <t>Voltage Control Charge</t>
  </si>
  <si>
    <t>Other System Support Services Charge</t>
  </si>
  <si>
    <t>3(a)</t>
  </si>
  <si>
    <t>3(b)</t>
  </si>
  <si>
    <t>3(c)</t>
  </si>
  <si>
    <t>3(e)</t>
  </si>
  <si>
    <t>3(f)</t>
  </si>
  <si>
    <t>3(g)</t>
  </si>
  <si>
    <t>3(h)</t>
  </si>
  <si>
    <t>3(i)</t>
  </si>
  <si>
    <t>First (7.5 × SF) MW of billing capacity</t>
  </si>
  <si>
    <t>Next (9.5 × SF) MW of billing capacity</t>
  </si>
  <si>
    <t>Next (23 × SF) MW of billing capacity</t>
  </si>
  <si>
    <t>Substation fraction (SF)</t>
  </si>
  <si>
    <t>Loss factor</t>
  </si>
  <si>
    <t>3(d)</t>
  </si>
  <si>
    <t>Charge</t>
  </si>
  <si>
    <t>Volume</t>
  </si>
  <si>
    <t>/MWh</t>
  </si>
  <si>
    <t>/month</t>
  </si>
  <si>
    <t>/MW/month</t>
  </si>
  <si>
    <t>pool price</t>
  </si>
  <si>
    <t>Highest metered demand</t>
  </si>
  <si>
    <t>Apparent power difference</t>
  </si>
  <si>
    <t>/MVA/month</t>
  </si>
  <si>
    <t>MVA</t>
  </si>
  <si>
    <t>2(a)</t>
  </si>
  <si>
    <t>2(b)</t>
  </si>
  <si>
    <t>2(c)</t>
  </si>
  <si>
    <t>2(d)</t>
  </si>
  <si>
    <t>2(e)</t>
  </si>
  <si>
    <t>2</t>
  </si>
  <si>
    <t>Rider F credit</t>
  </si>
  <si>
    <t>Rate DTS: Demand Transmission Service</t>
  </si>
  <si>
    <t>Rate PSC: Primary Service Credit</t>
  </si>
  <si>
    <t>Rider C: Deferral Account Adjustment Rider</t>
  </si>
  <si>
    <t>Rider F: Balancing Pool Consumer Allocation Rider</t>
  </si>
  <si>
    <t>Total Rate DTS charge</t>
  </si>
  <si>
    <t>Total Rate PSC credit</t>
  </si>
  <si>
    <t>Billing Quantity</t>
  </si>
  <si>
    <t>Rate or Rider Component</t>
  </si>
  <si>
    <t>Pool price</t>
  </si>
  <si>
    <t>DTS:3(2)</t>
  </si>
  <si>
    <t>Include Deferral Account Adjustment Rider C?</t>
  </si>
  <si>
    <t>Include Balancing Pool Consumer Allocation Rider F?</t>
  </si>
  <si>
    <t>Include Wind Forecasting Service Cost Recovery Rider J?</t>
  </si>
  <si>
    <t>Rate DTS</t>
  </si>
  <si>
    <t>Rate STS</t>
  </si>
  <si>
    <t>—</t>
  </si>
  <si>
    <t>Include Losses Calibration Factor Rider E?</t>
  </si>
  <si>
    <t>Choice</t>
  </si>
  <si>
    <t>BILLING DETERMINANTS</t>
  </si>
  <si>
    <t>Participant</t>
  </si>
  <si>
    <t>Regulated generating unit MW</t>
  </si>
  <si>
    <t>(m)</t>
  </si>
  <si>
    <t>(n)</t>
  </si>
  <si>
    <t>(o)</t>
  </si>
  <si>
    <t>(p)</t>
  </si>
  <si>
    <t>(q)</t>
  </si>
  <si>
    <t>(r)</t>
  </si>
  <si>
    <t>(s)</t>
  </si>
  <si>
    <t>(t)</t>
  </si>
  <si>
    <t>(u)</t>
  </si>
  <si>
    <t>(v)</t>
  </si>
  <si>
    <t>(w)</t>
  </si>
  <si>
    <t>(x)</t>
  </si>
  <si>
    <t>Total</t>
  </si>
  <si>
    <t>— </t>
  </si>
  <si>
    <t>BILL ESTIMATES: MONTHLY</t>
  </si>
  <si>
    <r>
      <t xml:space="preserve">BILL ESTIMATES: ANNUAL (Monthly </t>
    </r>
    <r>
      <rPr>
        <b/>
        <sz val="10"/>
        <rFont val="Arial"/>
        <family val="2"/>
      </rPr>
      <t>×</t>
    </r>
    <r>
      <rPr>
        <b/>
        <sz val="10"/>
        <rFont val="Arial"/>
        <family val="2"/>
      </rPr>
      <t xml:space="preserve"> 12)</t>
    </r>
  </si>
  <si>
    <t>(2)</t>
  </si>
  <si>
    <t>(3)</t>
  </si>
  <si>
    <t>(4)</t>
  </si>
  <si>
    <t>(5)</t>
  </si>
  <si>
    <t>(6)</t>
  </si>
  <si>
    <t>(7)</t>
  </si>
  <si>
    <t>(8)</t>
  </si>
  <si>
    <t>(9)</t>
  </si>
  <si>
    <t>(10)</t>
  </si>
  <si>
    <t>(11)</t>
  </si>
  <si>
    <t>(12)</t>
  </si>
  <si>
    <t>4</t>
  </si>
  <si>
    <t>Is estimate for Rate DTS, Rate STS or both?</t>
  </si>
  <si>
    <t>Does Primary Service Credit apply to service?</t>
  </si>
  <si>
    <t>This Market Participant</t>
  </si>
  <si>
    <t>(1)</t>
  </si>
  <si>
    <t>(y)</t>
  </si>
  <si>
    <t>% of pool price for operating reserve charge</t>
  </si>
  <si>
    <t>DTS:4(2)</t>
  </si>
  <si>
    <t>Rate STS: Supply Transmission Service</t>
  </si>
  <si>
    <t>Losses Charge</t>
  </si>
  <si>
    <t>Regulated Generating Unit Connection Cost</t>
  </si>
  <si>
    <t>Appendix A</t>
  </si>
  <si>
    <t>3</t>
  </si>
  <si>
    <t>/MW</t>
  </si>
  <si>
    <t>Rider E: Losses Calibration Factor Rider</t>
  </si>
  <si>
    <t>Rider J: Wind Forecasting Service Cost Recovery Rider</t>
  </si>
  <si>
    <t>Rider J charge</t>
  </si>
  <si>
    <t>Total Rate STS charge</t>
  </si>
  <si>
    <t>Total estimated charge in settlement period under Rate STS:</t>
  </si>
  <si>
    <t>Glossary</t>
  </si>
  <si>
    <t>ESTIMATE DETAILS</t>
  </si>
  <si>
    <t>(i)</t>
  </si>
  <si>
    <t>which is on-line at the time of system peak.</t>
  </si>
  <si>
    <t>monthly and annual basis.</t>
  </si>
  <si>
    <t>Is this a regulated generating unit within its base life?</t>
  </si>
  <si>
    <t>approximates the hourly calculation using a percentage of pool price multiplied by metered energy.</t>
  </si>
  <si>
    <t>1         Purpose</t>
  </si>
  <si>
    <t>(z)</t>
  </si>
  <si>
    <t xml:space="preserve">certain actual charges on an hourly basis rather than on average monthly amounts, and actual charges </t>
  </si>
  <si>
    <t>will differ from the estimated charges.</t>
  </si>
  <si>
    <t>Estimate Details</t>
  </si>
  <si>
    <t>Billing Determinants</t>
  </si>
  <si>
    <t>tariff.</t>
  </si>
  <si>
    <t xml:space="preserve">The AESO calculates the operating reserve charge under Rate DTS as the sum of amounts calculated </t>
  </si>
  <si>
    <t xml:space="preserve">over all hours in the settlement period. The operating reserve charge estimate in this calculator </t>
  </si>
  <si>
    <t>AESO.</t>
  </si>
  <si>
    <t>Contract capacity:</t>
  </si>
  <si>
    <t>Substation fraction (SF):</t>
  </si>
  <si>
    <t>Highest metered demand in settlement period:</t>
  </si>
  <si>
    <t>Coincidence factor with 15-minute system peak:</t>
  </si>
  <si>
    <t>Coincident metered demand:</t>
  </si>
  <si>
    <t>Highest metered demand in previous 24 months:</t>
  </si>
  <si>
    <t>Load or capacity factor:</t>
  </si>
  <si>
    <t>Hours in month:</t>
  </si>
  <si>
    <t>Metered energy:</t>
  </si>
  <si>
    <t>Pool price:</t>
  </si>
  <si>
    <t>Loss factor:</t>
  </si>
  <si>
    <t>Regulated generating unit MW:</t>
  </si>
  <si>
    <t>Wind Forecasting Cost Recovery Rider J charge:</t>
  </si>
  <si>
    <t>Total monthly charges:</t>
  </si>
  <si>
    <t>Total annual charges:</t>
  </si>
  <si>
    <t>Initial Steps</t>
  </si>
  <si>
    <t xml:space="preserve"> </t>
  </si>
  <si>
    <r>
      <t xml:space="preserve">•    Rate DTS of the ISO tariff, </t>
    </r>
    <r>
      <rPr>
        <i/>
        <sz val="10"/>
        <rFont val="Arial"/>
        <family val="2"/>
      </rPr>
      <t>Demand Transmission Service</t>
    </r>
    <r>
      <rPr>
        <sz val="10"/>
        <rFont val="Arial"/>
        <family val="2"/>
      </rPr>
      <t>;</t>
    </r>
  </si>
  <si>
    <r>
      <t xml:space="preserve">•    Rate PSC of the ISO tariff, </t>
    </r>
    <r>
      <rPr>
        <i/>
        <sz val="10"/>
        <rFont val="Arial"/>
        <family val="2"/>
      </rPr>
      <t>Primary Service Credit</t>
    </r>
    <r>
      <rPr>
        <sz val="10"/>
        <rFont val="Arial"/>
        <family val="2"/>
      </rPr>
      <t>; and</t>
    </r>
  </si>
  <si>
    <r>
      <t xml:space="preserve">•    Rate STS of the ISO tariff, </t>
    </r>
    <r>
      <rPr>
        <i/>
        <sz val="10"/>
        <rFont val="Arial"/>
        <family val="2"/>
      </rPr>
      <t>Supply Transmission Service</t>
    </r>
    <r>
      <rPr>
        <sz val="10"/>
        <rFont val="Arial"/>
        <family val="2"/>
      </rPr>
      <t>.</t>
    </r>
  </si>
  <si>
    <t>2         Completing the Bill Estimator</t>
  </si>
  <si>
    <t xml:space="preserve">This section describes how a market participant may complete the bill estimator to estimate monthly </t>
  </si>
  <si>
    <t>charges for system access service.</t>
  </si>
  <si>
    <t xml:space="preserve">In row (l), enter the coincidence factor reflecting the percentage of highest metered demand in row (k) </t>
  </si>
  <si>
    <t xml:space="preserve">In row (p), enter the load or capacity factor reflecting the average demand during the month as a </t>
  </si>
  <si>
    <t>percentage of the highest metered demand during the month.</t>
  </si>
  <si>
    <t>3         Bill Estimates</t>
  </si>
  <si>
    <t>4         Limitations</t>
  </si>
  <si>
    <r>
      <rPr>
        <i/>
        <sz val="10"/>
        <rFont val="Arial"/>
        <family val="2"/>
      </rPr>
      <t>Operating Reserve Charge Calculation</t>
    </r>
    <r>
      <rPr>
        <sz val="10"/>
        <rFont val="Arial"/>
        <family val="2"/>
      </rPr>
      <t>, for more information.</t>
    </r>
  </si>
  <si>
    <r>
      <t xml:space="preserve">For additional definitions of billing determinants see the </t>
    </r>
    <r>
      <rPr>
        <i/>
        <sz val="10"/>
        <rFont val="Arial"/>
        <family val="2"/>
      </rPr>
      <t>Consolidated Authoritative Documents Glossary</t>
    </r>
    <r>
      <rPr>
        <sz val="10"/>
        <rFont val="Arial"/>
        <family val="2"/>
      </rPr>
      <t xml:space="preserve"> </t>
    </r>
  </si>
  <si>
    <t>Initial release.</t>
  </si>
  <si>
    <t xml:space="preserve">The AESO calculates the transmission constraint rebalancing charge under Rate DTS as the sum of </t>
  </si>
  <si>
    <t xml:space="preserve">amounts calculated over hours in which transmission constraint rebalancing payments are made during </t>
  </si>
  <si>
    <t xml:space="preserve">the settlement period. The transmission constraint rebalancing charge estimate in this calculator </t>
  </si>
  <si>
    <t>approximates the hourly calculation using a constant $/MWh charge multiplied by metered energy.</t>
  </si>
  <si>
    <t>6</t>
  </si>
  <si>
    <t>7(a)</t>
  </si>
  <si>
    <t>7(b)</t>
  </si>
  <si>
    <t>DTS:7(b)</t>
  </si>
  <si>
    <t>Regional System Charge</t>
  </si>
  <si>
    <t>Transmission Constraint Rebalancing Charge Estimate</t>
  </si>
  <si>
    <t>Operating reserve charge</t>
  </si>
  <si>
    <t>Voltage control charge</t>
  </si>
  <si>
    <t>Connection charge</t>
  </si>
  <si>
    <t>Transmission constraint rebalancing</t>
  </si>
  <si>
    <t>Other system support services</t>
  </si>
  <si>
    <t>Total Rider C charge or credit</t>
  </si>
  <si>
    <t>Rates DTS and PSC</t>
  </si>
  <si>
    <t>Relates to</t>
  </si>
  <si>
    <t>Quarterly Rider C charge (credit):</t>
  </si>
  <si>
    <t>Balancing Pool Rider F charge (credit):</t>
  </si>
  <si>
    <t>Attachm’t B</t>
  </si>
  <si>
    <t>(aa)</t>
  </si>
  <si>
    <t>Primary service credit</t>
  </si>
  <si>
    <t>Total estimated charge in settlement period under Rate DTS:</t>
  </si>
  <si>
    <t>Rate PSC</t>
  </si>
  <si>
    <t>Deferral Account Adjustment Rider C:</t>
  </si>
  <si>
    <t>Billing cap’y (highest of 90%×(i), (k) or 90%×(n)):</t>
  </si>
  <si>
    <t>% of pool price for OR charge estimate:</t>
  </si>
  <si>
    <t>Apparent power difference (when PF &lt; 90%):</t>
  </si>
  <si>
    <t>Quarterly Rider E calibrat’n factor charge (credit):</t>
  </si>
  <si>
    <t>Transmission service charge (credit):</t>
  </si>
  <si>
    <t>Losses Calibration Factor Rider E:</t>
  </si>
  <si>
    <t>Balancing Pool Consumer Allocation Rider F:</t>
  </si>
  <si>
    <t>Wind Forecasting Service Cost Recovery Rider J:</t>
  </si>
  <si>
    <t>Total estimated credit in settlement period under Rate PSC:</t>
  </si>
  <si>
    <t>Credit</t>
  </si>
  <si>
    <t>Total Rider C charge (credit)</t>
  </si>
  <si>
    <t>highlighted in yellow. Input messages have been provided for cells where information is to be entered.</t>
  </si>
  <si>
    <t>other sheets.</t>
  </si>
  <si>
    <t xml:space="preserve">In row (y), enter the value for the Rider E adjustment, as applicable and as provided in the Rider E </t>
  </si>
  <si>
    <t>applicable and as provided in the current ISO tariff on the AESO website.</t>
  </si>
  <si>
    <t xml:space="preserve">In rows (z) and (aa), confirm the values for the Rider F charge or credit and the Rider J charge, as </t>
  </si>
  <si>
    <t>credits, as applicable and as provided in the Rider C quarterly deferral estimate on the AESO website.</t>
  </si>
  <si>
    <t>sheets are set up for printing, each as a single letter-size page.</t>
  </si>
  <si>
    <t>DTS Only</t>
  </si>
  <si>
    <t>No</t>
  </si>
  <si>
    <t>AESO 2019</t>
  </si>
  <si>
    <t>Tariff</t>
  </si>
  <si>
    <t>AESO 2015</t>
  </si>
  <si>
    <t>AESO 2016</t>
  </si>
  <si>
    <t>AESO 2017</t>
  </si>
  <si>
    <t>AESO 2018</t>
  </si>
  <si>
    <t>AESO 2020</t>
  </si>
  <si>
    <t>Effective On</t>
  </si>
  <si>
    <t>End Date</t>
  </si>
  <si>
    <t>metered energy</t>
  </si>
  <si>
    <t>Metered Energy</t>
  </si>
  <si>
    <t>Rate DTS Charge</t>
  </si>
  <si>
    <t>(e) Substation fraction (SF)</t>
  </si>
  <si>
    <t>(f) First (7.5 × SF) MW of billing capacity</t>
  </si>
  <si>
    <t>(g) Next (9.5 × SF) MW of billing capacity</t>
  </si>
  <si>
    <t>(h) Next (23 × SF) MW of billing capacity</t>
  </si>
  <si>
    <t>(i) All remaining MW of billing capacity</t>
  </si>
  <si>
    <t>Rate PSC Credit</t>
  </si>
  <si>
    <t>Operating Reserve Charge</t>
  </si>
  <si>
    <t>Multiplier</t>
  </si>
  <si>
    <t>Transmission Constraint Rebalancing Charge</t>
  </si>
  <si>
    <t>Apparent Power Difference</t>
  </si>
  <si>
    <t>charges for system access service under the rates and riders of the ISO tariff. Including Rate DTS,</t>
  </si>
  <si>
    <t>Rider F</t>
  </si>
  <si>
    <t>AESO 2021</t>
  </si>
  <si>
    <t>2021-01-01</t>
  </si>
  <si>
    <r>
      <t>Information documents are not authoritative. Information documents are for information purposes only and are intended to provide guidance. In the event of any discrepancy between an information document and any authoritative document</t>
    </r>
    <r>
      <rPr>
        <vertAlign val="superscript"/>
        <sz val="10"/>
        <rFont val="Arial"/>
        <family val="2"/>
      </rPr>
      <t>1</t>
    </r>
    <r>
      <rPr>
        <sz val="10"/>
        <rFont val="Arial"/>
        <family val="2"/>
      </rPr>
      <t xml:space="preserve"> in effect, the authoritative document governs.</t>
    </r>
  </si>
  <si>
    <r>
      <rPr>
        <vertAlign val="superscript"/>
        <sz val="9"/>
        <rFont val="Arial"/>
        <family val="2"/>
      </rPr>
      <t>1</t>
    </r>
    <r>
      <rPr>
        <sz val="9"/>
        <rFont val="Arial"/>
        <family val="2"/>
      </rPr>
      <t xml:space="preserve"> “Authoritative document”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</si>
  <si>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associated regulations, and that contain binding legal requirements for </t>
    </r>
  </si>
  <si>
    <t>either market participants or the AESO, or both. Authoritative documents include: the ISO rules, the reliability standards</t>
  </si>
  <si>
    <t>and the ISO tariff.</t>
  </si>
  <si>
    <t>Attachments</t>
  </si>
  <si>
    <t>Attachment A - Inputs and Summary</t>
  </si>
  <si>
    <t>Attachment B - Rate DTS and Riders</t>
  </si>
  <si>
    <t>Attachment C - Rate PSC and Rider</t>
  </si>
  <si>
    <t>Attachment D - Rate STS and Riders</t>
  </si>
  <si>
    <t>Attachment A: Inputs and Summary</t>
  </si>
  <si>
    <t>This information document relates to the following authoritative documents:</t>
  </si>
  <si>
    <t xml:space="preserve">The purpose of this information document is to allow a market participant to estimate the monthly </t>
  </si>
  <si>
    <r>
      <rPr>
        <i/>
        <sz val="10"/>
        <rFont val="Arial"/>
        <family val="2"/>
      </rPr>
      <t>Demand Transmission Service</t>
    </r>
    <r>
      <rPr>
        <sz val="10"/>
        <rFont val="Arial"/>
        <family val="2"/>
      </rPr>
      <t xml:space="preserve">, Rate PSC, </t>
    </r>
    <r>
      <rPr>
        <i/>
        <sz val="10"/>
        <rFont val="Arial"/>
        <family val="2"/>
      </rPr>
      <t xml:space="preserve">Primary Service Credit, </t>
    </r>
    <r>
      <rPr>
        <sz val="10"/>
        <rFont val="Arial"/>
        <family val="2"/>
      </rPr>
      <t xml:space="preserve">and Rate STS, </t>
    </r>
    <r>
      <rPr>
        <i/>
        <sz val="10"/>
        <rFont val="Arial"/>
        <family val="2"/>
      </rPr>
      <t>Supply</t>
    </r>
  </si>
  <si>
    <r>
      <rPr>
        <i/>
        <sz val="10"/>
        <rFont val="Arial"/>
        <family val="2"/>
      </rPr>
      <t>Transmission Service</t>
    </r>
    <r>
      <rPr>
        <sz val="10"/>
        <rFont val="Arial"/>
        <family val="2"/>
      </rPr>
      <t>.</t>
    </r>
  </si>
  <si>
    <t xml:space="preserve">The calculations in this nformation document provide estimated charges only. The AESO calculates </t>
  </si>
  <si>
    <t xml:space="preserve">the default text. Enter the values used to estimate a bill on the same sheet and, for Quarterly Rider C </t>
  </si>
  <si>
    <r>
      <rPr>
        <i/>
        <sz val="10"/>
        <rFont val="Arial"/>
        <family val="2"/>
      </rPr>
      <t>Summary</t>
    </r>
    <r>
      <rPr>
        <sz val="10"/>
        <rFont val="Arial"/>
        <family val="2"/>
      </rPr>
      <t xml:space="preserve"> sheet. The choices in these cells affect other input cells as well as calculations on this and </t>
    </r>
  </si>
  <si>
    <t>Rate DTS and Rate STS, which are connected at the same substation.</t>
  </si>
  <si>
    <t>applicable, and as provided in the current ISO tariff on the AESO website.</t>
  </si>
  <si>
    <t xml:space="preserve">on the AESO website and the Rate DTS, Rate STS, and other relevant rate and rider sheets in the ISO </t>
  </si>
  <si>
    <t xml:space="preserve">Additional detail on calculations of the monthly Rate DTS, Rate PSC, and Rate STS charges are provided </t>
  </si>
  <si>
    <t xml:space="preserve">Please refer to the Rate DTS section in the ISO tariff and to information document #2011-004T, </t>
  </si>
  <si>
    <t>for more information.</t>
  </si>
  <si>
    <r>
      <t xml:space="preserve">Refer to information document ID #2016-017T, </t>
    </r>
    <r>
      <rPr>
        <i/>
        <sz val="10"/>
        <rFont val="Arial"/>
        <family val="2"/>
      </rPr>
      <t>Transmission Constraint Rebalancing Charge</t>
    </r>
    <r>
      <rPr>
        <sz val="10"/>
        <rFont val="Arial"/>
        <family val="2"/>
      </rPr>
      <t xml:space="preserve">, </t>
    </r>
  </si>
  <si>
    <t xml:space="preserve">For confirmation on billing information or for questions relating to actual AESO charges, please contact the </t>
  </si>
  <si>
    <r>
      <t xml:space="preserve">Enter information identifying the service at the top of the </t>
    </r>
    <r>
      <rPr>
        <i/>
        <sz val="10"/>
        <rFont val="Arial"/>
        <family val="2"/>
      </rPr>
      <t>A - Inputs and Summary</t>
    </r>
    <r>
      <rPr>
        <sz val="10"/>
        <rFont val="Arial"/>
        <family val="2"/>
      </rPr>
      <t xml:space="preserve"> sheet, which will replace</t>
    </r>
  </si>
  <si>
    <r>
      <t xml:space="preserve">amounts, on the </t>
    </r>
    <r>
      <rPr>
        <i/>
        <sz val="10"/>
        <rFont val="Arial"/>
        <family val="2"/>
      </rPr>
      <t>B - Rate DTS and Riders</t>
    </r>
    <r>
      <rPr>
        <sz val="10"/>
        <rFont val="Arial"/>
        <family val="2"/>
      </rPr>
      <t xml:space="preserve"> sheet. Enter information and values only in the cells </t>
    </r>
  </si>
  <si>
    <r>
      <t xml:space="preserve">Provide estimate details by making the applicable choices in rows (a) through (h) of the </t>
    </r>
    <r>
      <rPr>
        <i/>
        <sz val="10"/>
        <rFont val="Arial"/>
        <family val="2"/>
      </rPr>
      <t xml:space="preserve">A - Inputs and </t>
    </r>
  </si>
  <si>
    <r>
      <t xml:space="preserve">On the </t>
    </r>
    <r>
      <rPr>
        <i/>
        <sz val="10"/>
        <rFont val="Arial"/>
        <family val="2"/>
      </rPr>
      <t>A - Inputs and Summary</t>
    </r>
    <r>
      <rPr>
        <sz val="10"/>
        <rFont val="Arial"/>
        <family val="2"/>
      </rPr>
      <t xml:space="preserve"> sheet, in row (i), enter contract capacities for all services under </t>
    </r>
  </si>
  <si>
    <r>
      <t xml:space="preserve">On the </t>
    </r>
    <r>
      <rPr>
        <i/>
        <sz val="10"/>
        <rFont val="Arial"/>
        <family val="2"/>
      </rPr>
      <t>B - Rate DTS and Riders</t>
    </r>
    <r>
      <rPr>
        <sz val="10"/>
        <rFont val="Arial"/>
        <family val="2"/>
      </rPr>
      <t xml:space="preserve"> sheet, in rows 2(a) to 2(e), enter the values for the Rider C charges or </t>
    </r>
  </si>
  <si>
    <r>
      <t xml:space="preserve">After all relevant values have been selected or entered on the </t>
    </r>
    <r>
      <rPr>
        <i/>
        <sz val="10"/>
        <rFont val="Arial"/>
        <family val="2"/>
      </rPr>
      <t>A - Inputs and Summary</t>
    </r>
    <r>
      <rPr>
        <sz val="10"/>
        <rFont val="Arial"/>
        <family val="2"/>
      </rPr>
      <t xml:space="preserve"> sheet and, for </t>
    </r>
  </si>
  <si>
    <r>
      <t xml:space="preserve">Quarterly Rider C amounts, on the </t>
    </r>
    <r>
      <rPr>
        <i/>
        <sz val="10"/>
        <rFont val="Arial"/>
        <family val="2"/>
      </rPr>
      <t>B - Rate DTS and Riders</t>
    </r>
    <r>
      <rPr>
        <sz val="10"/>
        <rFont val="Arial"/>
        <family val="2"/>
      </rPr>
      <t xml:space="preserve"> sheet, the charges under Rate DTS, </t>
    </r>
  </si>
  <si>
    <r>
      <t xml:space="preserve">Rate PSC and Rate STS are summarized at the bottom of the </t>
    </r>
    <r>
      <rPr>
        <i/>
        <sz val="10"/>
        <rFont val="Arial"/>
        <family val="2"/>
      </rPr>
      <t>A - Inputs and Summary</t>
    </r>
    <r>
      <rPr>
        <sz val="10"/>
        <rFont val="Arial"/>
        <family val="2"/>
      </rPr>
      <t xml:space="preserve"> sheet, on both a </t>
    </r>
  </si>
  <si>
    <r>
      <t xml:space="preserve">on the </t>
    </r>
    <r>
      <rPr>
        <i/>
        <sz val="10"/>
        <rFont val="Arial"/>
        <family val="2"/>
      </rPr>
      <t>B - Rate DTS and Riders</t>
    </r>
    <r>
      <rPr>
        <sz val="10"/>
        <rFont val="Arial"/>
        <family val="2"/>
      </rPr>
      <t xml:space="preserve">, </t>
    </r>
    <r>
      <rPr>
        <i/>
        <sz val="10"/>
        <rFont val="Arial"/>
        <family val="2"/>
      </rPr>
      <t>C - Rate PSC and Rider,</t>
    </r>
    <r>
      <rPr>
        <sz val="10"/>
        <rFont val="Arial"/>
        <family val="2"/>
      </rPr>
      <t xml:space="preserve"> and </t>
    </r>
    <r>
      <rPr>
        <i/>
        <sz val="10"/>
        <rFont val="Arial"/>
        <family val="2"/>
      </rPr>
      <t>D - Rate STS and Riders</t>
    </r>
    <r>
      <rPr>
        <sz val="10"/>
        <rFont val="Arial"/>
        <family val="2"/>
      </rPr>
      <t xml:space="preserve"> sheets. All </t>
    </r>
  </si>
  <si>
    <t>Any other market participant at substation?</t>
  </si>
  <si>
    <t>Date</t>
  </si>
  <si>
    <t>Description</t>
  </si>
  <si>
    <r>
      <t xml:space="preserve">Select the appropriate ISO tariff from the dropdown menu on cell "J10" of the </t>
    </r>
    <r>
      <rPr>
        <i/>
        <sz val="10"/>
        <rFont val="Arial"/>
        <family val="2"/>
      </rPr>
      <t>A - Inputs and Summary</t>
    </r>
    <r>
      <rPr>
        <sz val="10"/>
        <rFont val="Arial"/>
        <family val="2"/>
      </rPr>
      <t xml:space="preserve"> sheet</t>
    </r>
  </si>
  <si>
    <t>and confirm that the PILON calculator applies to the project by checking the effective date in cell "J11".</t>
  </si>
  <si>
    <t>Market Participant:</t>
  </si>
  <si>
    <t>Name of Market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</si>
</sst>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7" formatCode="&quot;$&quot;#,##0.00_);\(&quot;$&quot;#,##0.00\)"/>
    <numFmt numFmtId="8" formatCode="&quot;$&quot;#,##0.00_);[Red]\(&quot;$&quot;#,##0.00\)"/>
    <numFmt numFmtId="164" formatCode="0.00000"/>
    <numFmt numFmtId="165" formatCode="&quot;$&quot;#,##0.00"/>
    <numFmt numFmtId="166" formatCode="#,##0.0"/>
    <numFmt numFmtId="167" formatCode="#,##0.00000"/>
    <numFmt numFmtId="168" formatCode="&quot;$&quot;#,##0.00;\(&quot;$&quot;#,##0.00\)"/>
    <numFmt numFmtId="169" formatCode="&quot;× &quot;0.00%"/>
    <numFmt numFmtId="170" formatCode="&quot;= &quot;* &quot;$&quot;#,##0.00"/>
    <numFmt numFmtId="171" formatCode="0.00%;\(0.00%\)"/>
    <numFmt numFmtId="172" formatCode="[$-409]mmmm\ d\,\ yyyy;@"/>
    <numFmt numFmtId="173" formatCode="&quot;$&quot;#,##0.000"/>
    <numFmt numFmtId="174" formatCode="&quot;= &quot;* &quot;$&quot;#,##0.00;&quot;= &quot;* \(&quot;$&quot;#,##0.00\)"/>
    <numFmt numFmtId="175" formatCode="&quot;× &quot;0.00%;&quot;× &quot;\(0.00%\)"/>
    <numFmt numFmtId="176" formatCode="&quot;$&quot;#,##0.000_);[Red]\(&quot;$&quot;#,##0.000\)"/>
    <numFmt numFmtId="177" formatCode="mmm\ dd\,\ yyyy"/>
  </numFmts>
  <fonts count="28" x14ac:knownFonts="1">
    <font>
      <sz val="10"/>
      <name val="Arial"/>
    </font>
    <font>
      <sz val="11"/>
      <color theme="1"/>
      <name val="Calibri"/>
      <family val="2"/>
      <scheme val="minor"/>
    </font>
    <font>
      <sz val="8"/>
      <name val="Arial"/>
      <family val="2"/>
    </font>
    <font>
      <b/>
      <sz val="10"/>
      <name val="Arial"/>
      <family val="2"/>
    </font>
    <font>
      <sz val="10"/>
      <name val="Arial"/>
      <family val="2"/>
    </font>
    <font>
      <i/>
      <sz val="10"/>
      <name val="Arial"/>
      <family val="2"/>
    </font>
    <font>
      <sz val="10"/>
      <color indexed="55"/>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b/>
      <sz val="10"/>
      <color indexed="12"/>
      <name val="Arial"/>
      <family val="2"/>
    </font>
    <font>
      <sz val="10"/>
      <color indexed="12"/>
      <name val="Arial"/>
      <family val="2"/>
    </font>
    <font>
      <sz val="10"/>
      <color indexed="12"/>
      <name val="Arial"/>
      <family val="2"/>
    </font>
    <font>
      <sz val="10"/>
      <color indexed="22"/>
      <name val="Arial"/>
      <family val="2"/>
    </font>
    <font>
      <sz val="8"/>
      <name val="Arial"/>
      <family val="2"/>
    </font>
    <font>
      <sz val="4"/>
      <name val="Arial"/>
      <family val="2"/>
    </font>
    <font>
      <vertAlign val="superscript"/>
      <sz val="10"/>
      <name val="Arial"/>
      <family val="2"/>
    </font>
    <font>
      <sz val="7"/>
      <name val="Arial"/>
      <family val="2"/>
    </font>
    <font>
      <b/>
      <i/>
      <sz val="13"/>
      <color indexed="18"/>
      <name val="Arial"/>
      <family val="2"/>
    </font>
    <font>
      <sz val="9"/>
      <name val="Arial"/>
      <family val="2"/>
    </font>
    <font>
      <vertAlign val="superscript"/>
      <sz val="9"/>
      <name val="Arial"/>
      <family val="2"/>
    </font>
    <font>
      <i/>
      <sz val="9"/>
      <name val="Arial"/>
      <family val="2"/>
    </font>
    <font>
      <sz val="11"/>
      <color theme="1"/>
      <name val="Calibri"/>
      <family val="2"/>
      <scheme val="minor"/>
    </font>
    <font>
      <sz val="10"/>
      <color theme="1"/>
      <name val="Arial"/>
      <family val="2"/>
    </font>
    <font>
      <b/>
      <sz val="10"/>
      <color indexed="18"/>
      <name val="Arial"/>
      <family val="2"/>
    </font>
    <font>
      <b/>
      <sz val="12"/>
      <color theme="3"/>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6" fillId="0" borderId="0"/>
    <xf numFmtId="0" fontId="4" fillId="0" borderId="0"/>
    <xf numFmtId="0" fontId="9" fillId="0" borderId="0"/>
    <xf numFmtId="0" fontId="10" fillId="0" borderId="0"/>
    <xf numFmtId="0" fontId="11" fillId="0" borderId="0">
      <alignment vertical="top"/>
    </xf>
    <xf numFmtId="0" fontId="24" fillId="0" borderId="0"/>
    <xf numFmtId="9" fontId="24" fillId="0" borderId="0" applyFont="0" applyFill="0" applyBorder="0" applyAlignment="0" applyProtection="0"/>
    <xf numFmtId="0" fontId="4" fillId="0" borderId="0"/>
  </cellStyleXfs>
  <cellXfs count="205">
    <xf numFmtId="0" fontId="0" fillId="0" borderId="0" xfId="0"/>
    <xf numFmtId="0" fontId="20" fillId="0" borderId="0" xfId="5" applyFont="1">
      <alignment vertical="top"/>
    </xf>
    <xf numFmtId="0" fontId="0" fillId="0" borderId="0" xfId="0" quotePrefix="1"/>
    <xf numFmtId="0" fontId="10" fillId="0" borderId="0" xfId="4"/>
    <xf numFmtId="0" fontId="10" fillId="0" borderId="0" xfId="4" applyFont="1"/>
    <xf numFmtId="0" fontId="7" fillId="0" borderId="0" xfId="0" applyFont="1" applyProtection="1"/>
    <xf numFmtId="0" fontId="8" fillId="0" borderId="0" xfId="0" applyFont="1" applyProtection="1"/>
    <xf numFmtId="0" fontId="0" fillId="0" borderId="0" xfId="0" applyProtection="1"/>
    <xf numFmtId="0" fontId="0" fillId="0" borderId="0" xfId="0" quotePrefix="1" applyProtection="1"/>
    <xf numFmtId="0" fontId="3" fillId="0" borderId="0" xfId="0" applyFont="1" applyProtection="1"/>
    <xf numFmtId="0" fontId="3" fillId="0" borderId="0" xfId="0" applyFont="1" applyAlignment="1" applyProtection="1">
      <alignment horizontal="center"/>
    </xf>
    <xf numFmtId="5" fontId="0" fillId="0" borderId="0" xfId="0" applyNumberFormat="1" applyProtection="1"/>
    <xf numFmtId="0" fontId="0" fillId="0" borderId="0" xfId="0" applyAlignment="1">
      <alignment horizontal="center"/>
    </xf>
    <xf numFmtId="0" fontId="0" fillId="0" borderId="0" xfId="0" applyAlignment="1" applyProtection="1">
      <alignment horizontal="center"/>
    </xf>
    <xf numFmtId="0" fontId="3" fillId="0" borderId="0" xfId="0" applyFont="1" applyAlignment="1" applyProtection="1"/>
    <xf numFmtId="0" fontId="0" fillId="0" borderId="0" xfId="0" applyAlignment="1" applyProtection="1"/>
    <xf numFmtId="5" fontId="3" fillId="0" borderId="0" xfId="0" applyNumberFormat="1" applyFont="1" applyProtection="1"/>
    <xf numFmtId="0" fontId="0" fillId="0" borderId="1" xfId="0" quotePrefix="1" applyBorder="1" applyProtection="1"/>
    <xf numFmtId="0" fontId="0" fillId="0" borderId="2" xfId="0" applyBorder="1" applyProtection="1"/>
    <xf numFmtId="0" fontId="0" fillId="0" borderId="2" xfId="0" quotePrefix="1" applyBorder="1" applyProtection="1"/>
    <xf numFmtId="0" fontId="0" fillId="0" borderId="3" xfId="0" quotePrefix="1" applyBorder="1" applyProtection="1"/>
    <xf numFmtId="0" fontId="0" fillId="0" borderId="4" xfId="0" applyBorder="1" applyProtection="1"/>
    <xf numFmtId="0" fontId="0" fillId="0" borderId="4" xfId="0" quotePrefix="1" applyBorder="1" applyProtection="1"/>
    <xf numFmtId="0" fontId="0" fillId="0" borderId="5" xfId="0" quotePrefix="1" applyBorder="1" applyProtection="1"/>
    <xf numFmtId="0" fontId="0" fillId="0" borderId="0" xfId="0" applyBorder="1" applyProtection="1"/>
    <xf numFmtId="0" fontId="0" fillId="0" borderId="0" xfId="0" quotePrefix="1" applyBorder="1" applyProtection="1"/>
    <xf numFmtId="0" fontId="0" fillId="0" borderId="6" xfId="0" quotePrefix="1" applyBorder="1" applyProtection="1"/>
    <xf numFmtId="0" fontId="0" fillId="0" borderId="7" xfId="0" applyBorder="1" applyProtection="1"/>
    <xf numFmtId="0" fontId="0" fillId="0" borderId="7" xfId="0" quotePrefix="1" applyBorder="1" applyProtection="1"/>
    <xf numFmtId="5" fontId="0" fillId="0" borderId="0" xfId="0" applyNumberFormat="1" applyBorder="1" applyProtection="1"/>
    <xf numFmtId="0" fontId="3" fillId="0" borderId="0" xfId="0" applyFont="1" applyBorder="1" applyProtection="1"/>
    <xf numFmtId="0" fontId="3" fillId="0" borderId="0" xfId="0" applyFont="1" applyBorder="1" applyAlignment="1" applyProtection="1"/>
    <xf numFmtId="5" fontId="3" fillId="0" borderId="0" xfId="0" applyNumberFormat="1" applyFont="1" applyBorder="1" applyProtection="1"/>
    <xf numFmtId="0" fontId="0" fillId="0" borderId="8" xfId="0" applyBorder="1" applyProtection="1"/>
    <xf numFmtId="0" fontId="0" fillId="0" borderId="8" xfId="0" quotePrefix="1" applyBorder="1" applyProtection="1"/>
    <xf numFmtId="0" fontId="0" fillId="0" borderId="9" xfId="0" quotePrefix="1" applyBorder="1" applyProtection="1"/>
    <xf numFmtId="0" fontId="3" fillId="0" borderId="1" xfId="0" applyFont="1" applyBorder="1" applyProtection="1"/>
    <xf numFmtId="0" fontId="3" fillId="0" borderId="2" xfId="0" applyFont="1" applyBorder="1" applyProtection="1"/>
    <xf numFmtId="165" fontId="3" fillId="0" borderId="2" xfId="0" applyNumberFormat="1" applyFont="1" applyBorder="1" applyAlignment="1" applyProtection="1"/>
    <xf numFmtId="0" fontId="3" fillId="0" borderId="2" xfId="0" quotePrefix="1" applyFont="1" applyBorder="1" applyProtection="1"/>
    <xf numFmtId="166" fontId="3" fillId="0" borderId="2" xfId="0" applyNumberFormat="1" applyFont="1" applyBorder="1" applyProtection="1"/>
    <xf numFmtId="7" fontId="3" fillId="0" borderId="2" xfId="0" applyNumberFormat="1" applyFont="1" applyBorder="1" applyAlignment="1" applyProtection="1"/>
    <xf numFmtId="0" fontId="5" fillId="0" borderId="3" xfId="0" applyFont="1" applyBorder="1" applyProtection="1"/>
    <xf numFmtId="0" fontId="5" fillId="0" borderId="4" xfId="0" applyFont="1" applyBorder="1" applyProtection="1"/>
    <xf numFmtId="165" fontId="5" fillId="0" borderId="4" xfId="0" applyNumberFormat="1" applyFont="1" applyBorder="1" applyProtection="1"/>
    <xf numFmtId="0" fontId="5" fillId="0" borderId="4" xfId="0" applyFont="1" applyBorder="1" applyAlignment="1" applyProtection="1"/>
    <xf numFmtId="0" fontId="5" fillId="0" borderId="10" xfId="0" applyFont="1" applyBorder="1" applyProtection="1"/>
    <xf numFmtId="0" fontId="5" fillId="0" borderId="11" xfId="0" applyFont="1" applyBorder="1" applyProtection="1"/>
    <xf numFmtId="165" fontId="5" fillId="0" borderId="11" xfId="0" applyNumberFormat="1" applyFont="1" applyBorder="1" applyAlignment="1" applyProtection="1"/>
    <xf numFmtId="0" fontId="6" fillId="0" borderId="0" xfId="0" applyFont="1" applyFill="1" applyAlignment="1" applyProtection="1">
      <alignment horizontal="left" indent="2"/>
    </xf>
    <xf numFmtId="0" fontId="6" fillId="0" borderId="0" xfId="0" quotePrefix="1" applyFont="1" applyFill="1" applyProtection="1"/>
    <xf numFmtId="0" fontId="0" fillId="0" borderId="0" xfId="0" applyAlignment="1" applyProtection="1">
      <alignment horizontal="left" indent="1"/>
    </xf>
    <xf numFmtId="166" fontId="0" fillId="0" borderId="0" xfId="0" applyNumberFormat="1" applyAlignment="1" applyProtection="1">
      <alignment horizontal="right"/>
    </xf>
    <xf numFmtId="3" fontId="0" fillId="0" borderId="0" xfId="0" applyNumberFormat="1" applyAlignment="1" applyProtection="1">
      <alignment horizontal="right"/>
    </xf>
    <xf numFmtId="167" fontId="0" fillId="0" borderId="0" xfId="0" applyNumberFormat="1" applyAlignment="1" applyProtection="1">
      <alignment horizontal="right"/>
    </xf>
    <xf numFmtId="165" fontId="0" fillId="0" borderId="0" xfId="0" applyNumberFormat="1" applyAlignment="1" applyProtection="1">
      <alignment horizontal="right"/>
    </xf>
    <xf numFmtId="0" fontId="0" fillId="0" borderId="0" xfId="0" quotePrefix="1" applyAlignment="1" applyProtection="1"/>
    <xf numFmtId="5" fontId="3" fillId="0" borderId="0" xfId="0" applyNumberFormat="1" applyFont="1" applyBorder="1" applyAlignment="1" applyProtection="1">
      <alignment horizontal="center"/>
    </xf>
    <xf numFmtId="0" fontId="0" fillId="0" borderId="0" xfId="0" quotePrefix="1" applyAlignment="1" applyProtection="1">
      <alignment horizontal="center"/>
    </xf>
    <xf numFmtId="0" fontId="0" fillId="0" borderId="0" xfId="0" quotePrefix="1" applyAlignment="1" applyProtection="1">
      <alignment horizontal="left" indent="1"/>
    </xf>
    <xf numFmtId="0" fontId="4" fillId="0" borderId="0" xfId="0" applyFont="1" applyFill="1" applyAlignment="1" applyProtection="1"/>
    <xf numFmtId="0" fontId="3" fillId="0" borderId="0" xfId="0" applyFont="1"/>
    <xf numFmtId="0" fontId="3" fillId="0" borderId="0" xfId="0" applyFont="1" applyAlignment="1">
      <alignment horizontal="center"/>
    </xf>
    <xf numFmtId="166" fontId="0" fillId="0" borderId="0" xfId="0" applyNumberFormat="1" applyAlignment="1">
      <alignment horizontal="right"/>
    </xf>
    <xf numFmtId="3" fontId="0" fillId="0" borderId="0" xfId="0" applyNumberFormat="1" applyAlignment="1">
      <alignment horizontal="right"/>
    </xf>
    <xf numFmtId="164" fontId="0" fillId="0" borderId="0" xfId="0" applyNumberFormat="1" applyAlignment="1">
      <alignment horizontal="right"/>
    </xf>
    <xf numFmtId="5" fontId="0" fillId="0" borderId="0" xfId="0" applyNumberFormat="1" applyAlignment="1" applyProtection="1">
      <alignment horizontal="right"/>
    </xf>
    <xf numFmtId="0" fontId="6" fillId="0" borderId="0" xfId="0" applyFont="1" applyAlignment="1" applyProtection="1">
      <alignment horizontal="left" indent="5"/>
    </xf>
    <xf numFmtId="0" fontId="3" fillId="0" borderId="0" xfId="0" applyFont="1" applyAlignment="1" applyProtection="1">
      <alignment horizontal="right"/>
    </xf>
    <xf numFmtId="166" fontId="5" fillId="0" borderId="4" xfId="0" applyNumberFormat="1" applyFont="1" applyBorder="1" applyAlignment="1" applyProtection="1">
      <alignment horizontal="right"/>
    </xf>
    <xf numFmtId="166" fontId="0" fillId="0" borderId="0" xfId="0" applyNumberFormat="1" applyBorder="1" applyAlignment="1" applyProtection="1">
      <alignment horizontal="right"/>
    </xf>
    <xf numFmtId="3" fontId="0" fillId="0" borderId="7" xfId="0" applyNumberFormat="1" applyBorder="1" applyAlignment="1" applyProtection="1">
      <alignment horizontal="right"/>
    </xf>
    <xf numFmtId="166" fontId="5" fillId="0" borderId="11" xfId="0" applyNumberFormat="1" applyFont="1" applyBorder="1" applyAlignment="1" applyProtection="1">
      <alignment horizontal="right"/>
    </xf>
    <xf numFmtId="167" fontId="0" fillId="0" borderId="0" xfId="0" applyNumberFormat="1" applyBorder="1" applyAlignment="1" applyProtection="1">
      <alignment horizontal="right"/>
    </xf>
    <xf numFmtId="166" fontId="0" fillId="0" borderId="8" xfId="0" applyNumberFormat="1" applyBorder="1" applyAlignment="1" applyProtection="1">
      <alignment horizontal="right"/>
    </xf>
    <xf numFmtId="0" fontId="3" fillId="0" borderId="0" xfId="0" applyFont="1" applyBorder="1" applyAlignment="1" applyProtection="1">
      <alignment horizontal="right"/>
    </xf>
    <xf numFmtId="3" fontId="0" fillId="0" borderId="2" xfId="0" applyNumberFormat="1" applyBorder="1" applyAlignment="1" applyProtection="1">
      <alignment horizontal="right"/>
    </xf>
    <xf numFmtId="166" fontId="0" fillId="0" borderId="4" xfId="0" applyNumberFormat="1" applyBorder="1" applyAlignment="1" applyProtection="1">
      <alignment horizontal="right"/>
    </xf>
    <xf numFmtId="166" fontId="3" fillId="0" borderId="2" xfId="0" applyNumberFormat="1" applyFont="1" applyBorder="1" applyAlignment="1" applyProtection="1">
      <alignment horizontal="right"/>
    </xf>
    <xf numFmtId="0" fontId="0" fillId="0" borderId="2" xfId="0" quotePrefix="1" applyBorder="1" applyAlignment="1" applyProtection="1">
      <alignment horizontal="left"/>
    </xf>
    <xf numFmtId="0" fontId="0" fillId="0" borderId="2" xfId="0" applyNumberFormat="1" applyBorder="1" applyAlignment="1" applyProtection="1">
      <alignment horizontal="right"/>
    </xf>
    <xf numFmtId="170" fontId="0" fillId="0" borderId="2" xfId="0" applyNumberFormat="1" applyBorder="1" applyAlignment="1" applyProtection="1">
      <alignment horizontal="right"/>
    </xf>
    <xf numFmtId="5" fontId="5" fillId="0" borderId="12" xfId="0" applyNumberFormat="1" applyFont="1" applyBorder="1" applyAlignment="1" applyProtection="1">
      <alignment horizontal="right"/>
    </xf>
    <xf numFmtId="5" fontId="0" fillId="0" borderId="13" xfId="0" applyNumberFormat="1" applyBorder="1" applyAlignment="1" applyProtection="1">
      <alignment horizontal="right"/>
    </xf>
    <xf numFmtId="5" fontId="0" fillId="0" borderId="14" xfId="0" applyNumberFormat="1" applyBorder="1" applyAlignment="1" applyProtection="1">
      <alignment horizontal="right"/>
    </xf>
    <xf numFmtId="5" fontId="5" fillId="0" borderId="15" xfId="0" applyNumberFormat="1" applyFont="1" applyBorder="1" applyAlignment="1" applyProtection="1">
      <alignment horizontal="right"/>
    </xf>
    <xf numFmtId="5" fontId="0" fillId="0" borderId="16" xfId="0" applyNumberFormat="1" applyBorder="1" applyAlignment="1" applyProtection="1">
      <alignment horizontal="right"/>
    </xf>
    <xf numFmtId="5" fontId="0" fillId="0" borderId="17" xfId="0" applyNumberFormat="1" applyBorder="1" applyAlignment="1" applyProtection="1">
      <alignment horizontal="right"/>
    </xf>
    <xf numFmtId="5" fontId="0" fillId="0" borderId="12" xfId="0" applyNumberFormat="1" applyBorder="1" applyAlignment="1" applyProtection="1">
      <alignment horizontal="right"/>
    </xf>
    <xf numFmtId="5" fontId="3" fillId="0" borderId="17" xfId="0" applyNumberFormat="1" applyFont="1" applyBorder="1" applyAlignment="1" applyProtection="1">
      <alignment horizontal="right"/>
    </xf>
    <xf numFmtId="168" fontId="0" fillId="0" borderId="2" xfId="0" applyNumberFormat="1" applyBorder="1" applyAlignment="1" applyProtection="1">
      <alignment horizontal="right"/>
    </xf>
    <xf numFmtId="0" fontId="15" fillId="0" borderId="0" xfId="0" applyFont="1" applyAlignment="1">
      <alignment horizontal="right"/>
    </xf>
    <xf numFmtId="5" fontId="3" fillId="0" borderId="4" xfId="0" applyNumberFormat="1" applyFont="1" applyBorder="1" applyAlignment="1" applyProtection="1">
      <alignment horizontal="right"/>
    </xf>
    <xf numFmtId="3" fontId="14" fillId="2" borderId="0" xfId="0" applyNumberFormat="1" applyFont="1" applyFill="1" applyAlignment="1" applyProtection="1">
      <protection locked="0"/>
    </xf>
    <xf numFmtId="166" fontId="0" fillId="0" borderId="2" xfId="0" applyNumberFormat="1" applyBorder="1" applyAlignment="1" applyProtection="1">
      <alignment horizontal="right"/>
    </xf>
    <xf numFmtId="5" fontId="3" fillId="0" borderId="0" xfId="0" applyNumberFormat="1" applyFont="1" applyAlignment="1" applyProtection="1">
      <alignment horizontal="right"/>
    </xf>
    <xf numFmtId="0" fontId="4" fillId="0" borderId="0" xfId="0" applyFont="1" applyProtection="1"/>
    <xf numFmtId="166" fontId="14" fillId="2" borderId="0" xfId="0" applyNumberFormat="1" applyFont="1" applyFill="1" applyAlignment="1" applyProtection="1">
      <alignment horizontal="right"/>
      <protection locked="0"/>
    </xf>
    <xf numFmtId="9" fontId="14" fillId="2" borderId="0" xfId="0" applyNumberFormat="1" applyFont="1" applyFill="1" applyAlignment="1" applyProtection="1">
      <alignment horizontal="right"/>
      <protection locked="0"/>
    </xf>
    <xf numFmtId="165" fontId="14" fillId="2" borderId="0" xfId="0" applyNumberFormat="1" applyFont="1" applyFill="1" applyAlignment="1" applyProtection="1">
      <protection locked="0"/>
    </xf>
    <xf numFmtId="168" fontId="14" fillId="2" borderId="0" xfId="0" applyNumberFormat="1" applyFont="1" applyFill="1" applyProtection="1">
      <protection locked="0"/>
    </xf>
    <xf numFmtId="169" fontId="0" fillId="0" borderId="2" xfId="0" applyNumberFormat="1" applyBorder="1" applyAlignment="1" applyProtection="1">
      <alignment horizontal="center"/>
    </xf>
    <xf numFmtId="171" fontId="14" fillId="2" borderId="0" xfId="0" applyNumberFormat="1" applyFont="1" applyFill="1" applyAlignment="1" applyProtection="1">
      <alignment horizontal="right"/>
      <protection locked="0"/>
    </xf>
    <xf numFmtId="0" fontId="4" fillId="0" borderId="0" xfId="0" applyFont="1"/>
    <xf numFmtId="0" fontId="4" fillId="0" borderId="0" xfId="2"/>
    <xf numFmtId="0" fontId="4" fillId="0" borderId="0" xfId="2" applyAlignment="1">
      <alignment vertical="center"/>
    </xf>
    <xf numFmtId="0" fontId="4" fillId="0" borderId="0" xfId="0" quotePrefix="1" applyFont="1"/>
    <xf numFmtId="0" fontId="16" fillId="0" borderId="0" xfId="1"/>
    <xf numFmtId="0" fontId="17" fillId="0" borderId="0" xfId="1" applyFont="1"/>
    <xf numFmtId="0" fontId="19" fillId="0" borderId="0" xfId="1" applyFont="1"/>
    <xf numFmtId="0" fontId="21" fillId="0" borderId="0" xfId="0" applyFont="1"/>
    <xf numFmtId="0" fontId="21" fillId="0" borderId="0" xfId="2" applyFont="1"/>
    <xf numFmtId="0" fontId="4" fillId="0" borderId="0" xfId="1" applyFont="1"/>
    <xf numFmtId="0" fontId="11" fillId="0" borderId="0" xfId="5">
      <alignment vertical="top"/>
    </xf>
    <xf numFmtId="0" fontId="17" fillId="0" borderId="0" xfId="0" applyFont="1"/>
    <xf numFmtId="0" fontId="6" fillId="0" borderId="0" xfId="0" quotePrefix="1" applyFont="1" applyProtection="1"/>
    <xf numFmtId="0" fontId="4" fillId="0" borderId="0" xfId="0" quotePrefix="1" applyFont="1" applyProtection="1"/>
    <xf numFmtId="14" fontId="4" fillId="0" borderId="18" xfId="2" quotePrefix="1" applyNumberFormat="1" applyFont="1" applyBorder="1" applyAlignment="1">
      <alignment vertical="center"/>
    </xf>
    <xf numFmtId="0" fontId="4" fillId="0" borderId="0" xfId="2" applyFont="1"/>
    <xf numFmtId="0" fontId="4" fillId="0" borderId="1" xfId="0" quotePrefix="1" applyFont="1" applyBorder="1" applyProtection="1"/>
    <xf numFmtId="0" fontId="4" fillId="0" borderId="3" xfId="0" applyFont="1" applyBorder="1" applyProtection="1"/>
    <xf numFmtId="0" fontId="4" fillId="0" borderId="9" xfId="0" applyFont="1" applyBorder="1" applyProtection="1"/>
    <xf numFmtId="0" fontId="13" fillId="2" borderId="0" xfId="0" applyFont="1" applyFill="1" applyAlignment="1" applyProtection="1">
      <alignment horizontal="center"/>
      <protection locked="0"/>
    </xf>
    <xf numFmtId="0" fontId="14" fillId="2" borderId="0" xfId="0" applyFont="1" applyFill="1" applyAlignment="1" applyProtection="1">
      <alignment horizontal="center"/>
      <protection locked="0"/>
    </xf>
    <xf numFmtId="0" fontId="4" fillId="0" borderId="4" xfId="0" applyFont="1" applyBorder="1" applyProtection="1"/>
    <xf numFmtId="0" fontId="4" fillId="0" borderId="0" xfId="0" applyFont="1" applyBorder="1" applyProtection="1"/>
    <xf numFmtId="0" fontId="4" fillId="0" borderId="8" xfId="0" applyFont="1" applyBorder="1" applyProtection="1"/>
    <xf numFmtId="5" fontId="0" fillId="0" borderId="4" xfId="0" applyNumberFormat="1" applyBorder="1" applyAlignment="1" applyProtection="1">
      <alignment horizontal="right"/>
    </xf>
    <xf numFmtId="5" fontId="0" fillId="0" borderId="0" xfId="0" applyNumberFormat="1" applyBorder="1" applyAlignment="1" applyProtection="1">
      <alignment horizontal="right"/>
    </xf>
    <xf numFmtId="5" fontId="0" fillId="0" borderId="8" xfId="0" applyNumberFormat="1" applyBorder="1" applyAlignment="1" applyProtection="1">
      <alignment horizontal="right"/>
    </xf>
    <xf numFmtId="171" fontId="14" fillId="2" borderId="0" xfId="0" applyNumberFormat="1" applyFont="1" applyFill="1" applyProtection="1">
      <protection locked="0"/>
    </xf>
    <xf numFmtId="0" fontId="4" fillId="0" borderId="0" xfId="0" quotePrefix="1" applyFont="1" applyFill="1"/>
    <xf numFmtId="0" fontId="4" fillId="0" borderId="0" xfId="0" applyFont="1" applyFill="1"/>
    <xf numFmtId="0" fontId="0" fillId="0" borderId="0" xfId="0" applyFill="1"/>
    <xf numFmtId="0" fontId="4" fillId="0" borderId="0" xfId="0" applyFont="1" applyFill="1" applyAlignment="1">
      <alignment horizontal="center"/>
    </xf>
    <xf numFmtId="0" fontId="15" fillId="0" borderId="0" xfId="0" applyFont="1" applyFill="1" applyAlignment="1">
      <alignment horizontal="right"/>
    </xf>
    <xf numFmtId="168" fontId="25" fillId="0" borderId="0" xfId="0" applyNumberFormat="1" applyFont="1" applyFill="1" applyAlignment="1" applyProtection="1">
      <alignment horizontal="right"/>
    </xf>
    <xf numFmtId="0" fontId="4" fillId="0" borderId="5" xfId="0" quotePrefix="1" applyFont="1" applyBorder="1" applyProtection="1"/>
    <xf numFmtId="0" fontId="4" fillId="0" borderId="9" xfId="0" quotePrefix="1" applyFont="1" applyBorder="1" applyProtection="1"/>
    <xf numFmtId="171" fontId="25" fillId="0" borderId="0" xfId="0" applyNumberFormat="1" applyFont="1" applyFill="1" applyProtection="1"/>
    <xf numFmtId="174" fontId="0" fillId="0" borderId="2" xfId="0" applyNumberFormat="1" applyBorder="1" applyAlignment="1" applyProtection="1">
      <alignment horizontal="right"/>
    </xf>
    <xf numFmtId="175" fontId="0" fillId="0" borderId="2" xfId="0" applyNumberFormat="1" applyBorder="1" applyAlignment="1" applyProtection="1">
      <alignment horizontal="center"/>
    </xf>
    <xf numFmtId="171" fontId="0" fillId="0" borderId="0" xfId="0" applyNumberFormat="1" applyAlignment="1" applyProtection="1">
      <alignment horizontal="right"/>
    </xf>
    <xf numFmtId="0" fontId="4" fillId="0" borderId="1" xfId="2" applyFont="1" applyBorder="1" applyAlignment="1">
      <alignment horizontal="left" vertical="center"/>
    </xf>
    <xf numFmtId="0" fontId="4" fillId="0" borderId="2" xfId="2" applyBorder="1" applyAlignment="1">
      <alignment horizontal="left" vertical="center"/>
    </xf>
    <xf numFmtId="0" fontId="4" fillId="0" borderId="17" xfId="2" applyBorder="1" applyAlignment="1">
      <alignment horizontal="left" vertical="center"/>
    </xf>
    <xf numFmtId="0" fontId="24" fillId="0" borderId="0" xfId="6"/>
    <xf numFmtId="15" fontId="24" fillId="0" borderId="0" xfId="6" applyNumberFormat="1"/>
    <xf numFmtId="8" fontId="24" fillId="0" borderId="0" xfId="6" applyNumberFormat="1"/>
    <xf numFmtId="10" fontId="24" fillId="0" borderId="0" xfId="7" applyNumberFormat="1" applyFont="1"/>
    <xf numFmtId="10" fontId="24" fillId="0" borderId="0" xfId="6" applyNumberFormat="1"/>
    <xf numFmtId="176" fontId="24" fillId="0" borderId="0" xfId="6" applyNumberFormat="1"/>
    <xf numFmtId="176" fontId="24" fillId="0" borderId="0" xfId="6" applyNumberFormat="1" applyFill="1"/>
    <xf numFmtId="177" fontId="4" fillId="0" borderId="0" xfId="0" quotePrefix="1" applyNumberFormat="1" applyFont="1" applyProtection="1"/>
    <xf numFmtId="0" fontId="24" fillId="0" borderId="0" xfId="6" applyFill="1"/>
    <xf numFmtId="165" fontId="0" fillId="0" borderId="2" xfId="0" applyNumberFormat="1" applyFill="1" applyBorder="1" applyAlignment="1" applyProtection="1"/>
    <xf numFmtId="165" fontId="0" fillId="0" borderId="0" xfId="0" applyNumberFormat="1" applyFill="1" applyBorder="1" applyAlignment="1" applyProtection="1"/>
    <xf numFmtId="165" fontId="0" fillId="0" borderId="8" xfId="0" applyNumberFormat="1" applyFill="1" applyBorder="1" applyAlignment="1" applyProtection="1"/>
    <xf numFmtId="173" fontId="0" fillId="0" borderId="2" xfId="0" applyNumberFormat="1" applyFill="1" applyBorder="1" applyAlignment="1" applyProtection="1"/>
    <xf numFmtId="0" fontId="3" fillId="0" borderId="0" xfId="0" applyFont="1" applyFill="1" applyBorder="1" applyProtection="1"/>
    <xf numFmtId="165" fontId="0" fillId="0" borderId="4" xfId="0" applyNumberFormat="1" applyFill="1" applyBorder="1" applyAlignment="1" applyProtection="1"/>
    <xf numFmtId="0" fontId="0" fillId="0" borderId="0" xfId="0" applyFill="1" applyAlignment="1" applyProtection="1">
      <alignment horizontal="center"/>
    </xf>
    <xf numFmtId="0" fontId="4" fillId="0" borderId="0" xfId="0" applyFont="1" applyFill="1" applyAlignment="1" applyProtection="1">
      <alignment horizontal="center"/>
    </xf>
    <xf numFmtId="165" fontId="0" fillId="0" borderId="0" xfId="0" applyNumberFormat="1" applyFill="1" applyAlignment="1" applyProtection="1">
      <alignment horizontal="right"/>
    </xf>
    <xf numFmtId="10" fontId="0" fillId="0" borderId="0" xfId="0" applyNumberFormat="1" applyFill="1" applyAlignment="1" applyProtection="1">
      <alignment horizontal="right"/>
    </xf>
    <xf numFmtId="166" fontId="0" fillId="0" borderId="0" xfId="0" applyNumberFormat="1" applyFill="1" applyAlignment="1" applyProtection="1">
      <alignment horizontal="right"/>
    </xf>
    <xf numFmtId="165" fontId="4" fillId="0" borderId="0" xfId="0" applyNumberFormat="1" applyFont="1" applyFill="1" applyAlignment="1" applyProtection="1">
      <protection locked="0"/>
    </xf>
    <xf numFmtId="10" fontId="4" fillId="0" borderId="0" xfId="0" applyNumberFormat="1" applyFont="1" applyFill="1" applyAlignment="1" applyProtection="1">
      <alignment horizontal="right"/>
      <protection locked="0"/>
    </xf>
    <xf numFmtId="0" fontId="3" fillId="0" borderId="18" xfId="2" applyFont="1" applyBorder="1" applyAlignment="1">
      <alignment horizontal="center" vertical="center"/>
    </xf>
    <xf numFmtId="0" fontId="3" fillId="0" borderId="2" xfId="2" applyFont="1" applyBorder="1" applyAlignment="1">
      <alignment horizontal="centerContinuous" vertical="center"/>
    </xf>
    <xf numFmtId="0" fontId="3" fillId="0" borderId="17" xfId="2" applyFont="1" applyBorder="1" applyAlignment="1">
      <alignment horizontal="centerContinuous" vertical="center"/>
    </xf>
    <xf numFmtId="0" fontId="3" fillId="0" borderId="1" xfId="2" applyFont="1" applyBorder="1" applyAlignment="1">
      <alignment horizontal="left" vertical="center"/>
    </xf>
    <xf numFmtId="0" fontId="21" fillId="0" borderId="0" xfId="6" applyFont="1"/>
    <xf numFmtId="0" fontId="21" fillId="0" borderId="0" xfId="8" applyFont="1"/>
    <xf numFmtId="0" fontId="26" fillId="0" borderId="0" xfId="4" applyFont="1"/>
    <xf numFmtId="0" fontId="4" fillId="0" borderId="0" xfId="8"/>
    <xf numFmtId="0" fontId="5" fillId="0" borderId="0" xfId="8" applyFont="1"/>
    <xf numFmtId="5" fontId="3" fillId="0" borderId="0" xfId="0" applyNumberFormat="1" applyFont="1" applyBorder="1" applyAlignment="1" applyProtection="1">
      <alignment horizontal="right"/>
    </xf>
    <xf numFmtId="0" fontId="2" fillId="0" borderId="0" xfId="2" applyFont="1" applyFill="1"/>
    <xf numFmtId="0" fontId="16" fillId="0" borderId="0" xfId="2" applyFont="1" applyFill="1"/>
    <xf numFmtId="0" fontId="2" fillId="0" borderId="0" xfId="2" applyFont="1" applyFill="1" applyAlignment="1">
      <alignment horizontal="center"/>
    </xf>
    <xf numFmtId="0" fontId="2" fillId="0" borderId="0" xfId="2" applyFont="1" applyFill="1" applyAlignment="1">
      <alignment horizontal="right"/>
    </xf>
    <xf numFmtId="0" fontId="5" fillId="0" borderId="0" xfId="2" applyFont="1"/>
    <xf numFmtId="15" fontId="24" fillId="4" borderId="0" xfId="6" applyNumberFormat="1" applyFill="1"/>
    <xf numFmtId="0" fontId="1" fillId="4" borderId="0" xfId="6" applyFont="1" applyFill="1"/>
    <xf numFmtId="0" fontId="4" fillId="0" borderId="0" xfId="0" applyFont="1" applyAlignment="1" applyProtection="1">
      <alignment horizontal="right"/>
    </xf>
    <xf numFmtId="177" fontId="4" fillId="0" borderId="0" xfId="0" quotePrefix="1" applyNumberFormat="1" applyFont="1" applyAlignment="1" applyProtection="1">
      <alignment horizontal="right"/>
    </xf>
    <xf numFmtId="0" fontId="0" fillId="0" borderId="0" xfId="0" applyAlignment="1" applyProtection="1">
      <alignment horizontal="right"/>
    </xf>
    <xf numFmtId="0" fontId="25" fillId="0" borderId="0" xfId="6" applyFont="1" applyAlignment="1">
      <alignment horizontal="left" vertical="top" wrapText="1"/>
    </xf>
    <xf numFmtId="0" fontId="27" fillId="4" borderId="0" xfId="0" applyFont="1" applyFill="1" applyAlignment="1">
      <alignment horizontal="center"/>
    </xf>
    <xf numFmtId="0" fontId="12" fillId="2" borderId="0" xfId="0" applyFont="1" applyFill="1" applyAlignment="1" applyProtection="1">
      <alignment horizontal="left"/>
      <protection locked="0"/>
    </xf>
    <xf numFmtId="0" fontId="12" fillId="2" borderId="0" xfId="0" applyFont="1" applyFill="1" applyAlignment="1" applyProtection="1">
      <protection locked="0"/>
    </xf>
    <xf numFmtId="172" fontId="13" fillId="2" borderId="0" xfId="0" applyNumberFormat="1" applyFont="1" applyFill="1" applyAlignment="1" applyProtection="1">
      <alignment horizontal="left"/>
      <protection locked="0"/>
    </xf>
    <xf numFmtId="0" fontId="3" fillId="0" borderId="8" xfId="0" applyFont="1" applyBorder="1" applyAlignment="1" applyProtection="1">
      <alignment horizontal="center"/>
    </xf>
    <xf numFmtId="0" fontId="3"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center"/>
    </xf>
    <xf numFmtId="0" fontId="3" fillId="3" borderId="1" xfId="0" applyFont="1" applyFill="1" applyBorder="1" applyAlignment="1" applyProtection="1">
      <alignment horizontal="left"/>
    </xf>
    <xf numFmtId="0" fontId="3" fillId="3" borderId="2" xfId="0" applyFont="1" applyFill="1" applyBorder="1" applyAlignment="1" applyProtection="1">
      <alignment horizontal="left"/>
    </xf>
    <xf numFmtId="0" fontId="3" fillId="3" borderId="17" xfId="0" applyFont="1" applyFill="1" applyBorder="1" applyAlignment="1" applyProtection="1">
      <alignment horizontal="left"/>
    </xf>
    <xf numFmtId="0" fontId="3" fillId="0" borderId="0" xfId="0" applyFont="1" applyBorder="1" applyAlignment="1" applyProtection="1">
      <alignment horizontal="center"/>
    </xf>
    <xf numFmtId="0" fontId="4" fillId="0" borderId="0" xfId="0" applyFont="1" applyFill="1" applyAlignment="1" applyProtection="1"/>
    <xf numFmtId="0" fontId="3" fillId="0" borderId="0" xfId="0" applyFont="1" applyFill="1" applyAlignment="1" applyProtection="1">
      <alignment horizontal="left"/>
    </xf>
    <xf numFmtId="0" fontId="3" fillId="0" borderId="0" xfId="0" applyFont="1" applyFill="1" applyAlignment="1" applyProtection="1"/>
    <xf numFmtId="0" fontId="27" fillId="0" borderId="0" xfId="0" applyFont="1" applyAlignment="1" applyProtection="1">
      <alignment horizontal="center"/>
    </xf>
  </cellXfs>
  <cellStyles count="9">
    <cellStyle name="Between Paragraphs" xfId="1" xr:uid="{00000000-0005-0000-0000-000000000000}"/>
    <cellStyle name="Fact Sheet Body Text" xfId="2" xr:uid="{00000000-0005-0000-0000-000001000000}"/>
    <cellStyle name="Fact Sheet Body Text 2" xfId="8" xr:uid="{402955CA-C0CF-4BE0-A662-08C04357F4B0}"/>
    <cellStyle name="Fact Sheet Heading 1" xfId="3" xr:uid="{00000000-0005-0000-0000-000002000000}"/>
    <cellStyle name="Fact Sheet Heading 2" xfId="4" xr:uid="{00000000-0005-0000-0000-000003000000}"/>
    <cellStyle name="Fact Sheet Heading 3" xfId="5" xr:uid="{00000000-0005-0000-0000-000004000000}"/>
    <cellStyle name="Normal" xfId="0" builtinId="0"/>
    <cellStyle name="Normal 3" xfId="6" xr:uid="{00000000-0005-0000-0000-000006000000}"/>
    <cellStyle name="Percent 3" xfId="7" xr:uid="{00000000-0005-0000-0000-000007000000}"/>
  </cellStyles>
  <dxfs count="33">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ont>
        <color theme="1"/>
      </font>
      <fill>
        <patternFill patternType="lightUp">
          <bgColor theme="0"/>
        </patternFill>
      </fill>
    </dxf>
    <dxf>
      <font>
        <color theme="1"/>
      </font>
      <fill>
        <patternFill patternType="lightUp">
          <fgColor indexed="64"/>
          <bgColor theme="0"/>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8"/>
      </font>
      <fill>
        <patternFill patternType="lightUp">
          <bgColor indexed="9"/>
        </patternFill>
      </fill>
    </dxf>
    <dxf>
      <font>
        <condense val="0"/>
        <extend val="0"/>
        <color indexed="22"/>
      </font>
      <fill>
        <patternFill patternType="lightUp">
          <bgColor indexed="9"/>
        </patternFill>
      </fill>
    </dxf>
    <dxf>
      <font>
        <condense val="0"/>
        <extend val="0"/>
        <color indexed="8"/>
      </font>
      <fill>
        <patternFill patternType="lightUp">
          <bgColor indexed="9"/>
        </patternFill>
      </fill>
    </dxf>
    <dxf>
      <font>
        <condense val="0"/>
        <extend val="0"/>
        <color indexed="22"/>
      </font>
      <fill>
        <patternFill patternType="lightUp">
          <bgColor indexed="9"/>
        </patternFill>
      </fill>
    </dxf>
    <dxf>
      <font>
        <condense val="0"/>
        <extend val="0"/>
        <color indexed="8"/>
      </font>
      <fill>
        <patternFill patternType="lightUp">
          <bgColor indexed="9"/>
        </patternFill>
      </fill>
    </dxf>
    <dxf>
      <font>
        <condense val="0"/>
        <extend val="0"/>
        <color indexed="22"/>
      </font>
      <fill>
        <patternFill patternType="lightUp">
          <bgColor indexed="9"/>
        </patternFill>
      </fill>
    </dxf>
    <dxf>
      <font>
        <condense val="0"/>
        <extend val="0"/>
        <color indexed="8"/>
      </font>
      <fill>
        <patternFill patternType="lightUp">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533067</xdr:colOff>
      <xdr:row>1</xdr:row>
      <xdr:rowOff>24848</xdr:rowOff>
    </xdr:from>
    <xdr:to>
      <xdr:col>7</xdr:col>
      <xdr:colOff>42739</xdr:colOff>
      <xdr:row>8</xdr:row>
      <xdr:rowOff>13253</xdr:rowOff>
    </xdr:to>
    <xdr:pic>
      <xdr:nvPicPr>
        <xdr:cNvPr id="6" name="Picture 5">
          <a:extLst>
            <a:ext uri="{FF2B5EF4-FFF2-40B4-BE49-F238E27FC236}">
              <a16:creationId xmlns:a16="http://schemas.microsoft.com/office/drawing/2014/main" id="{6BD493EE-E520-43D6-BD66-E85FF136464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33067" y="192488"/>
          <a:ext cx="6421012" cy="1161885"/>
        </a:xfrm>
        <a:prstGeom prst="rect">
          <a:avLst/>
        </a:prstGeom>
        <a:noFill/>
      </xdr:spPr>
    </xdr:pic>
    <xdr:clientData/>
  </xdr:twoCellAnchor>
  <xdr:twoCellAnchor editAs="absolute">
    <xdr:from>
      <xdr:col>1</xdr:col>
      <xdr:colOff>7620</xdr:colOff>
      <xdr:row>1</xdr:row>
      <xdr:rowOff>29845</xdr:rowOff>
    </xdr:from>
    <xdr:to>
      <xdr:col>6</xdr:col>
      <xdr:colOff>330825</xdr:colOff>
      <xdr:row>6</xdr:row>
      <xdr:rowOff>133398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twoCellAnchor>
    <xdr:from>
      <xdr:col>1</xdr:col>
      <xdr:colOff>0</xdr:colOff>
      <xdr:row>49</xdr:row>
      <xdr:rowOff>0</xdr:rowOff>
    </xdr:from>
    <xdr:to>
      <xdr:col>2</xdr:col>
      <xdr:colOff>994875</xdr:colOff>
      <xdr:row>49</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514350" y="7962900"/>
          <a:ext cx="18407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13253</xdr:colOff>
      <xdr:row>1</xdr:row>
      <xdr:rowOff>0</xdr:rowOff>
    </xdr:from>
    <xdr:to>
      <xdr:col>7</xdr:col>
      <xdr:colOff>53343</xdr:colOff>
      <xdr:row>8</xdr:row>
      <xdr:rowOff>2320</xdr:rowOff>
    </xdr:to>
    <xdr:pic>
      <xdr:nvPicPr>
        <xdr:cNvPr id="4" name="Picture 3">
          <a:extLst>
            <a:ext uri="{FF2B5EF4-FFF2-40B4-BE49-F238E27FC236}">
              <a16:creationId xmlns:a16="http://schemas.microsoft.com/office/drawing/2014/main" id="{6C09E653-3F07-4435-93B1-5DEC64A17A5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49966" y="165652"/>
          <a:ext cx="6421012" cy="1161885"/>
        </a:xfrm>
        <a:prstGeom prst="rect">
          <a:avLst/>
        </a:prstGeom>
        <a:noFill/>
      </xdr:spPr>
    </xdr:pic>
    <xdr:clientData/>
  </xdr:twoCellAnchor>
  <xdr:twoCellAnchor editAs="absolute">
    <xdr:from>
      <xdr:col>1</xdr:col>
      <xdr:colOff>21206</xdr:colOff>
      <xdr:row>1</xdr:row>
      <xdr:rowOff>4997</xdr:rowOff>
    </xdr:from>
    <xdr:to>
      <xdr:col>6</xdr:col>
      <xdr:colOff>344742</xdr:colOff>
      <xdr:row>6</xdr:row>
      <xdr:rowOff>118489</xdr:rowOff>
    </xdr:to>
    <xdr:sp macro="" textlink="">
      <xdr:nvSpPr>
        <xdr:cNvPr id="5" name="Text Box 2">
          <a:extLst>
            <a:ext uri="{FF2B5EF4-FFF2-40B4-BE49-F238E27FC236}">
              <a16:creationId xmlns:a16="http://schemas.microsoft.com/office/drawing/2014/main" id="{FD389B4F-697D-4485-AE8A-64E6C7BE26AC}"/>
            </a:ext>
          </a:extLst>
        </xdr:cNvPr>
        <xdr:cNvSpPr txBox="1">
          <a:spLocks noChangeArrowheads="1"/>
        </xdr:cNvSpPr>
      </xdr:nvSpPr>
      <xdr:spPr bwMode="auto">
        <a:xfrm>
          <a:off x="557919" y="170649"/>
          <a:ext cx="6167745" cy="9417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xdr:colOff>
      <xdr:row>1</xdr:row>
      <xdr:rowOff>0</xdr:rowOff>
    </xdr:from>
    <xdr:to>
      <xdr:col>7</xdr:col>
      <xdr:colOff>70570</xdr:colOff>
      <xdr:row>8</xdr:row>
      <xdr:rowOff>2320</xdr:rowOff>
    </xdr:to>
    <xdr:pic>
      <xdr:nvPicPr>
        <xdr:cNvPr id="4" name="Picture 3">
          <a:extLst>
            <a:ext uri="{FF2B5EF4-FFF2-40B4-BE49-F238E27FC236}">
              <a16:creationId xmlns:a16="http://schemas.microsoft.com/office/drawing/2014/main" id="{B8641645-1D24-4407-97AF-2DFCBC51415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563880" y="167640"/>
          <a:ext cx="6418030" cy="1175800"/>
        </a:xfrm>
        <a:prstGeom prst="rect">
          <a:avLst/>
        </a:prstGeom>
        <a:noFill/>
      </xdr:spPr>
    </xdr:pic>
    <xdr:clientData/>
  </xdr:twoCellAnchor>
  <xdr:twoCellAnchor editAs="absolute">
    <xdr:from>
      <xdr:col>0</xdr:col>
      <xdr:colOff>427053</xdr:colOff>
      <xdr:row>1</xdr:row>
      <xdr:rowOff>4997</xdr:rowOff>
    </xdr:from>
    <xdr:to>
      <xdr:col>3</xdr:col>
      <xdr:colOff>906780</xdr:colOff>
      <xdr:row>6</xdr:row>
      <xdr:rowOff>118489</xdr:rowOff>
    </xdr:to>
    <xdr:sp macro="" textlink="">
      <xdr:nvSpPr>
        <xdr:cNvPr id="5" name="Text Box 2">
          <a:extLst>
            <a:ext uri="{FF2B5EF4-FFF2-40B4-BE49-F238E27FC236}">
              <a16:creationId xmlns:a16="http://schemas.microsoft.com/office/drawing/2014/main" id="{A786927C-E36F-4C00-BCB2-9C308BF3182A}"/>
            </a:ext>
          </a:extLst>
        </xdr:cNvPr>
        <xdr:cNvSpPr txBox="1">
          <a:spLocks noChangeArrowheads="1"/>
        </xdr:cNvSpPr>
      </xdr:nvSpPr>
      <xdr:spPr bwMode="auto">
        <a:xfrm>
          <a:off x="427053" y="172637"/>
          <a:ext cx="3116247" cy="9516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73660</xdr:colOff>
      <xdr:row>0</xdr:row>
      <xdr:rowOff>45720</xdr:rowOff>
    </xdr:from>
    <xdr:to>
      <xdr:col>10</xdr:col>
      <xdr:colOff>670560</xdr:colOff>
      <xdr:row>5</xdr:row>
      <xdr:rowOff>119160</xdr:rowOff>
    </xdr:to>
    <xdr:pic>
      <xdr:nvPicPr>
        <xdr:cNvPr id="4" name="Picture 3">
          <a:extLst>
            <a:ext uri="{FF2B5EF4-FFF2-40B4-BE49-F238E27FC236}">
              <a16:creationId xmlns:a16="http://schemas.microsoft.com/office/drawing/2014/main" id="{A7D0940C-9C39-4485-919E-7D6FDA90656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48920" y="45720"/>
          <a:ext cx="6456680" cy="911640"/>
        </a:xfrm>
        <a:prstGeom prst="rect">
          <a:avLst/>
        </a:prstGeom>
        <a:noFill/>
      </xdr:spPr>
    </xdr:pic>
    <xdr:clientData/>
  </xdr:twoCellAnchor>
  <xdr:twoCellAnchor editAs="absolute">
    <xdr:from>
      <xdr:col>1</xdr:col>
      <xdr:colOff>38100</xdr:colOff>
      <xdr:row>0</xdr:row>
      <xdr:rowOff>0</xdr:rowOff>
    </xdr:from>
    <xdr:to>
      <xdr:col>8</xdr:col>
      <xdr:colOff>488636</xdr:colOff>
      <xdr:row>5</xdr:row>
      <xdr:rowOff>99059</xdr:rowOff>
    </xdr:to>
    <xdr:sp macro="" textlink="">
      <xdr:nvSpPr>
        <xdr:cNvPr id="6" name="Text Box 2">
          <a:extLst>
            <a:ext uri="{FF2B5EF4-FFF2-40B4-BE49-F238E27FC236}">
              <a16:creationId xmlns:a16="http://schemas.microsoft.com/office/drawing/2014/main" id="{6788E65F-BD97-433A-AA2A-BC6A78FBDEA7}"/>
            </a:ext>
          </a:extLst>
        </xdr:cNvPr>
        <xdr:cNvSpPr txBox="1">
          <a:spLocks noChangeArrowheads="1"/>
        </xdr:cNvSpPr>
      </xdr:nvSpPr>
      <xdr:spPr bwMode="auto">
        <a:xfrm>
          <a:off x="213360" y="0"/>
          <a:ext cx="4740596" cy="9372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99060</xdr:colOff>
      <xdr:row>0</xdr:row>
      <xdr:rowOff>0</xdr:rowOff>
    </xdr:from>
    <xdr:to>
      <xdr:col>9</xdr:col>
      <xdr:colOff>408390</xdr:colOff>
      <xdr:row>7</xdr:row>
      <xdr:rowOff>4860</xdr:rowOff>
    </xdr:to>
    <xdr:pic>
      <xdr:nvPicPr>
        <xdr:cNvPr id="2" name="Picture 1">
          <a:extLst>
            <a:ext uri="{FF2B5EF4-FFF2-40B4-BE49-F238E27FC236}">
              <a16:creationId xmlns:a16="http://schemas.microsoft.com/office/drawing/2014/main" id="{2011C696-A1B6-4B6D-9CD4-28066A6256C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99060" y="0"/>
          <a:ext cx="6100530" cy="1178340"/>
        </a:xfrm>
        <a:prstGeom prst="rect">
          <a:avLst/>
        </a:prstGeom>
        <a:noFill/>
      </xdr:spPr>
    </xdr:pic>
    <xdr:clientData/>
  </xdr:twoCellAnchor>
  <xdr:twoCellAnchor editAs="absolute">
    <xdr:from>
      <xdr:col>0</xdr:col>
      <xdr:colOff>60960</xdr:colOff>
      <xdr:row>0</xdr:row>
      <xdr:rowOff>99060</xdr:rowOff>
    </xdr:from>
    <xdr:to>
      <xdr:col>5</xdr:col>
      <xdr:colOff>137160</xdr:colOff>
      <xdr:row>5</xdr:row>
      <xdr:rowOff>149776</xdr:rowOff>
    </xdr:to>
    <xdr:sp macro="" textlink="">
      <xdr:nvSpPr>
        <xdr:cNvPr id="3" name="Text Box 2">
          <a:extLst>
            <a:ext uri="{FF2B5EF4-FFF2-40B4-BE49-F238E27FC236}">
              <a16:creationId xmlns:a16="http://schemas.microsoft.com/office/drawing/2014/main" id="{03BCFC33-ED02-46AF-8B20-04EE19E83AD6}"/>
            </a:ext>
          </a:extLst>
        </xdr:cNvPr>
        <xdr:cNvSpPr txBox="1">
          <a:spLocks noChangeArrowheads="1"/>
        </xdr:cNvSpPr>
      </xdr:nvSpPr>
      <xdr:spPr bwMode="auto">
        <a:xfrm>
          <a:off x="60960" y="99060"/>
          <a:ext cx="2926080" cy="8889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60960</xdr:colOff>
      <xdr:row>0</xdr:row>
      <xdr:rowOff>83820</xdr:rowOff>
    </xdr:from>
    <xdr:to>
      <xdr:col>10</xdr:col>
      <xdr:colOff>502920</xdr:colOff>
      <xdr:row>7</xdr:row>
      <xdr:rowOff>7620</xdr:rowOff>
    </xdr:to>
    <xdr:pic>
      <xdr:nvPicPr>
        <xdr:cNvPr id="2" name="Picture 1">
          <a:extLst>
            <a:ext uri="{FF2B5EF4-FFF2-40B4-BE49-F238E27FC236}">
              <a16:creationId xmlns:a16="http://schemas.microsoft.com/office/drawing/2014/main" id="{C90C6B7B-845D-4812-A72E-E656A395014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236220" y="83820"/>
          <a:ext cx="6210300" cy="1097280"/>
        </a:xfrm>
        <a:prstGeom prst="rect">
          <a:avLst/>
        </a:prstGeom>
        <a:noFill/>
      </xdr:spPr>
    </xdr:pic>
    <xdr:clientData/>
  </xdr:twoCellAnchor>
  <xdr:twoCellAnchor editAs="absolute">
    <xdr:from>
      <xdr:col>1</xdr:col>
      <xdr:colOff>15240</xdr:colOff>
      <xdr:row>0</xdr:row>
      <xdr:rowOff>101684</xdr:rowOff>
    </xdr:from>
    <xdr:to>
      <xdr:col>5</xdr:col>
      <xdr:colOff>457200</xdr:colOff>
      <xdr:row>6</xdr:row>
      <xdr:rowOff>22860</xdr:rowOff>
    </xdr:to>
    <xdr:sp macro="" textlink="">
      <xdr:nvSpPr>
        <xdr:cNvPr id="3" name="Text Box 2">
          <a:extLst>
            <a:ext uri="{FF2B5EF4-FFF2-40B4-BE49-F238E27FC236}">
              <a16:creationId xmlns:a16="http://schemas.microsoft.com/office/drawing/2014/main" id="{A7ACE802-4D0E-4AE9-A041-BC60F37B9806}"/>
            </a:ext>
          </a:extLst>
        </xdr:cNvPr>
        <xdr:cNvSpPr txBox="1">
          <a:spLocks noChangeArrowheads="1"/>
        </xdr:cNvSpPr>
      </xdr:nvSpPr>
      <xdr:spPr bwMode="auto">
        <a:xfrm>
          <a:off x="190500" y="101684"/>
          <a:ext cx="2796540" cy="927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53340</xdr:colOff>
      <xdr:row>0</xdr:row>
      <xdr:rowOff>68580</xdr:rowOff>
    </xdr:from>
    <xdr:to>
      <xdr:col>10</xdr:col>
      <xdr:colOff>518160</xdr:colOff>
      <xdr:row>6</xdr:row>
      <xdr:rowOff>160020</xdr:rowOff>
    </xdr:to>
    <xdr:pic>
      <xdr:nvPicPr>
        <xdr:cNvPr id="2" name="Picture 1">
          <a:extLst>
            <a:ext uri="{FF2B5EF4-FFF2-40B4-BE49-F238E27FC236}">
              <a16:creationId xmlns:a16="http://schemas.microsoft.com/office/drawing/2014/main" id="{49BE8929-A023-4981-ACBD-2D73D65998A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0"/>
        <a:stretch/>
      </xdr:blipFill>
      <xdr:spPr bwMode="auto">
        <a:xfrm>
          <a:off x="198120" y="68580"/>
          <a:ext cx="6240780" cy="1097280"/>
        </a:xfrm>
        <a:prstGeom prst="rect">
          <a:avLst/>
        </a:prstGeom>
        <a:noFill/>
      </xdr:spPr>
    </xdr:pic>
    <xdr:clientData/>
  </xdr:twoCellAnchor>
  <xdr:twoCellAnchor editAs="absolute">
    <xdr:from>
      <xdr:col>1</xdr:col>
      <xdr:colOff>0</xdr:colOff>
      <xdr:row>0</xdr:row>
      <xdr:rowOff>30480</xdr:rowOff>
    </xdr:from>
    <xdr:to>
      <xdr:col>6</xdr:col>
      <xdr:colOff>129540</xdr:colOff>
      <xdr:row>5</xdr:row>
      <xdr:rowOff>151592</xdr:rowOff>
    </xdr:to>
    <xdr:sp macro="" textlink="">
      <xdr:nvSpPr>
        <xdr:cNvPr id="3" name="Text Box 2">
          <a:extLst>
            <a:ext uri="{FF2B5EF4-FFF2-40B4-BE49-F238E27FC236}">
              <a16:creationId xmlns:a16="http://schemas.microsoft.com/office/drawing/2014/main" id="{1DD0F771-B6B6-42B0-A4F7-B86C7D185592}"/>
            </a:ext>
          </a:extLst>
        </xdr:cNvPr>
        <xdr:cNvSpPr txBox="1">
          <a:spLocks noChangeArrowheads="1"/>
        </xdr:cNvSpPr>
      </xdr:nvSpPr>
      <xdr:spPr bwMode="auto">
        <a:xfrm>
          <a:off x="144780" y="30480"/>
          <a:ext cx="3101340" cy="959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800" b="0" i="0" u="none" strike="noStrike" baseline="0">
              <a:solidFill>
                <a:schemeClr val="tx2"/>
              </a:solidFill>
              <a:latin typeface="Arial"/>
              <a:cs typeface="Arial"/>
            </a:rPr>
            <a:t>Information Document</a:t>
          </a:r>
        </a:p>
        <a:p>
          <a:pPr algn="l" rtl="0">
            <a:defRPr sz="1000"/>
          </a:pPr>
          <a:r>
            <a:rPr lang="en-CA" sz="1800" b="0" i="0" u="none" strike="noStrike" baseline="0">
              <a:solidFill>
                <a:schemeClr val="tx2"/>
              </a:solidFill>
              <a:latin typeface="Arial"/>
              <a:cs typeface="Arial"/>
            </a:rPr>
            <a:t>Bill Estimator for Tariff</a:t>
          </a:r>
        </a:p>
        <a:p>
          <a:pPr algn="l" rtl="0">
            <a:defRPr sz="1000"/>
          </a:pPr>
          <a:r>
            <a:rPr lang="en-CA" sz="1800" b="0" i="0" u="none" strike="noStrike" baseline="0">
              <a:solidFill>
                <a:schemeClr val="tx2"/>
              </a:solidFill>
              <a:latin typeface="Arial"/>
              <a:cs typeface="Arial"/>
            </a:rPr>
            <a:t>ID #2021-015T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F66"/>
  <sheetViews>
    <sheetView showGridLines="0" tabSelected="1" zoomScaleNormal="100" workbookViewId="0">
      <selection activeCell="J38" sqref="J38"/>
    </sheetView>
  </sheetViews>
  <sheetFormatPr defaultRowHeight="12.75" x14ac:dyDescent="0.2"/>
  <cols>
    <col min="1" max="1" width="7.5703125" customWidth="1"/>
    <col min="2" max="2" width="12.5703125" customWidth="1"/>
    <col min="3" max="3" width="19.42578125" customWidth="1"/>
    <col min="4" max="4" width="21.42578125" customWidth="1"/>
    <col min="5" max="5" width="19.42578125" customWidth="1"/>
    <col min="6" max="6" width="12.5703125" customWidth="1"/>
    <col min="7" max="7" width="7.5703125" customWidth="1"/>
  </cols>
  <sheetData>
    <row r="9" spans="2:6" s="104" customFormat="1" ht="6.6" customHeight="1" x14ac:dyDescent="0.2">
      <c r="B9" s="188" t="s">
        <v>260</v>
      </c>
      <c r="C9" s="188"/>
      <c r="D9" s="188"/>
      <c r="E9" s="188"/>
      <c r="F9" s="188"/>
    </row>
    <row r="10" spans="2:6" s="104" customFormat="1" ht="12.75" customHeight="1" x14ac:dyDescent="0.2">
      <c r="B10" s="188"/>
      <c r="C10" s="188"/>
      <c r="D10" s="188"/>
      <c r="E10" s="188"/>
      <c r="F10" s="188"/>
    </row>
    <row r="11" spans="2:6" s="104" customFormat="1" ht="12.75" customHeight="1" x14ac:dyDescent="0.2">
      <c r="B11" s="188"/>
      <c r="C11" s="188"/>
      <c r="D11" s="188"/>
      <c r="E11" s="188"/>
      <c r="F11" s="188"/>
    </row>
    <row r="12" spans="2:6" s="104" customFormat="1" ht="12.75" customHeight="1" x14ac:dyDescent="0.2">
      <c r="B12" s="188"/>
      <c r="C12" s="188"/>
      <c r="D12" s="188"/>
      <c r="E12" s="188"/>
      <c r="F12" s="188"/>
    </row>
    <row r="13" spans="2:6" s="107" customFormat="1" ht="11.25" x14ac:dyDescent="0.2"/>
    <row r="14" spans="2:6" s="3" customFormat="1" ht="15.75" x14ac:dyDescent="0.25">
      <c r="B14" s="174" t="s">
        <v>147</v>
      </c>
    </row>
    <row r="15" spans="2:6" s="108" customFormat="1" ht="6.75" x14ac:dyDescent="0.15"/>
    <row r="16" spans="2:6" s="104" customFormat="1" ht="12.75" customHeight="1" x14ac:dyDescent="0.2">
      <c r="B16" s="104" t="s">
        <v>271</v>
      </c>
    </row>
    <row r="17" spans="2:2" s="104" customFormat="1" ht="14.85" customHeight="1" x14ac:dyDescent="0.2">
      <c r="B17" s="104" t="s">
        <v>174</v>
      </c>
    </row>
    <row r="18" spans="2:2" s="104" customFormat="1" ht="14.85" customHeight="1" x14ac:dyDescent="0.2">
      <c r="B18" s="104" t="s">
        <v>175</v>
      </c>
    </row>
    <row r="19" spans="2:2" s="104" customFormat="1" ht="14.85" customHeight="1" x14ac:dyDescent="0.2">
      <c r="B19" s="104" t="s">
        <v>176</v>
      </c>
    </row>
    <row r="20" spans="2:2" s="107" customFormat="1" ht="11.25" x14ac:dyDescent="0.2"/>
    <row r="21" spans="2:2" s="104" customFormat="1" x14ac:dyDescent="0.2">
      <c r="B21" s="104" t="s">
        <v>272</v>
      </c>
    </row>
    <row r="22" spans="2:2" s="104" customFormat="1" x14ac:dyDescent="0.2">
      <c r="B22" s="104" t="s">
        <v>256</v>
      </c>
    </row>
    <row r="23" spans="2:2" s="104" customFormat="1" x14ac:dyDescent="0.2">
      <c r="B23" s="104" t="s">
        <v>273</v>
      </c>
    </row>
    <row r="24" spans="2:2" s="104" customFormat="1" x14ac:dyDescent="0.2">
      <c r="B24" s="118" t="s">
        <v>274</v>
      </c>
    </row>
    <row r="25" spans="2:2" s="107" customFormat="1" ht="11.25" x14ac:dyDescent="0.2"/>
    <row r="26" spans="2:2" s="104" customFormat="1" x14ac:dyDescent="0.2">
      <c r="B26" s="104" t="s">
        <v>275</v>
      </c>
    </row>
    <row r="27" spans="2:2" s="104" customFormat="1" x14ac:dyDescent="0.2">
      <c r="B27" s="104" t="s">
        <v>149</v>
      </c>
    </row>
    <row r="28" spans="2:2" s="104" customFormat="1" x14ac:dyDescent="0.2">
      <c r="B28" s="104" t="s">
        <v>150</v>
      </c>
    </row>
    <row r="29" spans="2:2" s="107" customFormat="1" ht="11.25" x14ac:dyDescent="0.2"/>
    <row r="30" spans="2:2" s="3" customFormat="1" ht="15.75" x14ac:dyDescent="0.25">
      <c r="B30" s="174" t="s">
        <v>177</v>
      </c>
    </row>
    <row r="31" spans="2:2" s="108" customFormat="1" ht="6.75" x14ac:dyDescent="0.15"/>
    <row r="32" spans="2:2" s="104" customFormat="1" x14ac:dyDescent="0.2">
      <c r="B32" s="104" t="s">
        <v>178</v>
      </c>
    </row>
    <row r="33" spans="1:2" s="104" customFormat="1" x14ac:dyDescent="0.2">
      <c r="B33" s="104" t="s">
        <v>179</v>
      </c>
    </row>
    <row r="34" spans="1:2" s="109" customFormat="1" ht="9" x14ac:dyDescent="0.15"/>
    <row r="35" spans="1:2" s="113" customFormat="1" ht="16.5" x14ac:dyDescent="0.2">
      <c r="A35" s="1"/>
      <c r="B35" s="113" t="s">
        <v>172</v>
      </c>
    </row>
    <row r="36" spans="1:2" s="104" customFormat="1" x14ac:dyDescent="0.2">
      <c r="B36" s="104" t="s">
        <v>298</v>
      </c>
    </row>
    <row r="37" spans="1:2" s="104" customFormat="1" x14ac:dyDescent="0.2">
      <c r="B37" s="104" t="s">
        <v>299</v>
      </c>
    </row>
    <row r="38" spans="1:2" s="107" customFormat="1" ht="11.25" x14ac:dyDescent="0.2"/>
    <row r="39" spans="1:2" s="104" customFormat="1" x14ac:dyDescent="0.2">
      <c r="B39" s="104" t="s">
        <v>286</v>
      </c>
    </row>
    <row r="40" spans="1:2" s="104" customFormat="1" x14ac:dyDescent="0.2">
      <c r="B40" s="104" t="s">
        <v>276</v>
      </c>
    </row>
    <row r="41" spans="1:2" s="104" customFormat="1" x14ac:dyDescent="0.2">
      <c r="B41" s="104" t="s">
        <v>287</v>
      </c>
    </row>
    <row r="42" spans="1:2" s="104" customFormat="1" x14ac:dyDescent="0.2">
      <c r="B42" s="104" t="s">
        <v>225</v>
      </c>
    </row>
    <row r="43" spans="1:2" s="109" customFormat="1" ht="9" x14ac:dyDescent="0.15"/>
    <row r="44" spans="1:2" s="113" customFormat="1" ht="16.5" x14ac:dyDescent="0.2">
      <c r="A44" s="1"/>
      <c r="B44" s="113" t="s">
        <v>151</v>
      </c>
    </row>
    <row r="45" spans="1:2" s="104" customFormat="1" x14ac:dyDescent="0.2">
      <c r="B45" s="104" t="s">
        <v>288</v>
      </c>
    </row>
    <row r="46" spans="1:2" s="104" customFormat="1" x14ac:dyDescent="0.2">
      <c r="B46" s="104" t="s">
        <v>277</v>
      </c>
    </row>
    <row r="47" spans="1:2" s="104" customFormat="1" x14ac:dyDescent="0.2">
      <c r="B47" s="104" t="s">
        <v>226</v>
      </c>
    </row>
    <row r="48" spans="1:2" s="104" customFormat="1" x14ac:dyDescent="0.2"/>
    <row r="49" spans="1:2" s="104" customFormat="1" ht="18" customHeight="1" x14ac:dyDescent="0.2"/>
    <row r="50" spans="1:2" s="104" customFormat="1" x14ac:dyDescent="0.2"/>
    <row r="51" spans="1:2" s="104" customFormat="1" ht="13.5" x14ac:dyDescent="0.2">
      <c r="B51" s="172" t="s">
        <v>261</v>
      </c>
    </row>
    <row r="52" spans="1:2" s="104" customFormat="1" x14ac:dyDescent="0.2">
      <c r="B52" s="172" t="s">
        <v>262</v>
      </c>
    </row>
    <row r="53" spans="1:2" s="110" customFormat="1" ht="12" customHeight="1" x14ac:dyDescent="0.2">
      <c r="B53" s="172" t="s">
        <v>263</v>
      </c>
    </row>
    <row r="54" spans="1:2" s="110" customFormat="1" ht="12" customHeight="1" x14ac:dyDescent="0.2">
      <c r="B54" s="173" t="s">
        <v>264</v>
      </c>
    </row>
    <row r="55" spans="1:2" s="110" customFormat="1" ht="12" customHeight="1" x14ac:dyDescent="0.2"/>
    <row r="56" spans="1:2" s="111" customFormat="1" ht="12" customHeight="1" x14ac:dyDescent="0.2"/>
    <row r="57" spans="1:2" s="104" customFormat="1" x14ac:dyDescent="0.2">
      <c r="A57" s="104" t="s">
        <v>173</v>
      </c>
    </row>
    <row r="58" spans="1:2" s="112" customFormat="1" x14ac:dyDescent="0.2"/>
    <row r="59" spans="1:2" s="103" customFormat="1" ht="18" customHeight="1" x14ac:dyDescent="0.2"/>
    <row r="60" spans="1:2" s="103" customFormat="1" x14ac:dyDescent="0.2"/>
    <row r="61" spans="1:2" s="103" customFormat="1" x14ac:dyDescent="0.2"/>
    <row r="62" spans="1:2" s="103" customFormat="1" x14ac:dyDescent="0.2"/>
    <row r="63" spans="1:2" s="103" customFormat="1" x14ac:dyDescent="0.2"/>
    <row r="64" spans="1:2" s="103" customFormat="1" x14ac:dyDescent="0.2"/>
    <row r="65" s="103" customFormat="1" x14ac:dyDescent="0.2"/>
    <row r="66" s="103" customFormat="1" x14ac:dyDescent="0.2"/>
  </sheetData>
  <mergeCells count="1">
    <mergeCell ref="B9:F12"/>
  </mergeCells>
  <pageMargins left="0.25" right="0.25" top="0.25" bottom="0.5" header="0.35" footer="0.3"/>
  <pageSetup orientation="portrait" r:id="rId1"/>
  <headerFooter alignWithMargins="0">
    <oddFooter>&amp;L&amp;8Posted: 2021-01-08&amp;C&amp;8Page 1&amp;R&amp;8Public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0:F64"/>
  <sheetViews>
    <sheetView showGridLines="0" topLeftCell="A40" zoomScaleNormal="100" workbookViewId="0">
      <selection activeCell="B17" sqref="B17"/>
    </sheetView>
  </sheetViews>
  <sheetFormatPr defaultRowHeight="12.75" x14ac:dyDescent="0.2"/>
  <cols>
    <col min="1" max="1" width="7.5703125" customWidth="1"/>
    <col min="2" max="2" width="12.5703125" customWidth="1"/>
    <col min="3" max="3" width="19.42578125" customWidth="1"/>
    <col min="4" max="4" width="21.42578125" customWidth="1"/>
    <col min="5" max="5" width="19.42578125" customWidth="1"/>
    <col min="6" max="6" width="12.5703125" customWidth="1"/>
    <col min="7" max="7" width="7.5703125" customWidth="1"/>
  </cols>
  <sheetData>
    <row r="10" spans="1:2" s="113" customFormat="1" ht="16.5" x14ac:dyDescent="0.2">
      <c r="A10" s="1"/>
      <c r="B10" s="113" t="s">
        <v>152</v>
      </c>
    </row>
    <row r="11" spans="1:2" s="104" customFormat="1" x14ac:dyDescent="0.2">
      <c r="B11" s="104" t="s">
        <v>289</v>
      </c>
    </row>
    <row r="12" spans="1:2" s="104" customFormat="1" x14ac:dyDescent="0.2">
      <c r="B12" s="104" t="s">
        <v>278</v>
      </c>
    </row>
    <row r="13" spans="1:2" s="107" customFormat="1" ht="11.25" x14ac:dyDescent="0.2"/>
    <row r="14" spans="1:2" s="104" customFormat="1" x14ac:dyDescent="0.2">
      <c r="B14" s="104" t="s">
        <v>180</v>
      </c>
    </row>
    <row r="15" spans="1:2" s="104" customFormat="1" x14ac:dyDescent="0.2">
      <c r="B15" s="104" t="s">
        <v>143</v>
      </c>
    </row>
    <row r="16" spans="1:2" s="107" customFormat="1" ht="11.25" x14ac:dyDescent="0.2"/>
    <row r="17" spans="2:2" s="104" customFormat="1" x14ac:dyDescent="0.2">
      <c r="B17" s="104" t="s">
        <v>181</v>
      </c>
    </row>
    <row r="18" spans="2:2" s="104" customFormat="1" x14ac:dyDescent="0.2">
      <c r="B18" s="104" t="s">
        <v>182</v>
      </c>
    </row>
    <row r="19" spans="2:2" s="107" customFormat="1" ht="11.25" x14ac:dyDescent="0.2"/>
    <row r="20" spans="2:2" s="104" customFormat="1" x14ac:dyDescent="0.2">
      <c r="B20" s="104" t="s">
        <v>227</v>
      </c>
    </row>
    <row r="21" spans="2:2" s="104" customFormat="1" x14ac:dyDescent="0.2">
      <c r="B21" s="104" t="s">
        <v>228</v>
      </c>
    </row>
    <row r="22" spans="2:2" s="107" customFormat="1" ht="11.25" x14ac:dyDescent="0.2"/>
    <row r="23" spans="2:2" s="104" customFormat="1" x14ac:dyDescent="0.2">
      <c r="B23" s="104" t="s">
        <v>229</v>
      </c>
    </row>
    <row r="24" spans="2:2" s="104" customFormat="1" x14ac:dyDescent="0.2">
      <c r="B24" s="104" t="s">
        <v>279</v>
      </c>
    </row>
    <row r="25" spans="2:2" s="107" customFormat="1" ht="11.25" x14ac:dyDescent="0.2"/>
    <row r="26" spans="2:2" s="104" customFormat="1" x14ac:dyDescent="0.2">
      <c r="B26" s="104" t="s">
        <v>290</v>
      </c>
    </row>
    <row r="27" spans="2:2" s="104" customFormat="1" x14ac:dyDescent="0.2">
      <c r="B27" s="104" t="s">
        <v>230</v>
      </c>
    </row>
    <row r="28" spans="2:2" s="107" customFormat="1" ht="11.25" x14ac:dyDescent="0.2"/>
    <row r="29" spans="2:2" s="104" customFormat="1" x14ac:dyDescent="0.2">
      <c r="B29" s="104" t="s">
        <v>186</v>
      </c>
    </row>
    <row r="30" spans="2:2" s="104" customFormat="1" x14ac:dyDescent="0.2">
      <c r="B30" s="104" t="s">
        <v>280</v>
      </c>
    </row>
    <row r="31" spans="2:2" s="104" customFormat="1" x14ac:dyDescent="0.2">
      <c r="B31" s="104" t="s">
        <v>153</v>
      </c>
    </row>
    <row r="32" spans="2:2" s="107" customFormat="1" ht="11.25" x14ac:dyDescent="0.2"/>
    <row r="33" spans="2:6" ht="15.75" x14ac:dyDescent="0.25">
      <c r="B33" s="174" t="s">
        <v>183</v>
      </c>
      <c r="C33" s="4"/>
      <c r="D33" s="3"/>
      <c r="E33" s="3"/>
      <c r="F33" s="3"/>
    </row>
    <row r="34" spans="2:6" s="108" customFormat="1" ht="6.75" x14ac:dyDescent="0.15"/>
    <row r="35" spans="2:6" s="104" customFormat="1" x14ac:dyDescent="0.2">
      <c r="B35" s="104" t="s">
        <v>291</v>
      </c>
    </row>
    <row r="36" spans="2:6" s="104" customFormat="1" x14ac:dyDescent="0.2">
      <c r="B36" s="104" t="s">
        <v>292</v>
      </c>
    </row>
    <row r="37" spans="2:6" s="104" customFormat="1" x14ac:dyDescent="0.2">
      <c r="B37" s="104" t="s">
        <v>293</v>
      </c>
    </row>
    <row r="38" spans="2:6" s="104" customFormat="1" x14ac:dyDescent="0.2">
      <c r="B38" s="104" t="s">
        <v>144</v>
      </c>
    </row>
    <row r="39" spans="2:6" s="107" customFormat="1" ht="11.25" x14ac:dyDescent="0.2"/>
    <row r="40" spans="2:6" s="104" customFormat="1" x14ac:dyDescent="0.2">
      <c r="B40" s="104" t="s">
        <v>281</v>
      </c>
    </row>
    <row r="41" spans="2:6" s="104" customFormat="1" x14ac:dyDescent="0.2">
      <c r="B41" s="104" t="s">
        <v>294</v>
      </c>
    </row>
    <row r="42" spans="2:6" s="104" customFormat="1" x14ac:dyDescent="0.2">
      <c r="B42" s="104" t="s">
        <v>231</v>
      </c>
    </row>
    <row r="43" spans="2:6" s="107" customFormat="1" ht="11.25" x14ac:dyDescent="0.2"/>
    <row r="44" spans="2:6" ht="15.75" x14ac:dyDescent="0.25">
      <c r="B44" s="174" t="s">
        <v>184</v>
      </c>
      <c r="C44" s="4"/>
      <c r="D44" s="3"/>
      <c r="E44" s="3"/>
      <c r="F44" s="3"/>
    </row>
    <row r="45" spans="2:6" s="108" customFormat="1" ht="6.75" x14ac:dyDescent="0.15"/>
    <row r="46" spans="2:6" s="104" customFormat="1" x14ac:dyDescent="0.2">
      <c r="B46" s="104" t="s">
        <v>154</v>
      </c>
    </row>
    <row r="47" spans="2:6" s="104" customFormat="1" x14ac:dyDescent="0.2">
      <c r="B47" s="104" t="s">
        <v>155</v>
      </c>
    </row>
    <row r="48" spans="2:6" s="104" customFormat="1" x14ac:dyDescent="0.2">
      <c r="B48" s="104" t="s">
        <v>146</v>
      </c>
    </row>
    <row r="49" spans="2:2" s="107" customFormat="1" ht="11.25" x14ac:dyDescent="0.2"/>
    <row r="50" spans="2:2" s="104" customFormat="1" x14ac:dyDescent="0.2">
      <c r="B50" s="104" t="s">
        <v>282</v>
      </c>
    </row>
    <row r="51" spans="2:2" s="104" customFormat="1" x14ac:dyDescent="0.2">
      <c r="B51" s="104" t="s">
        <v>185</v>
      </c>
    </row>
    <row r="52" spans="2:2" s="108" customFormat="1" ht="6.75" x14ac:dyDescent="0.15"/>
    <row r="53" spans="2:2" s="104" customFormat="1" x14ac:dyDescent="0.2">
      <c r="B53" s="104" t="s">
        <v>188</v>
      </c>
    </row>
    <row r="54" spans="2:2" s="104" customFormat="1" x14ac:dyDescent="0.2">
      <c r="B54" s="104" t="s">
        <v>189</v>
      </c>
    </row>
    <row r="55" spans="2:2" s="104" customFormat="1" x14ac:dyDescent="0.2">
      <c r="B55" s="104" t="s">
        <v>190</v>
      </c>
    </row>
    <row r="56" spans="2:2" s="104" customFormat="1" x14ac:dyDescent="0.2">
      <c r="B56" s="104" t="s">
        <v>191</v>
      </c>
    </row>
    <row r="57" spans="2:2" s="107" customFormat="1" ht="11.25" x14ac:dyDescent="0.2"/>
    <row r="58" spans="2:2" s="104" customFormat="1" x14ac:dyDescent="0.2">
      <c r="B58" s="118" t="s">
        <v>284</v>
      </c>
    </row>
    <row r="59" spans="2:2" s="104" customFormat="1" x14ac:dyDescent="0.2">
      <c r="B59" s="118" t="s">
        <v>283</v>
      </c>
    </row>
    <row r="60" spans="2:2" s="104" customFormat="1" x14ac:dyDescent="0.2"/>
    <row r="61" spans="2:2" s="104" customFormat="1" x14ac:dyDescent="0.2"/>
    <row r="62" spans="2:2" s="104" customFormat="1" x14ac:dyDescent="0.2"/>
    <row r="63" spans="2:2" s="104" customFormat="1" ht="4.3499999999999996" customHeight="1" x14ac:dyDescent="0.2"/>
    <row r="64" spans="2:2" s="104" customFormat="1" x14ac:dyDescent="0.2"/>
  </sheetData>
  <pageMargins left="0.25" right="0.25" top="0.35" bottom="0.3" header="0.35" footer="0.2"/>
  <pageSetup orientation="portrait" r:id="rId1"/>
  <headerFooter alignWithMargins="0">
    <oddFooter>&amp;L&amp;8Posted: 2021-01-08&amp;C&amp;8Page 2&amp;R&amp;8Public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9:F67"/>
  <sheetViews>
    <sheetView showGridLines="0" workbookViewId="0">
      <selection activeCell="H27" sqref="A1:H27"/>
    </sheetView>
  </sheetViews>
  <sheetFormatPr defaultRowHeight="12.75" x14ac:dyDescent="0.2"/>
  <cols>
    <col min="1" max="1" width="6.42578125" customWidth="1"/>
    <col min="2" max="2" width="12.5703125" customWidth="1"/>
    <col min="3" max="3" width="19.42578125" customWidth="1"/>
    <col min="4" max="4" width="21.42578125" customWidth="1"/>
    <col min="5" max="5" width="19.42578125" customWidth="1"/>
    <col min="6" max="6" width="12.5703125" customWidth="1"/>
    <col min="7" max="7" width="7.5703125" customWidth="1"/>
  </cols>
  <sheetData>
    <row r="9" spans="2:2" s="104" customFormat="1" x14ac:dyDescent="0.2">
      <c r="B9" s="104" t="s">
        <v>285</v>
      </c>
    </row>
    <row r="10" spans="2:2" s="104" customFormat="1" x14ac:dyDescent="0.2">
      <c r="B10" s="104" t="s">
        <v>156</v>
      </c>
    </row>
    <row r="11" spans="2:2" s="104" customFormat="1" x14ac:dyDescent="0.2"/>
    <row r="12" spans="2:2" s="175" customFormat="1" x14ac:dyDescent="0.2">
      <c r="B12" s="174" t="s">
        <v>265</v>
      </c>
    </row>
    <row r="13" spans="2:2" s="175" customFormat="1" x14ac:dyDescent="0.2"/>
    <row r="14" spans="2:2" s="175" customFormat="1" x14ac:dyDescent="0.2">
      <c r="B14" s="176" t="s">
        <v>266</v>
      </c>
    </row>
    <row r="15" spans="2:2" s="175" customFormat="1" x14ac:dyDescent="0.2">
      <c r="B15" s="176" t="s">
        <v>267</v>
      </c>
    </row>
    <row r="16" spans="2:2" s="175" customFormat="1" x14ac:dyDescent="0.2">
      <c r="B16" s="176" t="s">
        <v>268</v>
      </c>
    </row>
    <row r="17" spans="2:6" s="175" customFormat="1" x14ac:dyDescent="0.2">
      <c r="B17" s="176" t="s">
        <v>269</v>
      </c>
    </row>
    <row r="18" spans="2:6" s="104" customFormat="1" x14ac:dyDescent="0.2">
      <c r="B18" s="182"/>
    </row>
    <row r="19" spans="2:6" s="104" customFormat="1" x14ac:dyDescent="0.2">
      <c r="B19" s="182"/>
    </row>
    <row r="20" spans="2:6" ht="15.75" x14ac:dyDescent="0.25">
      <c r="B20" s="174" t="s">
        <v>21</v>
      </c>
      <c r="C20" s="4"/>
      <c r="D20" s="3"/>
      <c r="E20" s="3"/>
      <c r="F20" s="3"/>
    </row>
    <row r="21" spans="2:6" s="114" customFormat="1" ht="6.75" x14ac:dyDescent="0.15"/>
    <row r="22" spans="2:6" s="105" customFormat="1" ht="22.35" customHeight="1" x14ac:dyDescent="0.2">
      <c r="B22" s="168" t="s">
        <v>296</v>
      </c>
      <c r="C22" s="171" t="s">
        <v>297</v>
      </c>
      <c r="D22" s="169"/>
      <c r="E22" s="169"/>
      <c r="F22" s="170"/>
    </row>
    <row r="23" spans="2:6" s="105" customFormat="1" ht="25.5" customHeight="1" x14ac:dyDescent="0.2">
      <c r="B23" s="117" t="s">
        <v>259</v>
      </c>
      <c r="C23" s="143" t="s">
        <v>187</v>
      </c>
      <c r="D23" s="144"/>
      <c r="E23" s="144"/>
      <c r="F23" s="145"/>
    </row>
    <row r="24" spans="2:6" s="104" customFormat="1" x14ac:dyDescent="0.2"/>
    <row r="25" spans="2:6" s="104" customFormat="1" x14ac:dyDescent="0.2"/>
    <row r="26" spans="2:6" s="104" customFormat="1" x14ac:dyDescent="0.2"/>
    <row r="27" spans="2:6" s="104" customFormat="1" x14ac:dyDescent="0.2"/>
    <row r="28" spans="2:6" s="104" customFormat="1" x14ac:dyDescent="0.2"/>
    <row r="29" spans="2:6" s="104" customFormat="1" x14ac:dyDescent="0.2"/>
    <row r="30" spans="2:6" s="104" customFormat="1" x14ac:dyDescent="0.2"/>
    <row r="31" spans="2:6" s="104" customFormat="1" x14ac:dyDescent="0.2"/>
    <row r="32" spans="2:6" s="104" customFormat="1" x14ac:dyDescent="0.2"/>
    <row r="33" s="104" customFormat="1" x14ac:dyDescent="0.2"/>
    <row r="34" s="104" customFormat="1" x14ac:dyDescent="0.2"/>
    <row r="35" s="104" customFormat="1" x14ac:dyDescent="0.2"/>
    <row r="36" s="104" customFormat="1" x14ac:dyDescent="0.2"/>
    <row r="37" s="104" customFormat="1" x14ac:dyDescent="0.2"/>
    <row r="38" s="104" customFormat="1" x14ac:dyDescent="0.2"/>
    <row r="39" s="104" customFormat="1" x14ac:dyDescent="0.2"/>
    <row r="40" s="104" customFormat="1" x14ac:dyDescent="0.2"/>
    <row r="41" s="104" customFormat="1" x14ac:dyDescent="0.2"/>
    <row r="42" s="104" customFormat="1" x14ac:dyDescent="0.2"/>
    <row r="43" s="104" customFormat="1" x14ac:dyDescent="0.2"/>
    <row r="44" s="104" customFormat="1" x14ac:dyDescent="0.2"/>
    <row r="45" s="104" customFormat="1" x14ac:dyDescent="0.2"/>
    <row r="46" s="104" customFormat="1" x14ac:dyDescent="0.2"/>
    <row r="47" s="104" customFormat="1" x14ac:dyDescent="0.2"/>
    <row r="48" s="104" customFormat="1" x14ac:dyDescent="0.2"/>
    <row r="49" s="104" customFormat="1" x14ac:dyDescent="0.2"/>
    <row r="50" s="104" customFormat="1" x14ac:dyDescent="0.2"/>
    <row r="51" s="104" customFormat="1" x14ac:dyDescent="0.2"/>
    <row r="52" s="104" customFormat="1" x14ac:dyDescent="0.2"/>
    <row r="53" s="104" customFormat="1" x14ac:dyDescent="0.2"/>
    <row r="54" s="104" customFormat="1" x14ac:dyDescent="0.2"/>
    <row r="55" s="104" customFormat="1" x14ac:dyDescent="0.2"/>
    <row r="56" s="104" customFormat="1" x14ac:dyDescent="0.2"/>
    <row r="57" s="104" customFormat="1" x14ac:dyDescent="0.2"/>
    <row r="58" s="104" customFormat="1" x14ac:dyDescent="0.2"/>
    <row r="59" s="104" customFormat="1" x14ac:dyDescent="0.2"/>
    <row r="60" s="104" customFormat="1" x14ac:dyDescent="0.2"/>
    <row r="61" s="104" customFormat="1" x14ac:dyDescent="0.2"/>
    <row r="62" s="104" customFormat="1" x14ac:dyDescent="0.2"/>
    <row r="63" s="104" customFormat="1" x14ac:dyDescent="0.2"/>
    <row r="64" s="104" customFormat="1" x14ac:dyDescent="0.2"/>
    <row r="65" s="107" customFormat="1" ht="11.25" x14ac:dyDescent="0.2"/>
    <row r="66" s="104" customFormat="1" ht="4.3499999999999996" customHeight="1" x14ac:dyDescent="0.2"/>
    <row r="67" s="104" customFormat="1" x14ac:dyDescent="0.2"/>
  </sheetData>
  <pageMargins left="0.25" right="0.25" top="0.25" bottom="0.3" header="0.35" footer="0.2"/>
  <pageSetup scale="96" orientation="portrait" r:id="rId1"/>
  <headerFooter alignWithMargins="0">
    <oddFooter>&amp;L&amp;8Posted: 2021-01-02&amp;C&amp;8Page 3&amp;R&amp;8Public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7:M61"/>
  <sheetViews>
    <sheetView showGridLines="0" zoomScaleNormal="100" workbookViewId="0">
      <selection activeCell="K10" sqref="K10"/>
    </sheetView>
  </sheetViews>
  <sheetFormatPr defaultColWidth="9.5703125" defaultRowHeight="12.75" x14ac:dyDescent="0.2"/>
  <cols>
    <col min="1" max="1" width="2.5703125" style="7" customWidth="1"/>
    <col min="2" max="2" width="4.7109375" style="7" customWidth="1"/>
    <col min="3" max="3" width="11.85546875" style="7" customWidth="1"/>
    <col min="4" max="5" width="9.5703125" style="7" customWidth="1"/>
    <col min="6" max="6" width="10" style="7" customWidth="1"/>
    <col min="7" max="7" width="5.42578125" style="7" customWidth="1"/>
    <col min="8" max="10" width="11.42578125" style="7" customWidth="1"/>
    <col min="11" max="11" width="13.42578125" style="7" customWidth="1"/>
    <col min="12" max="16384" width="9.5703125" style="7"/>
  </cols>
  <sheetData>
    <row r="7" spans="2:11" ht="7.35" customHeight="1" x14ac:dyDescent="0.2"/>
    <row r="8" spans="2:11" s="5" customFormat="1" ht="17.45" customHeight="1" x14ac:dyDescent="0.4">
      <c r="B8" s="189" t="s">
        <v>270</v>
      </c>
      <c r="C8" s="189"/>
      <c r="D8" s="189"/>
      <c r="E8" s="189"/>
      <c r="F8" s="189"/>
      <c r="G8" s="189"/>
      <c r="H8" s="189"/>
      <c r="I8" s="189"/>
      <c r="J8" s="189"/>
      <c r="K8" s="189"/>
    </row>
    <row r="9" spans="2:11" s="6" customFormat="1" ht="4.9000000000000004" customHeight="1" x14ac:dyDescent="0.15"/>
    <row r="10" spans="2:11" x14ac:dyDescent="0.2">
      <c r="B10" s="7" t="s">
        <v>300</v>
      </c>
      <c r="D10" s="190" t="s">
        <v>301</v>
      </c>
      <c r="E10" s="190"/>
      <c r="F10" s="190"/>
      <c r="G10" s="190"/>
      <c r="H10" s="190"/>
      <c r="I10" s="190"/>
      <c r="J10" s="51" t="s">
        <v>0</v>
      </c>
      <c r="K10" s="185" t="s">
        <v>258</v>
      </c>
    </row>
    <row r="11" spans="2:11" x14ac:dyDescent="0.2">
      <c r="B11" s="7" t="s">
        <v>23</v>
      </c>
      <c r="D11" s="191" t="s">
        <v>24</v>
      </c>
      <c r="E11" s="191"/>
      <c r="F11" s="191"/>
      <c r="G11" s="191"/>
      <c r="H11" s="191"/>
      <c r="I11" s="191"/>
      <c r="J11" s="51" t="s">
        <v>1</v>
      </c>
      <c r="K11" s="186">
        <f>HLOOKUP($K$10,Lookup!$C$1:$Z$3,2,0)</f>
        <v>44197</v>
      </c>
    </row>
    <row r="12" spans="2:11" x14ac:dyDescent="0.2">
      <c r="B12" t="s">
        <v>5</v>
      </c>
      <c r="C12"/>
      <c r="D12" s="192" t="s">
        <v>20</v>
      </c>
      <c r="E12" s="192"/>
      <c r="F12" s="192"/>
      <c r="G12" s="67"/>
      <c r="I12" s="115"/>
      <c r="J12" s="51" t="s">
        <v>2</v>
      </c>
      <c r="K12" s="186" t="str">
        <f>HLOOKUP($K$10,Lookup!$C$1:$Z$3,3,0)</f>
        <v>Current</v>
      </c>
    </row>
    <row r="14" spans="2:11" x14ac:dyDescent="0.2">
      <c r="B14" s="9" t="s">
        <v>141</v>
      </c>
      <c r="C14" s="9"/>
      <c r="D14" s="9"/>
      <c r="E14" s="9"/>
      <c r="F14" s="9"/>
      <c r="G14" s="9"/>
      <c r="H14" s="9"/>
      <c r="I14" s="10" t="s">
        <v>90</v>
      </c>
      <c r="J14" s="194" t="s">
        <v>205</v>
      </c>
      <c r="K14" s="194"/>
    </row>
    <row r="15" spans="2:11" x14ac:dyDescent="0.2">
      <c r="B15" s="8" t="s">
        <v>9</v>
      </c>
      <c r="C15" s="7" t="s">
        <v>122</v>
      </c>
      <c r="I15" s="123" t="s">
        <v>232</v>
      </c>
      <c r="J15" s="195" t="s">
        <v>88</v>
      </c>
      <c r="K15" s="195"/>
    </row>
    <row r="16" spans="2:11" x14ac:dyDescent="0.2">
      <c r="B16" s="8" t="s">
        <v>10</v>
      </c>
      <c r="C16" s="96" t="s">
        <v>295</v>
      </c>
      <c r="I16" s="122" t="s">
        <v>233</v>
      </c>
      <c r="J16" s="195" t="s">
        <v>88</v>
      </c>
      <c r="K16" s="195"/>
    </row>
    <row r="17" spans="2:13" x14ac:dyDescent="0.2">
      <c r="B17" s="7" t="s">
        <v>11</v>
      </c>
      <c r="C17" s="7" t="s">
        <v>123</v>
      </c>
      <c r="I17" s="122" t="s">
        <v>233</v>
      </c>
      <c r="J17" s="195" t="s">
        <v>86</v>
      </c>
      <c r="K17" s="195"/>
    </row>
    <row r="18" spans="2:13" x14ac:dyDescent="0.2">
      <c r="B18" s="8" t="s">
        <v>12</v>
      </c>
      <c r="C18" s="7" t="s">
        <v>145</v>
      </c>
      <c r="I18" s="122" t="s">
        <v>233</v>
      </c>
      <c r="J18" s="195" t="s">
        <v>87</v>
      </c>
      <c r="K18" s="195"/>
    </row>
    <row r="19" spans="2:13" x14ac:dyDescent="0.2">
      <c r="B19" s="8" t="s">
        <v>13</v>
      </c>
      <c r="C19" s="7" t="s">
        <v>83</v>
      </c>
      <c r="I19" s="122" t="s">
        <v>233</v>
      </c>
      <c r="J19" s="196" t="s">
        <v>204</v>
      </c>
      <c r="K19" s="196"/>
    </row>
    <row r="20" spans="2:13" x14ac:dyDescent="0.2">
      <c r="B20" s="8" t="s">
        <v>14</v>
      </c>
      <c r="C20" s="7" t="s">
        <v>89</v>
      </c>
      <c r="I20" s="122" t="s">
        <v>233</v>
      </c>
      <c r="J20" s="195" t="s">
        <v>87</v>
      </c>
      <c r="K20" s="195"/>
    </row>
    <row r="21" spans="2:13" x14ac:dyDescent="0.2">
      <c r="B21" s="8" t="s">
        <v>15</v>
      </c>
      <c r="C21" s="7" t="s">
        <v>84</v>
      </c>
      <c r="I21" s="122" t="s">
        <v>233</v>
      </c>
      <c r="J21" s="195" t="s">
        <v>86</v>
      </c>
      <c r="K21" s="195"/>
    </row>
    <row r="22" spans="2:13" x14ac:dyDescent="0.2">
      <c r="B22" s="8" t="s">
        <v>16</v>
      </c>
      <c r="C22" s="7" t="s">
        <v>85</v>
      </c>
      <c r="I22" s="122" t="s">
        <v>233</v>
      </c>
      <c r="J22" s="195" t="s">
        <v>87</v>
      </c>
      <c r="K22" s="195"/>
    </row>
    <row r="24" spans="2:13" x14ac:dyDescent="0.2">
      <c r="H24" s="9"/>
      <c r="I24" s="193" t="s">
        <v>124</v>
      </c>
      <c r="J24" s="193"/>
      <c r="K24" s="10" t="s">
        <v>3</v>
      </c>
    </row>
    <row r="25" spans="2:13" customFormat="1" x14ac:dyDescent="0.2">
      <c r="B25" s="61" t="s">
        <v>91</v>
      </c>
      <c r="C25" s="61"/>
      <c r="D25" s="61"/>
      <c r="E25" s="61"/>
      <c r="F25" s="61"/>
      <c r="G25" s="61"/>
      <c r="H25" s="62" t="s">
        <v>25</v>
      </c>
      <c r="I25" s="10" t="s">
        <v>86</v>
      </c>
      <c r="J25" s="10" t="s">
        <v>87</v>
      </c>
      <c r="K25" s="62" t="s">
        <v>92</v>
      </c>
    </row>
    <row r="26" spans="2:13" customFormat="1" x14ac:dyDescent="0.2">
      <c r="B26" s="2" t="s">
        <v>142</v>
      </c>
      <c r="C26" t="s">
        <v>157</v>
      </c>
      <c r="H26" s="12" t="s">
        <v>4</v>
      </c>
      <c r="I26" s="97">
        <v>20</v>
      </c>
      <c r="J26" s="97">
        <v>0</v>
      </c>
      <c r="K26" s="97">
        <v>0</v>
      </c>
      <c r="M26" s="106"/>
    </row>
    <row r="27" spans="2:13" customFormat="1" x14ac:dyDescent="0.2">
      <c r="B27" s="2" t="s">
        <v>17</v>
      </c>
      <c r="C27" t="s">
        <v>158</v>
      </c>
      <c r="H27" s="12" t="s">
        <v>88</v>
      </c>
      <c r="I27" s="65">
        <f>IF(OR(EstimateType="STS Only",SUM(I26:K26)=0),"NA",IF(ISERROR(I26/SUM(I26,IF(OR(EstimateType="STS Only",EstimateType="DTS and STS"),J26,0),IF(OtherParticipant="Yes",K26,0))),1,I26/SUM(I26,IF(OR(EstimateType="STS Only",EstimateType="DTS and STS"),J26,0),IF(OtherParticipant="Yes",K26,0))))</f>
        <v>1</v>
      </c>
      <c r="J27" s="65" t="str">
        <f>IF(OR(EstimateType="DTS Only",SUM(I26:K26)=0),"NA",IF(ISERROR(J26/SUM(IF(OR(EstimateType="DTS Only",EstimateType="DTS and STS"),I26,0),J26,IF(OtherParticipant="Yes",K26,0))),1,J26/SUM(IF(OR(EstimateType="DTS Only",EstimateType="DTS and STS"),I26,0),J26,IF(OtherParticipant="Yes",K26,0))))</f>
        <v>NA</v>
      </c>
      <c r="K27" s="65" t="str">
        <f>IF(OR(OtherParticipant="No",SUM(I26:K26)=0),"NA",IF(ISERROR(K26/SUM(IF(OR(EstimateType="DTS Only",EstimateType="DTS and STS"),I26,0),IF(OR(EstimateType="STS Only",EstimateType="DTS and STS"),J26,0),K26)),1,K26/SUM(IF(OR(EstimateType="DTS Only",EstimateType="DTS and STS"),I26,0),IF(OR(EstimateType="STS Only",EstimateType="DTS and STS"),J26,0),K26)))</f>
        <v>NA</v>
      </c>
      <c r="M27" s="106"/>
    </row>
    <row r="28" spans="2:13" customFormat="1" x14ac:dyDescent="0.2">
      <c r="B28" s="2" t="s">
        <v>18</v>
      </c>
      <c r="C28" t="s">
        <v>159</v>
      </c>
      <c r="H28" s="12" t="s">
        <v>4</v>
      </c>
      <c r="I28" s="97">
        <v>20</v>
      </c>
      <c r="J28" s="97">
        <v>0</v>
      </c>
      <c r="K28" s="91" t="s">
        <v>8</v>
      </c>
    </row>
    <row r="29" spans="2:13" customFormat="1" x14ac:dyDescent="0.2">
      <c r="B29" s="2" t="s">
        <v>19</v>
      </c>
      <c r="C29" t="s">
        <v>160</v>
      </c>
      <c r="H29" s="12" t="s">
        <v>26</v>
      </c>
      <c r="I29" s="98">
        <v>0.75</v>
      </c>
      <c r="J29" s="91" t="s">
        <v>8</v>
      </c>
      <c r="K29" s="91" t="s">
        <v>8</v>
      </c>
    </row>
    <row r="30" spans="2:13" customFormat="1" x14ac:dyDescent="0.2">
      <c r="B30" s="2" t="s">
        <v>94</v>
      </c>
      <c r="C30" t="s">
        <v>161</v>
      </c>
      <c r="H30" s="12" t="s">
        <v>4</v>
      </c>
      <c r="I30" s="63">
        <f>I28*I29</f>
        <v>15</v>
      </c>
      <c r="J30" s="91" t="s">
        <v>8</v>
      </c>
      <c r="K30" s="91" t="s">
        <v>8</v>
      </c>
    </row>
    <row r="31" spans="2:13" customFormat="1" x14ac:dyDescent="0.2">
      <c r="B31" s="2" t="s">
        <v>95</v>
      </c>
      <c r="C31" t="s">
        <v>162</v>
      </c>
      <c r="H31" s="12" t="s">
        <v>4</v>
      </c>
      <c r="I31" s="97">
        <v>20</v>
      </c>
      <c r="J31" s="91" t="s">
        <v>8</v>
      </c>
      <c r="K31" s="91" t="s">
        <v>8</v>
      </c>
    </row>
    <row r="32" spans="2:13" customFormat="1" x14ac:dyDescent="0.2">
      <c r="B32" s="2" t="s">
        <v>96</v>
      </c>
      <c r="C32" s="103" t="s">
        <v>214</v>
      </c>
      <c r="H32" s="12" t="s">
        <v>4</v>
      </c>
      <c r="I32" s="63">
        <f>MAX(90%*I26,I28,90%*I31)</f>
        <v>20</v>
      </c>
      <c r="J32" s="91" t="s">
        <v>8</v>
      </c>
      <c r="K32" s="91" t="s">
        <v>8</v>
      </c>
    </row>
    <row r="33" spans="2:13" customFormat="1" x14ac:dyDescent="0.2">
      <c r="B33" s="2" t="s">
        <v>97</v>
      </c>
      <c r="C33" t="s">
        <v>163</v>
      </c>
      <c r="H33" s="12" t="s">
        <v>26</v>
      </c>
      <c r="I33" s="98">
        <v>0.65</v>
      </c>
      <c r="J33" s="98">
        <v>0.5</v>
      </c>
      <c r="K33" s="91" t="s">
        <v>8</v>
      </c>
    </row>
    <row r="34" spans="2:13" customFormat="1" x14ac:dyDescent="0.2">
      <c r="B34" s="2" t="s">
        <v>98</v>
      </c>
      <c r="C34" t="s">
        <v>164</v>
      </c>
      <c r="H34" s="12" t="s">
        <v>27</v>
      </c>
      <c r="I34" s="93">
        <v>730</v>
      </c>
      <c r="J34" s="93">
        <f>I34</f>
        <v>730</v>
      </c>
      <c r="K34" s="91" t="s">
        <v>8</v>
      </c>
    </row>
    <row r="35" spans="2:13" customFormat="1" x14ac:dyDescent="0.2">
      <c r="B35" s="2" t="s">
        <v>99</v>
      </c>
      <c r="C35" t="s">
        <v>165</v>
      </c>
      <c r="H35" s="12" t="s">
        <v>28</v>
      </c>
      <c r="I35" s="64">
        <f>I28*I33*I34</f>
        <v>9490</v>
      </c>
      <c r="J35" s="64">
        <f>J28*J33*J34</f>
        <v>0</v>
      </c>
      <c r="K35" s="91" t="s">
        <v>8</v>
      </c>
      <c r="M35" s="106"/>
    </row>
    <row r="36" spans="2:13" customFormat="1" x14ac:dyDescent="0.2">
      <c r="B36" s="2" t="s">
        <v>100</v>
      </c>
      <c r="C36" t="s">
        <v>166</v>
      </c>
      <c r="H36" s="12" t="s">
        <v>29</v>
      </c>
      <c r="I36" s="166">
        <f>INDEX(Lookup!$C$18:$Z$18,1,MATCH($K$10,Lookup!$C$1:$Z$1,0))</f>
        <v>53.93</v>
      </c>
      <c r="J36" s="99">
        <f>I36</f>
        <v>53.93</v>
      </c>
      <c r="K36" s="91" t="s">
        <v>8</v>
      </c>
    </row>
    <row r="37" spans="2:13" customFormat="1" x14ac:dyDescent="0.2">
      <c r="B37" s="2" t="s">
        <v>101</v>
      </c>
      <c r="C37" t="s">
        <v>215</v>
      </c>
      <c r="H37" s="12" t="s">
        <v>26</v>
      </c>
      <c r="I37" s="167">
        <f>INDEX(Lookup!$C$19:$Z$19,1,MATCH($K$10,Lookup!$C$1:$Z$1,0))</f>
        <v>6.1899999999999997E-2</v>
      </c>
      <c r="J37" s="91" t="s">
        <v>8</v>
      </c>
      <c r="K37" s="91" t="s">
        <v>8</v>
      </c>
    </row>
    <row r="38" spans="2:13" customFormat="1" x14ac:dyDescent="0.2">
      <c r="B38" s="2" t="s">
        <v>102</v>
      </c>
      <c r="C38" s="103" t="s">
        <v>216</v>
      </c>
      <c r="H38" s="12" t="s">
        <v>65</v>
      </c>
      <c r="I38" s="93">
        <v>0</v>
      </c>
      <c r="J38" s="91" t="s">
        <v>8</v>
      </c>
      <c r="K38" s="91" t="s">
        <v>8</v>
      </c>
      <c r="M38" s="106"/>
    </row>
    <row r="39" spans="2:13" customFormat="1" x14ac:dyDescent="0.2">
      <c r="B39" s="2" t="s">
        <v>103</v>
      </c>
      <c r="C39" t="s">
        <v>167</v>
      </c>
      <c r="H39" s="12" t="s">
        <v>26</v>
      </c>
      <c r="I39" s="91" t="s">
        <v>8</v>
      </c>
      <c r="J39" s="102">
        <v>3.61E-2</v>
      </c>
      <c r="K39" s="91" t="s">
        <v>8</v>
      </c>
      <c r="M39" s="2"/>
    </row>
    <row r="40" spans="2:13" customFormat="1" x14ac:dyDescent="0.2">
      <c r="B40" s="2" t="s">
        <v>104</v>
      </c>
      <c r="C40" t="s">
        <v>168</v>
      </c>
      <c r="H40" s="12" t="s">
        <v>4</v>
      </c>
      <c r="I40" s="91" t="s">
        <v>8</v>
      </c>
      <c r="J40" s="97">
        <v>0</v>
      </c>
      <c r="K40" s="91" t="s">
        <v>8</v>
      </c>
      <c r="M40" s="106"/>
    </row>
    <row r="41" spans="2:13" customFormat="1" x14ac:dyDescent="0.2">
      <c r="B41" s="131" t="s">
        <v>105</v>
      </c>
      <c r="C41" s="132" t="s">
        <v>206</v>
      </c>
      <c r="D41" s="133"/>
      <c r="E41" s="133"/>
      <c r="F41" s="133"/>
      <c r="G41" s="133"/>
      <c r="H41" s="134" t="s">
        <v>26</v>
      </c>
      <c r="I41" s="136" t="s">
        <v>208</v>
      </c>
      <c r="J41" s="135" t="s">
        <v>8</v>
      </c>
      <c r="K41" s="135" t="s">
        <v>8</v>
      </c>
      <c r="M41" s="106"/>
    </row>
    <row r="42" spans="2:13" x14ac:dyDescent="0.2">
      <c r="B42" s="116" t="s">
        <v>126</v>
      </c>
      <c r="C42" s="96" t="s">
        <v>217</v>
      </c>
      <c r="H42" s="12" t="s">
        <v>26</v>
      </c>
      <c r="I42" s="91" t="s">
        <v>8</v>
      </c>
      <c r="J42" s="102">
        <v>-5.0000000000000001E-3</v>
      </c>
      <c r="K42" s="91" t="s">
        <v>8</v>
      </c>
      <c r="M42" s="106"/>
    </row>
    <row r="43" spans="2:13" customFormat="1" x14ac:dyDescent="0.2">
      <c r="B43" s="106" t="s">
        <v>148</v>
      </c>
      <c r="C43" s="103" t="s">
        <v>207</v>
      </c>
      <c r="H43" s="12" t="s">
        <v>29</v>
      </c>
      <c r="I43" s="100">
        <f>INDEX(Lookup!$C$25:$Z$25,1,MATCH($K$10,Lookup!$C$1:$Z$1,0))</f>
        <v>2.2999999999999998</v>
      </c>
      <c r="J43" s="91" t="s">
        <v>8</v>
      </c>
      <c r="K43" s="91" t="s">
        <v>8</v>
      </c>
      <c r="M43" s="106"/>
    </row>
    <row r="44" spans="2:13" x14ac:dyDescent="0.2">
      <c r="B44" s="116" t="s">
        <v>209</v>
      </c>
      <c r="C44" s="96" t="s">
        <v>169</v>
      </c>
      <c r="H44" s="12" t="s">
        <v>29</v>
      </c>
      <c r="I44" s="91" t="s">
        <v>8</v>
      </c>
      <c r="J44" s="100">
        <v>0.08</v>
      </c>
      <c r="K44" s="91" t="s">
        <v>8</v>
      </c>
      <c r="M44" s="106"/>
    </row>
    <row r="46" spans="2:13" x14ac:dyDescent="0.2">
      <c r="B46" s="9" t="s">
        <v>108</v>
      </c>
      <c r="C46" s="9"/>
      <c r="D46" s="9"/>
      <c r="E46" s="9"/>
      <c r="F46" s="9"/>
      <c r="G46" s="9"/>
      <c r="H46" s="10" t="s">
        <v>86</v>
      </c>
      <c r="I46" s="10" t="s">
        <v>212</v>
      </c>
      <c r="J46" s="10" t="s">
        <v>87</v>
      </c>
      <c r="K46" s="10" t="s">
        <v>106</v>
      </c>
    </row>
    <row r="47" spans="2:13" x14ac:dyDescent="0.2">
      <c r="B47" s="8" t="s">
        <v>125</v>
      </c>
      <c r="C47" s="96" t="s">
        <v>218</v>
      </c>
      <c r="H47" s="66">
        <f>IF(EstimateType="STS Only","NA ",'B Rate DTS and Riders'!J48)</f>
        <v>361751.03382999997</v>
      </c>
      <c r="I47" s="66" t="str">
        <f>IF(OR(EstimateType="STS Only",PrimaryServiceCredit&lt;&gt;"Yes"),"NA ",'C Rate PSC and Rider'!K25)</f>
        <v>NA </v>
      </c>
      <c r="J47" s="66" t="str">
        <f>IF(EstimateType="DTS Only","NA ",'D Rate STS and Riders'!K26)</f>
        <v>NA </v>
      </c>
      <c r="K47" s="66">
        <f>SUM(H47:J47)</f>
        <v>361751.03382999997</v>
      </c>
    </row>
    <row r="48" spans="2:13" x14ac:dyDescent="0.2">
      <c r="B48" s="116" t="s">
        <v>110</v>
      </c>
      <c r="C48" s="96" t="s">
        <v>213</v>
      </c>
      <c r="H48" s="66" t="str">
        <f>IF(OR(EstimateType="STS Only",RiderC&lt;&gt;"Yes"),"NA ",'B Rate DTS and Riders'!J56)</f>
        <v>NA </v>
      </c>
      <c r="I48" s="66" t="str">
        <f>IF(OR(EstimateType="STS Only",PrimaryServiceCredit&lt;&gt;"Yes",RiderC&lt;&gt;"Yes"),"NA ",'C Rate PSC and Rider'!K29)</f>
        <v>NA </v>
      </c>
      <c r="J48" s="66" t="s">
        <v>107</v>
      </c>
      <c r="K48" s="66" t="str">
        <f>IF(OR(EstimateType="STS Only",RiderC&lt;&gt;"Yes"),"NA ",SUM(H48:J48))</f>
        <v>NA </v>
      </c>
    </row>
    <row r="49" spans="2:11" x14ac:dyDescent="0.2">
      <c r="B49" s="116" t="s">
        <v>111</v>
      </c>
      <c r="C49" s="96" t="s">
        <v>219</v>
      </c>
      <c r="H49" s="66" t="s">
        <v>107</v>
      </c>
      <c r="I49" s="66" t="s">
        <v>107</v>
      </c>
      <c r="J49" s="66" t="str">
        <f>IF(OR(EstimateType="DTS Only",RiderE&lt;&gt;"Yes"),"NA ",'D Rate STS and Riders'!K29)</f>
        <v>NA </v>
      </c>
      <c r="K49" s="66" t="str">
        <f>IF(OR(EstimateType="DTS Only",RiderE&lt;&gt;"Yes"),"NA ",SUM(H49:J49))</f>
        <v>NA </v>
      </c>
    </row>
    <row r="50" spans="2:11" x14ac:dyDescent="0.2">
      <c r="B50" s="116" t="s">
        <v>112</v>
      </c>
      <c r="C50" s="96" t="s">
        <v>220</v>
      </c>
      <c r="H50" s="66" t="str">
        <f>IF(OR(EstimateType="STS Only",RiderF&lt;&gt;"Yes"),"NA ",'B Rate DTS and Riders'!J59)</f>
        <v>NA </v>
      </c>
      <c r="I50" s="66" t="s">
        <v>107</v>
      </c>
      <c r="J50" s="66" t="s">
        <v>107</v>
      </c>
      <c r="K50" s="66" t="str">
        <f>IF(OR(EstimateType="STS Only",RiderF&lt;&gt;"Yes"),"NA ",SUM(H50:J50))</f>
        <v>NA </v>
      </c>
    </row>
    <row r="51" spans="2:11" x14ac:dyDescent="0.2">
      <c r="B51" s="116" t="s">
        <v>113</v>
      </c>
      <c r="C51" s="96" t="s">
        <v>221</v>
      </c>
      <c r="H51" s="66" t="s">
        <v>107</v>
      </c>
      <c r="I51" s="66" t="s">
        <v>107</v>
      </c>
      <c r="J51" s="66" t="str">
        <f>IF(OR(EstimateType="DTS Only",RiderJ&lt;&gt;"Yes"),"NA ",'D Rate STS and Riders'!K32)</f>
        <v>NA </v>
      </c>
      <c r="K51" s="66" t="str">
        <f>IF(OR(EstimateType="DTS Only",RiderJ&lt;&gt;"Yes"),"NA ",SUM(H51:J51))</f>
        <v>NA </v>
      </c>
    </row>
    <row r="52" spans="2:11" x14ac:dyDescent="0.2">
      <c r="B52" s="116" t="s">
        <v>114</v>
      </c>
      <c r="C52" s="9" t="s">
        <v>170</v>
      </c>
      <c r="D52" s="9"/>
      <c r="E52" s="9"/>
      <c r="F52" s="9"/>
      <c r="G52" s="9"/>
      <c r="H52" s="92">
        <f>IF(EstimateType="STS Only","NA ",SUM(H47:H51))</f>
        <v>361751.03382999997</v>
      </c>
      <c r="I52" s="92">
        <f>IF(EstimateType="STS Only","NA ",SUM(I47:I51))</f>
        <v>0</v>
      </c>
      <c r="J52" s="92" t="str">
        <f>IF(EstimateType="DTS Only","NA ",SUM(J47:J51))</f>
        <v>NA </v>
      </c>
      <c r="K52" s="92">
        <f>SUM(K47:K51)</f>
        <v>361751.03382999997</v>
      </c>
    </row>
    <row r="54" spans="2:11" x14ac:dyDescent="0.2">
      <c r="B54" s="9" t="s">
        <v>109</v>
      </c>
      <c r="C54" s="9"/>
      <c r="D54" s="9"/>
      <c r="E54" s="9"/>
      <c r="F54" s="9"/>
      <c r="G54" s="9"/>
      <c r="H54" s="10" t="s">
        <v>86</v>
      </c>
      <c r="I54" s="10" t="s">
        <v>212</v>
      </c>
      <c r="J54" s="10" t="s">
        <v>87</v>
      </c>
      <c r="K54" s="10" t="s">
        <v>106</v>
      </c>
    </row>
    <row r="55" spans="2:11" x14ac:dyDescent="0.2">
      <c r="B55" s="8" t="s">
        <v>115</v>
      </c>
      <c r="C55" s="96" t="s">
        <v>218</v>
      </c>
      <c r="H55" s="66">
        <f>IF(H47="NA ","NA ",H47*12)</f>
        <v>4341012.4059599992</v>
      </c>
      <c r="I55" s="66" t="str">
        <f>IF(I47="NA ","NA ",I47*12)</f>
        <v>NA </v>
      </c>
      <c r="J55" s="66" t="str">
        <f>IF(J47="NA ","NA ",J47*12)</f>
        <v>NA </v>
      </c>
      <c r="K55" s="66">
        <f>SUM(H55:J55)</f>
        <v>4341012.4059599992</v>
      </c>
    </row>
    <row r="56" spans="2:11" x14ac:dyDescent="0.2">
      <c r="B56" s="8" t="s">
        <v>116</v>
      </c>
      <c r="C56" s="96" t="s">
        <v>213</v>
      </c>
      <c r="H56" s="66" t="str">
        <f>IF(H48="NA ","NA ",H48*12)</f>
        <v>NA </v>
      </c>
      <c r="I56" s="66" t="str">
        <f>IF(I48="NA ","NA ",I48*12)</f>
        <v>NA </v>
      </c>
      <c r="J56" s="66" t="s">
        <v>107</v>
      </c>
      <c r="K56" s="66" t="str">
        <f>IF(K48="NA ","NA ",SUM(H56:J56))</f>
        <v>NA </v>
      </c>
    </row>
    <row r="57" spans="2:11" x14ac:dyDescent="0.2">
      <c r="B57" s="8" t="s">
        <v>117</v>
      </c>
      <c r="C57" s="96" t="s">
        <v>219</v>
      </c>
      <c r="H57" s="66" t="s">
        <v>107</v>
      </c>
      <c r="I57" s="66" t="s">
        <v>107</v>
      </c>
      <c r="J57" s="66" t="str">
        <f>IF(J49="NA ","NA ",J49*12)</f>
        <v>NA </v>
      </c>
      <c r="K57" s="66" t="str">
        <f>IF(K49="NA ","NA ",SUM(H57:J57))</f>
        <v>NA </v>
      </c>
    </row>
    <row r="58" spans="2:11" x14ac:dyDescent="0.2">
      <c r="B58" s="8" t="s">
        <v>118</v>
      </c>
      <c r="C58" s="96" t="s">
        <v>220</v>
      </c>
      <c r="H58" s="66" t="str">
        <f>IF(H50="NA ","NA ",H50*12)</f>
        <v>NA </v>
      </c>
      <c r="I58" s="66" t="s">
        <v>107</v>
      </c>
      <c r="J58" s="66" t="s">
        <v>107</v>
      </c>
      <c r="K58" s="66" t="str">
        <f>IF(K50="NA ","NA ",SUM(H58:J58))</f>
        <v>NA </v>
      </c>
    </row>
    <row r="59" spans="2:11" x14ac:dyDescent="0.2">
      <c r="B59" s="8" t="s">
        <v>119</v>
      </c>
      <c r="C59" s="96" t="s">
        <v>221</v>
      </c>
      <c r="H59" s="66" t="s">
        <v>107</v>
      </c>
      <c r="I59" s="66" t="s">
        <v>107</v>
      </c>
      <c r="J59" s="66" t="str">
        <f>IF(J51="NA ","NA ",J51*12)</f>
        <v>NA </v>
      </c>
      <c r="K59" s="66" t="str">
        <f>IF(K51="NA ","NA ",SUM(H59:J59))</f>
        <v>NA </v>
      </c>
    </row>
    <row r="60" spans="2:11" x14ac:dyDescent="0.2">
      <c r="B60" s="8" t="s">
        <v>120</v>
      </c>
      <c r="C60" s="9" t="s">
        <v>171</v>
      </c>
      <c r="D60" s="9"/>
      <c r="E60" s="9"/>
      <c r="F60" s="9"/>
      <c r="G60" s="9"/>
      <c r="H60" s="92">
        <f>IF(EstimateType="STS Only","NA ",SUM(H55:H59))</f>
        <v>4341012.4059599992</v>
      </c>
      <c r="I60" s="92">
        <f>IF(EstimateType="STS Only","NA ",SUM(I55:I59))</f>
        <v>0</v>
      </c>
      <c r="J60" s="92" t="str">
        <f>IF(J52="NA ","NA ",SUM(J55:J59))</f>
        <v>NA </v>
      </c>
      <c r="K60" s="92">
        <f>SUM(K55:K59)</f>
        <v>4341012.4059599992</v>
      </c>
    </row>
    <row r="61" spans="2:11" x14ac:dyDescent="0.2">
      <c r="B61" s="8"/>
      <c r="C61" s="9"/>
      <c r="D61" s="9"/>
      <c r="E61" s="9"/>
      <c r="F61" s="9"/>
      <c r="G61" s="9"/>
      <c r="H61" s="177"/>
      <c r="I61" s="177"/>
      <c r="J61" s="177"/>
      <c r="K61" s="177"/>
    </row>
  </sheetData>
  <mergeCells count="14">
    <mergeCell ref="B8:K8"/>
    <mergeCell ref="D10:I10"/>
    <mergeCell ref="D11:I11"/>
    <mergeCell ref="D12:F12"/>
    <mergeCell ref="I24:J24"/>
    <mergeCell ref="J14:K14"/>
    <mergeCell ref="J15:K15"/>
    <mergeCell ref="J22:K22"/>
    <mergeCell ref="J16:K16"/>
    <mergeCell ref="J17:K17"/>
    <mergeCell ref="J18:K18"/>
    <mergeCell ref="J19:K19"/>
    <mergeCell ref="J20:K20"/>
    <mergeCell ref="J21:K21"/>
  </mergeCells>
  <phoneticPr fontId="2" type="noConversion"/>
  <conditionalFormatting sqref="I15">
    <cfRule type="expression" dxfId="32" priority="29" stopIfTrue="1">
      <formula>OR(LEFT($K$58,5)="Error",LEFT($K$59,5)="Error")</formula>
    </cfRule>
  </conditionalFormatting>
  <conditionalFormatting sqref="I16">
    <cfRule type="expression" dxfId="31" priority="30" stopIfTrue="1">
      <formula>AND(NewOrExpansion="New Service",NewOrExistingSub="Existing Substation",OtherParticipant="No")</formula>
    </cfRule>
  </conditionalFormatting>
  <conditionalFormatting sqref="I17">
    <cfRule type="expression" dxfId="30" priority="31" stopIfTrue="1">
      <formula>LEFT(#REF!,5)="Error"</formula>
    </cfRule>
  </conditionalFormatting>
  <conditionalFormatting sqref="K26:K27">
    <cfRule type="expression" dxfId="29" priority="32" stopIfTrue="1">
      <formula>OtherParticipant&lt;&gt;"Yes"</formula>
    </cfRule>
  </conditionalFormatting>
  <conditionalFormatting sqref="K28:K39">
    <cfRule type="expression" dxfId="28" priority="33" stopIfTrue="1">
      <formula>OtherParticipant&lt;&gt;"Yes"</formula>
    </cfRule>
  </conditionalFormatting>
  <conditionalFormatting sqref="J40">
    <cfRule type="expression" dxfId="27" priority="34" stopIfTrue="1">
      <formula>OR(AND(EstimateType&lt;&gt;"STS Only",EstimateType&lt;&gt;"DTS and STS"),RegulatedGeneratingUnit&lt;&gt;"Yes")</formula>
    </cfRule>
  </conditionalFormatting>
  <conditionalFormatting sqref="J29:J32 J37:J38">
    <cfRule type="expression" dxfId="26" priority="35" stopIfTrue="1">
      <formula>AND(EstimateType&lt;&gt;"STS Only",EstimateType&lt;&gt;"DTS and STS")</formula>
    </cfRule>
  </conditionalFormatting>
  <conditionalFormatting sqref="I26:I33 I35 I37">
    <cfRule type="expression" dxfId="25" priority="36" stopIfTrue="1">
      <formula>AND(EstimateType&lt;&gt;"DTS Only",EstimateType&lt;&gt;"DTS and STS")</formula>
    </cfRule>
  </conditionalFormatting>
  <conditionalFormatting sqref="I39">
    <cfRule type="expression" dxfId="24" priority="37" stopIfTrue="1">
      <formula>AND(EstimateType&lt;&gt;"DTS Only",EstimateType&lt;&gt;"DTS and STS")</formula>
    </cfRule>
  </conditionalFormatting>
  <conditionalFormatting sqref="I41">
    <cfRule type="expression" dxfId="23" priority="38" stopIfTrue="1">
      <formula>OR(AND(EstimateType&lt;&gt;"DTS Only",EstimateType&lt;&gt;"DTS and STS"),RiderC="No")</formula>
    </cfRule>
  </conditionalFormatting>
  <conditionalFormatting sqref="J42">
    <cfRule type="expression" dxfId="22" priority="39" stopIfTrue="1">
      <formula>OR(AND(EstimateType&lt;&gt;"STS Only",EstimateType&lt;&gt;"DTS and STS"),RiderE="No")</formula>
    </cfRule>
  </conditionalFormatting>
  <conditionalFormatting sqref="J34 J28">
    <cfRule type="expression" dxfId="21" priority="40" stopIfTrue="1">
      <formula>AND(EstimateType&lt;&gt;"STS Only",EstimateType&lt;&gt;"DTS and STS")</formula>
    </cfRule>
  </conditionalFormatting>
  <conditionalFormatting sqref="I34 I36">
    <cfRule type="expression" dxfId="20" priority="41" stopIfTrue="1">
      <formula>AND(EstimateType&lt;&gt;"DTS Only",EstimateType&lt;&gt;"DTS and STS")</formula>
    </cfRule>
  </conditionalFormatting>
  <conditionalFormatting sqref="J33 J36">
    <cfRule type="expression" dxfId="19" priority="42" stopIfTrue="1">
      <formula>AND(EstimateType&lt;&gt;"STS Only",EstimateType&lt;&gt;"DTS and STS")</formula>
    </cfRule>
  </conditionalFormatting>
  <conditionalFormatting sqref="I43">
    <cfRule type="expression" dxfId="18" priority="28" stopIfTrue="1">
      <formula>OR(AND(EstimateType&lt;&gt;"DTS Only",EstimateType&lt;&gt;"DTS and STS"),RiderF="No")</formula>
    </cfRule>
  </conditionalFormatting>
  <conditionalFormatting sqref="J44">
    <cfRule type="expression" dxfId="17" priority="22" stopIfTrue="1">
      <formula>OR(EstimateType="DTS Only",RiderJ="No")</formula>
    </cfRule>
  </conditionalFormatting>
  <conditionalFormatting sqref="J39">
    <cfRule type="expression" dxfId="16" priority="21" stopIfTrue="1">
      <formula>AND(EstimateType&lt;&gt;"STS Only",EstimateType&lt;&gt;"DTS and STS")</formula>
    </cfRule>
  </conditionalFormatting>
  <conditionalFormatting sqref="J26">
    <cfRule type="expression" dxfId="15" priority="20" stopIfTrue="1">
      <formula>AND(EstimateType&lt;&gt;"STS Only",EstimateType&lt;&gt;"DTS and STS")</formula>
    </cfRule>
  </conditionalFormatting>
  <conditionalFormatting sqref="J35">
    <cfRule type="expression" dxfId="14" priority="18" stopIfTrue="1">
      <formula>AND(EstimateType&lt;&gt;"STS Only",EstimateType&lt;&gt;"DTS and STS")</formula>
    </cfRule>
  </conditionalFormatting>
  <conditionalFormatting sqref="J41">
    <cfRule type="expression" dxfId="13" priority="17" stopIfTrue="1">
      <formula>OR(AND(EstimateType&lt;&gt;"STS Only",EstimateType&lt;&gt;"DTS and STS"),RiderC&lt;&gt;"Yes")</formula>
    </cfRule>
  </conditionalFormatting>
  <conditionalFormatting sqref="I42">
    <cfRule type="expression" dxfId="12" priority="16" stopIfTrue="1">
      <formula>OR(AND(EstimateType&lt;&gt;"DTS Only",EstimateType&lt;&gt;"DTS and STS"),RiderE&lt;&gt;"Yes")</formula>
    </cfRule>
  </conditionalFormatting>
  <conditionalFormatting sqref="J43">
    <cfRule type="expression" dxfId="11" priority="15" stopIfTrue="1">
      <formula>OR(AND(EstimateType&lt;&gt;"STS Only",EstimateType&lt;&gt;"DTS and STS"),RiderF&lt;&gt;"Yes")</formula>
    </cfRule>
  </conditionalFormatting>
  <conditionalFormatting sqref="I44">
    <cfRule type="expression" dxfId="10" priority="14" stopIfTrue="1">
      <formula>OR(AND(EstimateType&lt;&gt;"DTS Only",EstimateType&lt;&gt;"DTS and STS"),RiderJ&lt;&gt;"Yes")</formula>
    </cfRule>
  </conditionalFormatting>
  <conditionalFormatting sqref="I40">
    <cfRule type="expression" dxfId="9" priority="13" stopIfTrue="1">
      <formula>OR(AND(EstimateType&lt;&gt;"DTS Only",EstimateType&lt;&gt;"DTS and STS"),RegulatedGeneratingUnit&lt;&gt;"Yes")</formula>
    </cfRule>
  </conditionalFormatting>
  <conditionalFormatting sqref="J27">
    <cfRule type="expression" dxfId="8" priority="7" stopIfTrue="1">
      <formula>AND(EstimateType&lt;&gt;"STS Only",EstimateType&lt;&gt;"DTS and STS")</formula>
    </cfRule>
  </conditionalFormatting>
  <conditionalFormatting sqref="K40">
    <cfRule type="expression" dxfId="7" priority="6" stopIfTrue="1">
      <formula>OR(OtherParticipant&lt;&gt;"Yes",RegulatedGeneratingUnit&lt;&gt;"Yes")</formula>
    </cfRule>
  </conditionalFormatting>
  <conditionalFormatting sqref="K41">
    <cfRule type="expression" dxfId="6" priority="5" stopIfTrue="1">
      <formula>OR(OtherParticipant&lt;&gt;"Yes",RiderC&lt;&gt;"Yes")</formula>
    </cfRule>
  </conditionalFormatting>
  <conditionalFormatting sqref="K42">
    <cfRule type="expression" dxfId="5" priority="4" stopIfTrue="1">
      <formula>OR(OtherParticipant&lt;&gt;"Yes",RiderE&lt;&gt;"Yes")</formula>
    </cfRule>
  </conditionalFormatting>
  <conditionalFormatting sqref="K43">
    <cfRule type="expression" dxfId="4" priority="3" stopIfTrue="1">
      <formula>OR(OtherParticipant&lt;&gt;"Yes",RiderF&lt;&gt;"Yes")</formula>
    </cfRule>
  </conditionalFormatting>
  <conditionalFormatting sqref="K44">
    <cfRule type="expression" dxfId="3" priority="2" stopIfTrue="1">
      <formula>OR(OtherParticipant&lt;&gt;"Yes",RiderJ&lt;&gt;"Yes")</formula>
    </cfRule>
  </conditionalFormatting>
  <conditionalFormatting sqref="I38">
    <cfRule type="expression" dxfId="2" priority="1" stopIfTrue="1">
      <formula>AND(EstimateType&lt;&gt;"DTS Only",EstimateType&lt;&gt;"DTS and STS")</formula>
    </cfRule>
  </conditionalFormatting>
  <dataValidations xWindow="462" yWindow="699" count="30">
    <dataValidation allowBlank="1" showInputMessage="1" showErrorMessage="1" promptTitle="Market Participant" prompt="Enter name of market participant (customer) whose bill is being estimated." sqref="D10:I10" xr:uid="{00000000-0002-0000-0300-000000000000}"/>
    <dataValidation allowBlank="1" showInputMessage="1" showErrorMessage="1" promptTitle="Account" prompt="Enter settlement point ID, substation name, substation number or other identifying information." sqref="D11:I11" xr:uid="{00000000-0002-0000-0300-000001000000}"/>
    <dataValidation allowBlank="1" showInputMessage="1" showErrorMessage="1" promptTitle="Preparation Date" prompt="Enter the date on which the bill estimate is being prepared." sqref="D12:F12" xr:uid="{00000000-0002-0000-0300-000002000000}"/>
    <dataValidation type="list" showInputMessage="1" showErrorMessage="1" errorTitle="Type of Service" error="Please select type of service from list." promptTitle="Type of Service" prompt="Select type of system access service being provided to market participant." sqref="I15" xr:uid="{00000000-0002-0000-0300-000003000000}">
      <formula1>"DTS Only, STS Only, DTS and STS"</formula1>
    </dataValidation>
    <dataValidation type="list" showInputMessage="1" showErrorMessage="1" promptTitle="Other Market Participants" prompt="Select Yes if one or more other market participants receive service at the same substation under either Rate DTS or Rate STS." sqref="I16" xr:uid="{00000000-0002-0000-0300-000004000000}">
      <formula1>"Yes, No"</formula1>
    </dataValidation>
    <dataValidation type="list" showInputMessage="1" showErrorMessage="1" promptTitle="Primary Service Credit" prompt="Select Yes if the market participant receives the primary service credit for this service." sqref="I17" xr:uid="{00000000-0002-0000-0300-000005000000}">
      <formula1>"Yes, No"</formula1>
    </dataValidation>
    <dataValidation type="list" showInputMessage="1" showErrorMessage="1" promptTitle="Rider J" prompt="Select Yes if the bill estimate should include charges under Rider J, Wind Forecasting Service Cost Recovery Rider." sqref="I22" xr:uid="{00000000-0002-0000-0300-000006000000}">
      <formula1>"Yes, No"</formula1>
    </dataValidation>
    <dataValidation type="list" showInputMessage="1" showErrorMessage="1" promptTitle="Days in Month" prompt="Choose:_x000a_• 730 for average month,_x000a_• 744 for 31-day month,_x000a_• 720 for 30-day month, or_x000a_• 672 for February (or 696 in leap year)." sqref="J34" xr:uid="{00000000-0002-0000-0300-000007000000}">
      <formula1>"730, 744, 720, 672, 696"</formula1>
    </dataValidation>
    <dataValidation type="list" showInputMessage="1" showErrorMessage="1" promptTitle="Regulated Generating Unit" prompt="Select Yes if this is a regulated generating unit identified in Appendix A of the ISO tariff prior to the end of the applicable base life year provided in that Appendix." sqref="I18" xr:uid="{00000000-0002-0000-0300-000008000000}">
      <formula1>"Yes, No"</formula1>
    </dataValidation>
    <dataValidation type="list" showInputMessage="1" showErrorMessage="1" promptTitle="Rider C" prompt="Select Yes if the bill estimate should include charges or credits under Rider C, Deferral Account Adjustment Rider. Enter rider amounts on “B Rate DTS and Riders” sheet." sqref="I19" xr:uid="{00000000-0002-0000-0300-000009000000}">
      <formula1>"Yes, No"</formula1>
    </dataValidation>
    <dataValidation type="list" showInputMessage="1" showErrorMessage="1" promptTitle="Rider E" prompt="Select Yes if the bill estimate should include charges or credits under Rider E, Losses Calibration Factor Rider." sqref="I20" xr:uid="{00000000-0002-0000-0300-00000A000000}">
      <formula1>"Yes, No"</formula1>
    </dataValidation>
    <dataValidation type="list" showInputMessage="1" showErrorMessage="1" promptTitle="Rider F" prompt="Select Yes if the bill estimate should include credits under Rider F, Balancing Pool Consumer Allocation Rider." sqref="I21" xr:uid="{00000000-0002-0000-0300-00000B000000}">
      <formula1>"Yes, No"</formula1>
    </dataValidation>
    <dataValidation type="decimal" operator="greaterThanOrEqual" showInputMessage="1" showErrorMessage="1" errorTitle="Invalid Data" error="Contract capacity cannot be negative." promptTitle="Rate DTS Capacity" prompt="Enter Rate DTS contract capacity for demand transmission service at substation, in MW (megawatts), if applicable." sqref="I26" xr:uid="{00000000-0002-0000-0300-00000C000000}">
      <formula1>0</formula1>
    </dataValidation>
    <dataValidation type="decimal" operator="greaterThanOrEqual" showInputMessage="1" showErrorMessage="1" errorTitle="Invalid Data" error="Contract capacity cannot be negative." promptTitle="Rate STS Capacity" prompt="Enter Rate STS contract capacity for supply transmission service at substation, in MW (megawatts), if applicable." sqref="J26" xr:uid="{00000000-0002-0000-0300-00000D000000}">
      <formula1>0</formula1>
    </dataValidation>
    <dataValidation type="decimal" operator="greaterThanOrEqual" showInputMessage="1" showErrorMessage="1" errorTitle="Invalid Data" error="Contract capacity cannot be negative." promptTitle="Other Participant Capacity" prompt="Enter the total of all contract capacities for other market participants' services (Rate DTS, Rate STS, or SPRDA) at substation, in MW (megawatts), if applicable." sqref="K26" xr:uid="{00000000-0002-0000-0300-00000E000000}">
      <formula1>0</formula1>
    </dataValidation>
    <dataValidation type="decimal" operator="greaterThanOrEqual" showInputMessage="1" showErrorMessage="1" errorTitle="Invalid Data" error="Metered demand cannot be negative." promptTitle="Metered Demand" prompt="Enter highest Rate DTS metered demand during billing period, in MW (megawatts)." sqref="I28" xr:uid="{00000000-0002-0000-0300-00000F000000}">
      <formula1>0</formula1>
    </dataValidation>
    <dataValidation type="decimal" operator="greaterThanOrEqual" showInputMessage="1" showErrorMessage="1" errorTitle="Invalid Data" error="Metered demand cannot be negative." promptTitle="Metered Demand" prompt="Enter highest Rate STS metered demand during billing period, in MW (megawatts)." sqref="J28" xr:uid="{00000000-0002-0000-0300-000010000000}">
      <formula1>0</formula1>
    </dataValidation>
    <dataValidation type="decimal" showInputMessage="1" showErrorMessage="1" errorTitle="Invalid Data" error="Coincidence factor must be in range of 0% to 100%." promptTitle="Coincidence Factor" prompt="Enter percentage of highest Rate DTS metered demand in (k) which is on-line at time of system peak." sqref="I29" xr:uid="{00000000-0002-0000-0300-000011000000}">
      <formula1>0</formula1>
      <formula2>1</formula2>
    </dataValidation>
    <dataValidation type="custom" allowBlank="1" showInputMessage="1" showErrorMessage="1" errorTitle="Invalid Data" error="Highest previous demand cannot be less than Rate DTS highest metered demand in settlement period in (k)." promptTitle="Highest Previous Demand" prompt="Enter highest Rate DTS metered demand during past 24 months  (ending with current settlement period), in MW (megawatts)." sqref="I31" xr:uid="{00000000-0002-0000-0300-000012000000}">
      <formula1>AND(I31&gt;=0,I31&gt;=I28)</formula1>
    </dataValidation>
    <dataValidation type="decimal" showInputMessage="1" showErrorMessage="1" errorTitle="Invalid Data" error="Load factor must be in range of 0% to 100%." promptTitle="Load Factor" prompt="Enter average Rate DTS metered demand as percentage of highest Rate DTS metered demand during settlement period in (k)." sqref="I33" xr:uid="{00000000-0002-0000-0300-000013000000}">
      <formula1>0</formula1>
      <formula2>1</formula2>
    </dataValidation>
    <dataValidation type="decimal" showInputMessage="1" showErrorMessage="1" errorTitle="Invalid Data" error="Capacity factor must be in range of 0% to 100%." promptTitle="Capacity Factor" prompt="Enter average generation as percentage of highest Rate STS metered demand during settlement period in (k)." sqref="J33" xr:uid="{00000000-0002-0000-0300-000014000000}">
      <formula1>0</formula1>
      <formula2>1</formula2>
    </dataValidation>
    <dataValidation type="decimal" operator="greaterThanOrEqual" showInputMessage="1" showErrorMessage="1" errorTitle="Invalid Data" error="Pool price cannot be negative." promptTitle="Pool Price" prompt="Enter average pool price during settlement period, in $/MWh (dollars per megawatt-hour)." sqref="J36" xr:uid="{00000000-0002-0000-0300-000015000000}">
      <formula1>0</formula1>
    </dataValidation>
    <dataValidation type="decimal" showInputMessage="1" showErrorMessage="1" errorTitle="Invalid Data" error="Loss factor must be between –12% and +12% (section 31(2)(g) of Transmission Regulation)." promptTitle="Loss Factor" prompt="Enter location-specific percentage loss factor for Rate STS (system average is 3.61%)." sqref="J39" xr:uid="{00000000-0002-0000-0300-000016000000}">
      <formula1>-0.12</formula1>
      <formula2>0.12</formula2>
    </dataValidation>
    <dataValidation type="decimal" operator="greaterThanOrEqual" showInputMessage="1" showErrorMessage="1" errorTitle="Invalid Data" error="Regulated generating unit MW cannot be negative." promptTitle="Regulated Generating Unit MW" prompt="Enter the regulated generating unit MW from Appendix A of the ISO tariff, if applicable." sqref="J40" xr:uid="{00000000-0002-0000-0300-000017000000}">
      <formula1>0</formula1>
    </dataValidation>
    <dataValidation showInputMessage="1" promptTitle="Rider C Charge or Credit" prompt="Enter the percentage charge or credit by rate component on the “B Rate DTS and Riders” sheet, from the applicable Rider C quarterly deferral estimate on the AESO website." sqref="I41" xr:uid="{00000000-0002-0000-0300-000018000000}"/>
    <dataValidation type="decimal" showInputMessage="1" showErrorMessage="1" errorTitle="Invalid Data" error="Rider E adjustment must be between –12% and +12% (section 31(2)(g) of Transmission Regulation)." promptTitle="Rider E Adjustment" prompt="Enter the increase or decrease calculated in the applicable Rider E quarterly deferral estimate on the AESO website." sqref="J42" xr:uid="{00000000-0002-0000-0300-000019000000}">
      <formula1>-0.12</formula1>
      <formula2>0.12</formula2>
    </dataValidation>
    <dataValidation type="decimal" showInputMessage="1" showErrorMessage="1" errorTitle="Invalid Data" error="Rider F must be a number." promptTitle="Rider F Credit" prompt="Enter the credit for Rider F, Balancing Pool Consumer Allocation Rider." sqref="I43" xr:uid="{00000000-0002-0000-0300-00001A000000}">
      <formula1>-100</formula1>
      <formula2>100</formula2>
    </dataValidation>
    <dataValidation type="decimal" showInputMessage="1" showErrorMessage="1" errorTitle="Invalid Data" error="Rider J must be a number." promptTitle="Rider J Charge" prompt="Enter the charge for Rider J, Wind Forecasting Service Cost Recovery Rider." sqref="J44" xr:uid="{00000000-0002-0000-0300-00001B000000}">
      <formula1>-100</formula1>
      <formula2>100</formula2>
    </dataValidation>
    <dataValidation type="list" showInputMessage="1" showErrorMessage="1" promptTitle="Hours in Month" prompt="Choose:_x000a_• 730 for average month,_x000a_• 744 for 31-day month,_x000a_• 720 for 30-day month, or_x000a_• 672 for February (or 696 in leap year)." sqref="I34" xr:uid="{00000000-0002-0000-0300-00001C000000}">
      <formula1>"730, 744, 720, 672, 696"</formula1>
    </dataValidation>
    <dataValidation type="list" allowBlank="1" showInputMessage="1" showErrorMessage="1" sqref="K10" xr:uid="{00000000-0002-0000-0300-00001D000000}">
      <formula1>AESOTariff</formula1>
    </dataValidation>
  </dataValidations>
  <printOptions horizontalCentered="1"/>
  <pageMargins left="0.25" right="0.25" top="0.5" bottom="0.25" header="0.3" footer="0.3"/>
  <pageSetup scale="95" orientation="portrait" r:id="rId1"/>
  <headerFooter alignWithMargins="0">
    <oddFooter>&amp;L&amp;8Attachment to Bill Estimator for 2021 Tariff (AESO ID #2021-015T)
Filename: &amp;F — Page&amp;P of &amp;N&amp;R&amp;8Confidentiality: Proprietary When Completed</oddFooter>
  </headerFooter>
  <ignoredErrors>
    <ignoredError sqref="I36:I3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8:L61"/>
  <sheetViews>
    <sheetView showGridLines="0" topLeftCell="A43" workbookViewId="0">
      <selection activeCell="P12" sqref="P12"/>
    </sheetView>
  </sheetViews>
  <sheetFormatPr defaultColWidth="9.5703125" defaultRowHeight="12.75" x14ac:dyDescent="0.2"/>
  <cols>
    <col min="1" max="1" width="7.42578125" style="7" customWidth="1"/>
    <col min="2" max="2" width="8.42578125" style="7" customWidth="1"/>
    <col min="3" max="3" width="9.5703125" style="7" customWidth="1"/>
    <col min="4" max="4" width="8.5703125" style="7" customWidth="1"/>
    <col min="5" max="5" width="7.5703125" style="7" customWidth="1"/>
    <col min="6" max="6" width="10.5703125" style="7" customWidth="1"/>
    <col min="7" max="7" width="11.42578125" style="7" customWidth="1"/>
    <col min="8" max="9" width="10.42578125" style="7" customWidth="1"/>
    <col min="10" max="10" width="11.5703125" style="7" bestFit="1" customWidth="1"/>
    <col min="11" max="16384" width="9.5703125" style="7"/>
  </cols>
  <sheetData>
    <row r="8" spans="1:10" s="5" customFormat="1" ht="25.35" customHeight="1" x14ac:dyDescent="0.4">
      <c r="A8" s="189" t="str">
        <f>"Attachment B: Rate DTS Bill Estimate Under "&amp;RIGHT('A Inputs and Summary'!K10,4)&amp;" ISO Tariff"</f>
        <v>Attachment B: Rate DTS Bill Estimate Under 2021 ISO Tariff</v>
      </c>
      <c r="B8" s="189"/>
      <c r="C8" s="189"/>
      <c r="D8" s="189"/>
      <c r="E8" s="189"/>
      <c r="F8" s="189"/>
      <c r="G8" s="189"/>
      <c r="H8" s="189"/>
      <c r="I8" s="189"/>
      <c r="J8" s="189"/>
    </row>
    <row r="9" spans="1:10" s="6" customFormat="1" ht="7.15" customHeight="1" x14ac:dyDescent="0.15"/>
    <row r="10" spans="1:10" x14ac:dyDescent="0.2">
      <c r="A10" s="96" t="s">
        <v>300</v>
      </c>
      <c r="C10" s="202" t="str">
        <f>ParticipantName</f>
        <v>Name of Market Participant</v>
      </c>
      <c r="D10" s="202"/>
      <c r="E10" s="202"/>
      <c r="F10" s="202"/>
      <c r="G10" s="202"/>
      <c r="H10" s="202"/>
      <c r="I10" s="51" t="s">
        <v>0</v>
      </c>
      <c r="J10" s="187" t="str">
        <f>'A Inputs and Summary'!K10</f>
        <v>AESO 2021</v>
      </c>
    </row>
    <row r="11" spans="1:10" x14ac:dyDescent="0.2">
      <c r="A11" s="7" t="s">
        <v>23</v>
      </c>
      <c r="C11" s="203" t="str">
        <f>AccountID</f>
        <v>Account ID</v>
      </c>
      <c r="D11" s="203"/>
      <c r="E11" s="203"/>
      <c r="F11" s="203"/>
      <c r="G11" s="203"/>
      <c r="H11" s="203"/>
      <c r="I11" s="51" t="s">
        <v>1</v>
      </c>
      <c r="J11" s="186">
        <f>'A Inputs and Summary'!K11</f>
        <v>44197</v>
      </c>
    </row>
    <row r="12" spans="1:10" x14ac:dyDescent="0.2">
      <c r="A12" s="7" t="s">
        <v>5</v>
      </c>
      <c r="C12" s="201" t="str">
        <f>PreparationDate</f>
        <v>Date Prepared</v>
      </c>
      <c r="D12" s="201"/>
      <c r="E12" s="201"/>
      <c r="F12" s="60"/>
      <c r="G12" s="49"/>
      <c r="H12" s="50"/>
      <c r="I12" s="51" t="s">
        <v>2</v>
      </c>
      <c r="J12" s="186" t="str">
        <f>'A Inputs and Summary'!K12</f>
        <v>Current</v>
      </c>
    </row>
    <row r="13" spans="1:10" x14ac:dyDescent="0.2">
      <c r="J13" s="13"/>
    </row>
    <row r="14" spans="1:10" x14ac:dyDescent="0.2">
      <c r="B14" s="194" t="s">
        <v>79</v>
      </c>
      <c r="C14" s="194"/>
      <c r="D14" s="194"/>
      <c r="E14" s="194"/>
      <c r="F14" s="194"/>
      <c r="G14" s="10" t="s">
        <v>6</v>
      </c>
      <c r="H14" s="194" t="s">
        <v>57</v>
      </c>
      <c r="I14" s="194"/>
    </row>
    <row r="15" spans="1:10" x14ac:dyDescent="0.2">
      <c r="B15" s="51" t="str">
        <f>'A Inputs and Summary'!B27</f>
        <v>(j)</v>
      </c>
      <c r="C15" s="7" t="s">
        <v>53</v>
      </c>
      <c r="G15" s="13" t="s">
        <v>140</v>
      </c>
      <c r="H15" s="54">
        <f>IF(EstimateType="STS Only","NA",'A Inputs and Summary'!I27)</f>
        <v>1</v>
      </c>
      <c r="I15" s="15"/>
    </row>
    <row r="16" spans="1:10" x14ac:dyDescent="0.2">
      <c r="B16" s="51" t="str">
        <f>'A Inputs and Summary'!B28</f>
        <v>(k)</v>
      </c>
      <c r="C16" s="7" t="s">
        <v>62</v>
      </c>
      <c r="G16" s="13" t="s">
        <v>140</v>
      </c>
      <c r="H16" s="52">
        <f>IF(EstimateType="STS Only","NA",'A Inputs and Summary'!I28)</f>
        <v>20</v>
      </c>
      <c r="I16" s="15" t="str">
        <f>IF(EstimateType="STS Only","","MW")</f>
        <v>MW</v>
      </c>
    </row>
    <row r="17" spans="1:10" x14ac:dyDescent="0.2">
      <c r="B17" s="51" t="s">
        <v>94</v>
      </c>
      <c r="C17" s="7" t="s">
        <v>31</v>
      </c>
      <c r="G17" s="58" t="s">
        <v>82</v>
      </c>
      <c r="H17" s="52">
        <f>IF(EstimateType="STS Only","NA",'A Inputs and Summary'!I30)</f>
        <v>15</v>
      </c>
      <c r="I17" s="15" t="str">
        <f>IF(EstimateType="STS Only","","MW")</f>
        <v>MW</v>
      </c>
    </row>
    <row r="18" spans="1:10" x14ac:dyDescent="0.2">
      <c r="B18" s="51" t="str">
        <f>'A Inputs and Summary'!B32</f>
        <v>(o)</v>
      </c>
      <c r="C18" s="7" t="s">
        <v>33</v>
      </c>
      <c r="G18" s="13" t="s">
        <v>140</v>
      </c>
      <c r="H18" s="52">
        <f>IF(EstimateType="STS Only","NA",'A Inputs and Summary'!I32)</f>
        <v>20</v>
      </c>
      <c r="I18" s="15" t="str">
        <f>IF(EstimateType="STS Only","","MW")</f>
        <v>MW</v>
      </c>
    </row>
    <row r="19" spans="1:10" x14ac:dyDescent="0.2">
      <c r="B19" s="51" t="str">
        <f>'A Inputs and Summary'!B35</f>
        <v>(r)</v>
      </c>
      <c r="C19" s="7" t="s">
        <v>32</v>
      </c>
      <c r="G19" s="13" t="s">
        <v>140</v>
      </c>
      <c r="H19" s="53">
        <f>IF(EstimateType="STS Only","NA",'A Inputs and Summary'!I35)</f>
        <v>9490</v>
      </c>
      <c r="I19" s="15" t="str">
        <f>IF(EstimateType="STS Only","","MWh")</f>
        <v>MWh</v>
      </c>
    </row>
    <row r="20" spans="1:10" x14ac:dyDescent="0.2">
      <c r="B20" s="51" t="str">
        <f>'A Inputs and Summary'!B36</f>
        <v>(s)</v>
      </c>
      <c r="C20" s="7" t="s">
        <v>81</v>
      </c>
      <c r="G20" s="13" t="s">
        <v>140</v>
      </c>
      <c r="H20" s="163">
        <f>'A Inputs and Summary'!I36</f>
        <v>53.93</v>
      </c>
      <c r="I20" s="56" t="str">
        <f>IF(EstimateType="STS Only","","/MWh")</f>
        <v>/MWh</v>
      </c>
    </row>
    <row r="21" spans="1:10" x14ac:dyDescent="0.2">
      <c r="B21" s="51" t="str">
        <f>'A Inputs and Summary'!B37</f>
        <v>(t)</v>
      </c>
      <c r="C21" s="7" t="s">
        <v>127</v>
      </c>
      <c r="G21" s="161" t="s">
        <v>128</v>
      </c>
      <c r="H21" s="164">
        <f>'A Inputs and Summary'!I37</f>
        <v>6.1899999999999997E-2</v>
      </c>
      <c r="I21" s="56"/>
    </row>
    <row r="22" spans="1:10" x14ac:dyDescent="0.2">
      <c r="B22" s="59" t="str">
        <f>'A Inputs and Summary'!B38</f>
        <v>(u)</v>
      </c>
      <c r="C22" s="7" t="s">
        <v>63</v>
      </c>
      <c r="G22" s="162" t="s">
        <v>195</v>
      </c>
      <c r="H22" s="165">
        <f>IF(EstimateType="STS Only","NA",'A Inputs and Summary'!I38)</f>
        <v>0</v>
      </c>
      <c r="I22" s="15" t="str">
        <f>IF(EstimateType="STS Only","","MVA")</f>
        <v>MVA</v>
      </c>
    </row>
    <row r="24" spans="1:10" x14ac:dyDescent="0.2">
      <c r="A24" s="200" t="s">
        <v>80</v>
      </c>
      <c r="B24" s="200"/>
      <c r="C24" s="200"/>
      <c r="D24" s="200"/>
      <c r="E24" s="200"/>
      <c r="F24" s="200" t="s">
        <v>56</v>
      </c>
      <c r="G24" s="200"/>
      <c r="H24" s="200" t="s">
        <v>57</v>
      </c>
      <c r="I24" s="200"/>
      <c r="J24" s="57" t="s">
        <v>7</v>
      </c>
    </row>
    <row r="25" spans="1:10" s="96" customFormat="1" x14ac:dyDescent="0.2">
      <c r="A25" s="197" t="s">
        <v>73</v>
      </c>
      <c r="B25" s="198"/>
      <c r="C25" s="198"/>
      <c r="D25" s="198"/>
      <c r="E25" s="198"/>
      <c r="F25" s="198"/>
      <c r="G25" s="198"/>
      <c r="H25" s="198"/>
      <c r="I25" s="198"/>
      <c r="J25" s="199"/>
    </row>
    <row r="26" spans="1:10" x14ac:dyDescent="0.2">
      <c r="A26" s="9" t="s">
        <v>37</v>
      </c>
      <c r="C26" s="9"/>
      <c r="D26" s="9"/>
      <c r="E26" s="9"/>
      <c r="F26" s="9"/>
      <c r="G26" s="14"/>
      <c r="H26" s="68"/>
      <c r="I26" s="9"/>
      <c r="J26" s="16"/>
    </row>
    <row r="27" spans="1:10" x14ac:dyDescent="0.2">
      <c r="A27" s="42" t="s">
        <v>30</v>
      </c>
      <c r="B27" s="43"/>
      <c r="C27" s="43"/>
      <c r="D27" s="43"/>
      <c r="E27" s="43"/>
      <c r="F27" s="44"/>
      <c r="G27" s="45"/>
      <c r="H27" s="69"/>
      <c r="I27" s="43"/>
      <c r="J27" s="82"/>
    </row>
    <row r="28" spans="1:10" x14ac:dyDescent="0.2">
      <c r="A28" s="23" t="s">
        <v>42</v>
      </c>
      <c r="B28" s="24" t="s">
        <v>31</v>
      </c>
      <c r="C28" s="24"/>
      <c r="D28" s="24"/>
      <c r="E28" s="24"/>
      <c r="F28" s="156">
        <f>INDEX(Lookup!$C$4:$Z$4,1,MATCH($J$10,Lookup!$C$1:$Z$1,0))</f>
        <v>11085</v>
      </c>
      <c r="G28" s="25" t="s">
        <v>60</v>
      </c>
      <c r="H28" s="70">
        <f>H17</f>
        <v>15</v>
      </c>
      <c r="I28" s="25" t="str">
        <f>I17</f>
        <v>MW</v>
      </c>
      <c r="J28" s="83">
        <f>IF(EstimateType="STS Only","NA ",F28*H28)</f>
        <v>166275</v>
      </c>
    </row>
    <row r="29" spans="1:10" x14ac:dyDescent="0.2">
      <c r="A29" s="26" t="s">
        <v>43</v>
      </c>
      <c r="B29" s="27" t="s">
        <v>32</v>
      </c>
      <c r="C29" s="27"/>
      <c r="D29" s="27"/>
      <c r="E29" s="27"/>
      <c r="F29" s="156">
        <f>INDEX(Lookup!$C$5:$Z$5,1,MATCH($J$10,Lookup!$C$1:$Z$1,0))</f>
        <v>1.22</v>
      </c>
      <c r="G29" s="28" t="s">
        <v>58</v>
      </c>
      <c r="H29" s="71">
        <f>H19</f>
        <v>9490</v>
      </c>
      <c r="I29" s="28" t="str">
        <f>I19</f>
        <v>MWh</v>
      </c>
      <c r="J29" s="84">
        <f>IF(EstimateType="STS Only","NA ",F29*H29)</f>
        <v>11577.8</v>
      </c>
    </row>
    <row r="30" spans="1:10" x14ac:dyDescent="0.2">
      <c r="A30" s="46" t="s">
        <v>196</v>
      </c>
      <c r="B30" s="47"/>
      <c r="C30" s="47"/>
      <c r="D30" s="47"/>
      <c r="E30" s="47"/>
      <c r="F30" s="48"/>
      <c r="G30" s="47"/>
      <c r="H30" s="72"/>
      <c r="I30" s="47"/>
      <c r="J30" s="85"/>
    </row>
    <row r="31" spans="1:10" x14ac:dyDescent="0.2">
      <c r="A31" s="23" t="s">
        <v>44</v>
      </c>
      <c r="B31" s="24" t="s">
        <v>33</v>
      </c>
      <c r="C31" s="24"/>
      <c r="D31" s="24"/>
      <c r="E31" s="24"/>
      <c r="F31" s="156">
        <f>INDEX(Lookup!$C$6:$Z$6,1,MATCH($J$10,Lookup!$C$1:$Z$1,0))</f>
        <v>2893</v>
      </c>
      <c r="G31" s="25" t="s">
        <v>60</v>
      </c>
      <c r="H31" s="70">
        <f>H18</f>
        <v>20</v>
      </c>
      <c r="I31" s="25" t="str">
        <f>I18</f>
        <v>MW</v>
      </c>
      <c r="J31" s="83">
        <f>IF(EstimateType="STS Only","NA ",F31*H31)</f>
        <v>57860</v>
      </c>
    </row>
    <row r="32" spans="1:10" x14ac:dyDescent="0.2">
      <c r="A32" s="26" t="s">
        <v>55</v>
      </c>
      <c r="B32" s="27" t="s">
        <v>32</v>
      </c>
      <c r="C32" s="27"/>
      <c r="D32" s="27"/>
      <c r="E32" s="27"/>
      <c r="F32" s="156">
        <f>INDEX(Lookup!$C$7:$Z$7,1,MATCH($J$10,Lookup!$C$1:$Z$1,0))</f>
        <v>0.93</v>
      </c>
      <c r="G32" s="28" t="s">
        <v>58</v>
      </c>
      <c r="H32" s="71">
        <f>H19</f>
        <v>9490</v>
      </c>
      <c r="I32" s="28" t="str">
        <f>I19</f>
        <v>MWh</v>
      </c>
      <c r="J32" s="84">
        <f>IF(EstimateType="STS Only","NA ",F32*H32)</f>
        <v>8825.7000000000007</v>
      </c>
    </row>
    <row r="33" spans="1:12" x14ac:dyDescent="0.2">
      <c r="A33" s="46" t="s">
        <v>34</v>
      </c>
      <c r="B33" s="47"/>
      <c r="C33" s="47"/>
      <c r="D33" s="47"/>
      <c r="E33" s="47"/>
      <c r="F33" s="48"/>
      <c r="G33" s="47"/>
      <c r="H33" s="72"/>
      <c r="I33" s="47"/>
      <c r="J33" s="85"/>
    </row>
    <row r="34" spans="1:12" x14ac:dyDescent="0.2">
      <c r="A34" s="23" t="s">
        <v>45</v>
      </c>
      <c r="B34" s="24" t="s">
        <v>35</v>
      </c>
      <c r="C34" s="24"/>
      <c r="D34" s="24"/>
      <c r="E34" s="24"/>
      <c r="F34" s="156">
        <f>INDEX(Lookup!$C$8:$Z$8,1,MATCH($J$10,Lookup!$C$1:$Z$1,0))</f>
        <v>14860</v>
      </c>
      <c r="G34" s="25" t="s">
        <v>59</v>
      </c>
      <c r="H34" s="73">
        <f>IF(EstimateType="STS Only","NA",H15)</f>
        <v>1</v>
      </c>
      <c r="I34" s="24"/>
      <c r="J34" s="83">
        <f>IF(EstimateType="STS Only","NA ",F34*H34)</f>
        <v>14860</v>
      </c>
    </row>
    <row r="35" spans="1:12" x14ac:dyDescent="0.2">
      <c r="A35" s="23" t="s">
        <v>46</v>
      </c>
      <c r="B35" s="24" t="s">
        <v>50</v>
      </c>
      <c r="C35" s="24"/>
      <c r="D35" s="24"/>
      <c r="E35" s="24"/>
      <c r="F35" s="156">
        <f>INDEX(Lookup!$C$9:$Z$9,1,MATCH($J$10,Lookup!$C$1:$Z$1,0))</f>
        <v>4891</v>
      </c>
      <c r="G35" s="25" t="s">
        <v>60</v>
      </c>
      <c r="H35" s="70">
        <f>IF(EstimateType="STS Only","NA",MIN(H18,7.5*H15))</f>
        <v>7.5</v>
      </c>
      <c r="I35" s="25" t="str">
        <f>I18</f>
        <v>MW</v>
      </c>
      <c r="J35" s="83">
        <f>IF(EstimateType="STS Only","NA ",F35*H35)</f>
        <v>36682.5</v>
      </c>
    </row>
    <row r="36" spans="1:12" x14ac:dyDescent="0.2">
      <c r="A36" s="23" t="s">
        <v>47</v>
      </c>
      <c r="B36" s="24" t="s">
        <v>51</v>
      </c>
      <c r="C36" s="24"/>
      <c r="D36" s="24"/>
      <c r="E36" s="24"/>
      <c r="F36" s="156">
        <f>INDEX(Lookup!$C$10:$Z$10,1,MATCH($J$10,Lookup!$C$1:$Z$1,0))</f>
        <v>2900</v>
      </c>
      <c r="G36" s="25" t="s">
        <v>60</v>
      </c>
      <c r="H36" s="70">
        <f>IF(EstimateType="STS Only","NA",MAX(MIN(H18,17*H15)-(7.5*H15),0))</f>
        <v>9.5</v>
      </c>
      <c r="I36" s="25" t="str">
        <f>I18</f>
        <v>MW</v>
      </c>
      <c r="J36" s="83">
        <f>IF(EstimateType="STS Only","NA ",F36*H36)</f>
        <v>27550</v>
      </c>
    </row>
    <row r="37" spans="1:12" x14ac:dyDescent="0.2">
      <c r="A37" s="23" t="s">
        <v>48</v>
      </c>
      <c r="B37" s="24" t="s">
        <v>52</v>
      </c>
      <c r="C37" s="24"/>
      <c r="D37" s="24"/>
      <c r="E37" s="24"/>
      <c r="F37" s="156">
        <f>INDEX(Lookup!$C$11:$Z$11,1,MATCH($J$10,Lookup!$C$1:$Z$1,0))</f>
        <v>1942</v>
      </c>
      <c r="G37" s="25" t="s">
        <v>60</v>
      </c>
      <c r="H37" s="70">
        <f>IF(EstimateType="STS Only","NA",MAX(MIN(H18,40*H15)-(17*H15),0))</f>
        <v>3</v>
      </c>
      <c r="I37" s="25" t="str">
        <f>I18</f>
        <v>MW</v>
      </c>
      <c r="J37" s="83">
        <f>IF(EstimateType="STS Only","NA ",F37*H37)</f>
        <v>5826</v>
      </c>
    </row>
    <row r="38" spans="1:12" x14ac:dyDescent="0.2">
      <c r="A38" s="35" t="s">
        <v>49</v>
      </c>
      <c r="B38" s="33" t="s">
        <v>36</v>
      </c>
      <c r="C38" s="33"/>
      <c r="D38" s="33"/>
      <c r="E38" s="33"/>
      <c r="F38" s="157">
        <f>INDEX(Lookup!$C$12:$Z$12,1,MATCH($J$10,Lookup!$C$1:$Z$1,0))</f>
        <v>1195</v>
      </c>
      <c r="G38" s="34" t="s">
        <v>60</v>
      </c>
      <c r="H38" s="74">
        <f>IF(EstimateType="STS Only","NA",MAX(H18-(40*H15),0))</f>
        <v>0</v>
      </c>
      <c r="I38" s="34" t="str">
        <f>I18</f>
        <v>MW</v>
      </c>
      <c r="J38" s="86">
        <f>IF(EstimateType="STS Only","NA ",F38*H38)</f>
        <v>0</v>
      </c>
    </row>
    <row r="39" spans="1:12" s="24" customFormat="1" x14ac:dyDescent="0.2">
      <c r="A39" s="30" t="s">
        <v>38</v>
      </c>
      <c r="C39" s="30"/>
      <c r="D39" s="30"/>
      <c r="E39" s="30"/>
      <c r="F39" s="30"/>
      <c r="G39" s="31"/>
      <c r="H39" s="75"/>
      <c r="I39" s="30"/>
      <c r="J39" s="32"/>
    </row>
    <row r="40" spans="1:12" s="24" customFormat="1" x14ac:dyDescent="0.2">
      <c r="A40" s="17" t="s">
        <v>121</v>
      </c>
      <c r="B40" s="18" t="s">
        <v>32</v>
      </c>
      <c r="C40" s="18"/>
      <c r="D40" s="80" t="s">
        <v>61</v>
      </c>
      <c r="E40" s="101">
        <f>IF(EstimateType="STS Only","×  NA",H21)</f>
        <v>6.1899999999999997E-2</v>
      </c>
      <c r="F40" s="81">
        <f>IF(EstimateType="STS Only","=         NA",H20*E40)</f>
        <v>3.3382669999999997</v>
      </c>
      <c r="G40" s="79" t="s">
        <v>58</v>
      </c>
      <c r="H40" s="76">
        <f>H19</f>
        <v>9490</v>
      </c>
      <c r="I40" s="19" t="str">
        <f>I19</f>
        <v>MWh</v>
      </c>
      <c r="J40" s="87">
        <f>IF(EstimateType="STS Only","NA ",F40*H40)</f>
        <v>31680.153829999996</v>
      </c>
    </row>
    <row r="41" spans="1:12" s="24" customFormat="1" x14ac:dyDescent="0.2">
      <c r="A41" s="30" t="s">
        <v>197</v>
      </c>
      <c r="C41" s="30"/>
      <c r="D41" s="30"/>
      <c r="E41" s="30"/>
      <c r="F41" s="30"/>
      <c r="G41" s="30"/>
      <c r="H41" s="75"/>
      <c r="I41" s="30"/>
      <c r="J41" s="32"/>
    </row>
    <row r="42" spans="1:12" s="24" customFormat="1" x14ac:dyDescent="0.2">
      <c r="A42" s="17" t="s">
        <v>39</v>
      </c>
      <c r="B42" s="18" t="s">
        <v>32</v>
      </c>
      <c r="C42" s="18"/>
      <c r="D42" s="18"/>
      <c r="E42" s="18"/>
      <c r="F42" s="158">
        <f>INDEX(Lookup!$C$20:$Z$20,1,MATCH($J$10,Lookup!$C$1:$Z$1,0))</f>
        <v>2E-3</v>
      </c>
      <c r="G42" s="19" t="s">
        <v>58</v>
      </c>
      <c r="H42" s="76">
        <f>H19</f>
        <v>9490</v>
      </c>
      <c r="I42" s="19" t="str">
        <f>I18</f>
        <v>MW</v>
      </c>
      <c r="J42" s="87">
        <f>IF(EstimateType="STS Only","NA ",F42*H42)</f>
        <v>18.98</v>
      </c>
    </row>
    <row r="43" spans="1:12" s="24" customFormat="1" x14ac:dyDescent="0.2">
      <c r="A43" s="30" t="s">
        <v>40</v>
      </c>
      <c r="C43" s="30"/>
      <c r="D43" s="30"/>
      <c r="E43" s="30"/>
      <c r="F43" s="30"/>
      <c r="G43" s="30"/>
      <c r="H43" s="75"/>
      <c r="I43" s="30"/>
      <c r="J43" s="32"/>
    </row>
    <row r="44" spans="1:12" s="24" customFormat="1" x14ac:dyDescent="0.2">
      <c r="A44" s="119" t="s">
        <v>192</v>
      </c>
      <c r="B44" s="18" t="s">
        <v>32</v>
      </c>
      <c r="C44" s="18"/>
      <c r="D44" s="18"/>
      <c r="E44" s="18"/>
      <c r="F44" s="155">
        <f>INDEX(Lookup!$C$21:$Z$21,1,MATCH($J$10,Lookup!$C$1:$Z$1,0))</f>
        <v>0.01</v>
      </c>
      <c r="G44" s="19" t="s">
        <v>58</v>
      </c>
      <c r="H44" s="76">
        <f>H19</f>
        <v>9490</v>
      </c>
      <c r="I44" s="19" t="str">
        <f>I19</f>
        <v>MWh</v>
      </c>
      <c r="J44" s="87">
        <f>IF(EstimateType="STS Only","NA ",F44*H44)</f>
        <v>94.9</v>
      </c>
    </row>
    <row r="45" spans="1:12" s="24" customFormat="1" x14ac:dyDescent="0.2">
      <c r="A45" s="30" t="s">
        <v>41</v>
      </c>
      <c r="B45" s="30"/>
      <c r="C45" s="30"/>
      <c r="D45" s="30"/>
      <c r="E45" s="30"/>
      <c r="F45" s="159"/>
      <c r="G45" s="30"/>
      <c r="H45" s="75"/>
      <c r="I45" s="30"/>
      <c r="J45" s="32"/>
    </row>
    <row r="46" spans="1:12" s="24" customFormat="1" x14ac:dyDescent="0.2">
      <c r="A46" s="120" t="s">
        <v>193</v>
      </c>
      <c r="B46" s="21" t="s">
        <v>62</v>
      </c>
      <c r="C46" s="21"/>
      <c r="D46" s="21"/>
      <c r="E46" s="21"/>
      <c r="F46" s="160">
        <f>INDEX(Lookup!$C$22:$Z$22,1,MATCH($J$10,Lookup!$C$1:$Z$1,0))</f>
        <v>25</v>
      </c>
      <c r="G46" s="22" t="s">
        <v>60</v>
      </c>
      <c r="H46" s="77">
        <f>H16</f>
        <v>20</v>
      </c>
      <c r="I46" s="22" t="str">
        <f>I16</f>
        <v>MW</v>
      </c>
      <c r="J46" s="88">
        <f>IF(EstimateType="STS Only","NA ",F46*H46)</f>
        <v>500</v>
      </c>
    </row>
    <row r="47" spans="1:12" s="24" customFormat="1" x14ac:dyDescent="0.2">
      <c r="A47" s="121" t="s">
        <v>194</v>
      </c>
      <c r="B47" s="33" t="s">
        <v>63</v>
      </c>
      <c r="C47" s="33"/>
      <c r="D47" s="33"/>
      <c r="E47" s="33"/>
      <c r="F47" s="157">
        <f>INDEX(Lookup!$C$24:$Z$24,1,MATCH($J$10,Lookup!$C$1:$Z$1,0))</f>
        <v>400</v>
      </c>
      <c r="G47" s="34" t="s">
        <v>64</v>
      </c>
      <c r="H47" s="74">
        <f>H22</f>
        <v>0</v>
      </c>
      <c r="I47" s="34" t="str">
        <f>I22</f>
        <v>MVA</v>
      </c>
      <c r="J47" s="86">
        <f>IF(EstimateType="STS Only","NA ",F47*H47)</f>
        <v>0</v>
      </c>
      <c r="L47" s="125"/>
    </row>
    <row r="48" spans="1:12" s="24" customFormat="1" x14ac:dyDescent="0.2">
      <c r="A48" s="36" t="s">
        <v>77</v>
      </c>
      <c r="B48" s="37"/>
      <c r="C48" s="37"/>
      <c r="D48" s="37"/>
      <c r="E48" s="37"/>
      <c r="F48" s="38"/>
      <c r="G48" s="39"/>
      <c r="H48" s="78"/>
      <c r="I48" s="39"/>
      <c r="J48" s="89">
        <f>IF(EstimateType="STS Only","NA ",SUM(J27:J47))</f>
        <v>361751.03382999997</v>
      </c>
    </row>
    <row r="49" spans="1:10" s="24" customFormat="1" ht="9" customHeight="1" x14ac:dyDescent="0.2">
      <c r="J49" s="29"/>
    </row>
    <row r="50" spans="1:10" s="96" customFormat="1" x14ac:dyDescent="0.2">
      <c r="A50" s="197" t="s">
        <v>75</v>
      </c>
      <c r="B50" s="198"/>
      <c r="C50" s="198"/>
      <c r="D50" s="198"/>
      <c r="E50" s="198"/>
      <c r="F50" s="198"/>
      <c r="G50" s="198"/>
      <c r="H50" s="198"/>
      <c r="I50" s="198"/>
      <c r="J50" s="199"/>
    </row>
    <row r="51" spans="1:10" x14ac:dyDescent="0.2">
      <c r="A51" s="20" t="s">
        <v>66</v>
      </c>
      <c r="B51" s="124" t="s">
        <v>200</v>
      </c>
      <c r="C51" s="21"/>
      <c r="D51" s="21"/>
      <c r="E51" s="21"/>
      <c r="F51" s="130">
        <v>0.01</v>
      </c>
      <c r="G51" s="22"/>
      <c r="H51" s="127" t="str">
        <f>IF(OR(EstimateType="STS Only",RiderC&lt;&gt;"Yes"),"NA",SUM(J27:J38))</f>
        <v>NA</v>
      </c>
      <c r="I51" s="21"/>
      <c r="J51" s="88" t="str">
        <f>IF(OR(EstimateType="STS Only",RiderC&lt;&gt;"Yes"),"NA ",F51*H51)</f>
        <v>NA </v>
      </c>
    </row>
    <row r="52" spans="1:10" x14ac:dyDescent="0.2">
      <c r="A52" s="23" t="s">
        <v>67</v>
      </c>
      <c r="B52" s="125" t="s">
        <v>198</v>
      </c>
      <c r="C52" s="24"/>
      <c r="D52" s="24"/>
      <c r="E52" s="24"/>
      <c r="F52" s="130">
        <v>1.04E-2</v>
      </c>
      <c r="G52" s="25"/>
      <c r="H52" s="128" t="str">
        <f>IF(OR(EstimateType="STS Only",RiderC&lt;&gt;"Yes"),"NA",J40)</f>
        <v>NA</v>
      </c>
      <c r="I52" s="25"/>
      <c r="J52" s="83" t="str">
        <f>IF(OR(EstimateType="STS Only",RiderC&lt;&gt;"Yes"),"NA ",F52*H52)</f>
        <v>NA </v>
      </c>
    </row>
    <row r="53" spans="1:10" x14ac:dyDescent="0.2">
      <c r="A53" s="23" t="s">
        <v>68</v>
      </c>
      <c r="B53" s="125" t="s">
        <v>201</v>
      </c>
      <c r="C53" s="24"/>
      <c r="D53" s="24"/>
      <c r="E53" s="24"/>
      <c r="F53" s="130">
        <v>0</v>
      </c>
      <c r="G53" s="25"/>
      <c r="H53" s="128" t="str">
        <f>IF(OR(EstimateType="STS Only",RiderC&lt;&gt;"Yes"),"NA",J42)</f>
        <v>NA</v>
      </c>
      <c r="I53" s="25"/>
      <c r="J53" s="83" t="str">
        <f>IF(OR(EstimateType="STS Only",RiderC&lt;&gt;"Yes"),"NA ",F53*H53)</f>
        <v>NA </v>
      </c>
    </row>
    <row r="54" spans="1:10" x14ac:dyDescent="0.2">
      <c r="A54" s="23" t="s">
        <v>69</v>
      </c>
      <c r="B54" s="125" t="s">
        <v>199</v>
      </c>
      <c r="C54" s="24"/>
      <c r="D54" s="24"/>
      <c r="E54" s="24"/>
      <c r="F54" s="130">
        <v>9.9400000000000002E-2</v>
      </c>
      <c r="G54" s="25"/>
      <c r="H54" s="128" t="str">
        <f>IF(OR(EstimateType="STS Only",RiderC&lt;&gt;"Yes"),"NA",J44)</f>
        <v>NA</v>
      </c>
      <c r="I54" s="25"/>
      <c r="J54" s="83" t="str">
        <f>IF(OR(EstimateType="STS Only",RiderC&lt;&gt;"Yes"),"NA ",F54*H54)</f>
        <v>NA </v>
      </c>
    </row>
    <row r="55" spans="1:10" x14ac:dyDescent="0.2">
      <c r="A55" s="35" t="s">
        <v>70</v>
      </c>
      <c r="B55" s="126" t="s">
        <v>202</v>
      </c>
      <c r="C55" s="33"/>
      <c r="D55" s="33"/>
      <c r="E55" s="33"/>
      <c r="F55" s="130">
        <v>-0.1061</v>
      </c>
      <c r="G55" s="34"/>
      <c r="H55" s="129" t="str">
        <f>IF(OR(EstimateType="STS Only",RiderC&lt;&gt;"Yes"),"NA",SUM(J46:J47))</f>
        <v>NA</v>
      </c>
      <c r="I55" s="34"/>
      <c r="J55" s="86" t="str">
        <f>IF(OR(EstimateType="STS Only",RiderC&lt;&gt;"Yes"),"NA ",F55*H55)</f>
        <v>NA </v>
      </c>
    </row>
    <row r="56" spans="1:10" x14ac:dyDescent="0.2">
      <c r="A56" s="36" t="s">
        <v>203</v>
      </c>
      <c r="B56" s="37"/>
      <c r="C56" s="37"/>
      <c r="D56" s="37"/>
      <c r="E56" s="37"/>
      <c r="F56" s="41"/>
      <c r="G56" s="39"/>
      <c r="H56" s="40"/>
      <c r="I56" s="39"/>
      <c r="J56" s="89" t="str">
        <f>IF(OR(EstimateType="STS Only",RiderC&lt;&gt;"Yes"),"NA ",SUM(J51:J55))</f>
        <v>NA </v>
      </c>
    </row>
    <row r="57" spans="1:10" ht="9" customHeight="1" x14ac:dyDescent="0.2">
      <c r="J57" s="11"/>
    </row>
    <row r="58" spans="1:10" s="96" customFormat="1" x14ac:dyDescent="0.2">
      <c r="A58" s="197" t="s">
        <v>76</v>
      </c>
      <c r="B58" s="198"/>
      <c r="C58" s="198"/>
      <c r="D58" s="198"/>
      <c r="E58" s="198"/>
      <c r="F58" s="198"/>
      <c r="G58" s="198"/>
      <c r="H58" s="198"/>
      <c r="I58" s="198"/>
      <c r="J58" s="199"/>
    </row>
    <row r="59" spans="1:10" x14ac:dyDescent="0.2">
      <c r="A59" s="17" t="s">
        <v>71</v>
      </c>
      <c r="B59" s="18" t="s">
        <v>72</v>
      </c>
      <c r="C59" s="18"/>
      <c r="D59" s="18"/>
      <c r="E59" s="18"/>
      <c r="F59" s="90" t="str">
        <f>IF(RiderF&lt;&gt;"Yes","NA",'A Inputs and Summary'!I43)</f>
        <v>NA</v>
      </c>
      <c r="G59" s="19" t="s">
        <v>58</v>
      </c>
      <c r="H59" s="76" t="str">
        <f>IF(OR(EstimateType="STS Only",RiderF&lt;&gt;"Yes"),"NA",H19)</f>
        <v>NA</v>
      </c>
      <c r="I59" s="19" t="str">
        <f>IF(OR(EstimateType="STS Only",RiderF&lt;&gt;"Yes"),"","MWh")</f>
        <v/>
      </c>
      <c r="J59" s="87" t="str">
        <f>IF(OR(EstimateType="STS Only",RiderF&lt;&gt;"Yes"),"NA ",F59*H59)</f>
        <v>NA </v>
      </c>
    </row>
    <row r="61" spans="1:10" x14ac:dyDescent="0.2">
      <c r="A61" s="9" t="s">
        <v>211</v>
      </c>
      <c r="B61" s="9"/>
      <c r="C61" s="9"/>
      <c r="D61" s="9"/>
      <c r="E61" s="9"/>
      <c r="F61" s="9"/>
      <c r="G61" s="9"/>
      <c r="H61" s="9"/>
      <c r="I61" s="9"/>
      <c r="J61" s="95">
        <f>IF(EstimateType="STS Only","NA ",SUM(J48,J56,J59))</f>
        <v>361751.03382999997</v>
      </c>
    </row>
  </sheetData>
  <mergeCells count="12">
    <mergeCell ref="C12:E12"/>
    <mergeCell ref="A8:J8"/>
    <mergeCell ref="C10:H10"/>
    <mergeCell ref="C11:H11"/>
    <mergeCell ref="H14:I14"/>
    <mergeCell ref="B14:F14"/>
    <mergeCell ref="A58:J58"/>
    <mergeCell ref="H24:I24"/>
    <mergeCell ref="F24:G24"/>
    <mergeCell ref="A24:E24"/>
    <mergeCell ref="A25:J25"/>
    <mergeCell ref="A50:J50"/>
  </mergeCells>
  <phoneticPr fontId="2" type="noConversion"/>
  <conditionalFormatting sqref="F51:F55">
    <cfRule type="expression" dxfId="1" priority="1" stopIfTrue="1">
      <formula>OR(AND(EstimateType&lt;&gt;"DTS Only",EstimateType&lt;&gt;"DTS and STS"),RiderC="No")</formula>
    </cfRule>
  </conditionalFormatting>
  <dataValidations disablePrompts="1" count="14">
    <dataValidation allowBlank="1" showInputMessage="1" sqref="C12:F12 C10:H11" xr:uid="{00000000-0002-0000-0400-000000000000}"/>
    <dataValidation allowBlank="1" showInputMessage="1" showErrorMessage="1" promptTitle="Reference" prompt="For more information, see the definition of metered energy in the Consolidated Authoritative Documents Glossary." sqref="G19" xr:uid="{00000000-0002-0000-0400-000001000000}"/>
    <dataValidation allowBlank="1" showInputMessage="1" showErrorMessage="1" promptTitle="Reference" prompt="For more information, see the definition of substation fraction in the Consolidated Authoritative Documents Glossary." sqref="G15" xr:uid="{00000000-0002-0000-0400-000002000000}"/>
    <dataValidation allowBlank="1" showInputMessage="1" showErrorMessage="1" promptTitle="Reference" prompt="For more information, see the definition of metered demand in the Consolidated Authoritative Documents Glossary." sqref="G16" xr:uid="{00000000-0002-0000-0400-000003000000}"/>
    <dataValidation allowBlank="1" showInputMessage="1" showErrorMessage="1" promptTitle="Reference" prompt="For more information, see subsection 3(2) of Rate DTS: Demand Transmission Service in the ISO tariff." sqref="G17" xr:uid="{00000000-0002-0000-0400-000004000000}"/>
    <dataValidation allowBlank="1" showInputMessage="1" showErrorMessage="1" promptTitle="Reference" prompt="For more information, see the definition of billing capacity in the Consolidated Authoritative Documents Glossary." sqref="G18" xr:uid="{00000000-0002-0000-0400-000005000000}"/>
    <dataValidation allowBlank="1" showInputMessage="1" showErrorMessage="1" promptTitle="Reference" prompt="For more information, see the definition of pool price in the Consolidated Authoritative Documents Glossary." sqref="G20" xr:uid="{00000000-0002-0000-0400-000006000000}"/>
    <dataValidation allowBlank="1" showInputMessage="1" showErrorMessage="1" promptTitle="Reference" prompt="For more information, see subsection 4(2) of Rate DTS: Demand Transmission Service in the ISO tariff." sqref="G21" xr:uid="{00000000-0002-0000-0400-000007000000}"/>
    <dataValidation allowBlank="1" showInputMessage="1" showErrorMessage="1" promptTitle="Reference" prompt="For more information, see subsection 7(b) of Rate DTS: Demand Transmission Service in the ISO tariff." sqref="G22" xr:uid="{00000000-0002-0000-0400-000008000000}"/>
    <dataValidation type="decimal" allowBlank="1" showInputMessage="1" showErrorMessage="1" errorTitle="Invalid Data" error="Rider C charge or credit should be between –100% and +100%." promptTitle="Rider C Charge or Credit" prompt="Enter the percentage charge or credit calculated for the connection charge and primary service credit rate component in the applicable Rider C quarterly deferral estimate on the AESO website." sqref="F51" xr:uid="{00000000-0002-0000-0400-000009000000}">
      <formula1>-1</formula1>
      <formula2>1</formula2>
    </dataValidation>
    <dataValidation type="decimal" allowBlank="1" showInputMessage="1" showErrorMessage="1" errorTitle="Invalid Data" error="Rider C charge or credit should be between –100% and +100%." promptTitle="Rider C Charge or Credit" prompt="Enter the percentage charge or credit calculated for the other system support services charge rate component in the applicable Rider C quarterly deferral estimate on the AESO website." sqref="F55" xr:uid="{00000000-0002-0000-0400-00000A000000}">
      <formula1>-1</formula1>
      <formula2>1</formula2>
    </dataValidation>
    <dataValidation type="decimal" allowBlank="1" showInputMessage="1" showErrorMessage="1" errorTitle="Invalid Data" error="Rider C charge or credit should be between –100% and +100%." promptTitle="Rider C Charge or Credit" prompt="Enter the percentage charge or credit calculated for the operating reserve charge rate component in the applicable Rider C quarterly deferral estimate on the AESO website." sqref="F52" xr:uid="{00000000-0002-0000-0400-00000B000000}">
      <formula1>-1</formula1>
      <formula2>1</formula2>
    </dataValidation>
    <dataValidation type="decimal" allowBlank="1" showInputMessage="1" showErrorMessage="1" errorTitle="Invalid Data" error="Rider C charge or credit should be between –100% and +100%." promptTitle="Rider C Charge or Credit" prompt="Enter the percentage charge or credit calculated for the transmission constraint rebalancing charge rate component in the applicable Rider C quarterly deferral estimate on the AESO website." sqref="F53" xr:uid="{00000000-0002-0000-0400-00000C000000}">
      <formula1>-1</formula1>
      <formula2>1</formula2>
    </dataValidation>
    <dataValidation type="decimal" allowBlank="1" showInputMessage="1" showErrorMessage="1" errorTitle="Invalid Data" error="Rider C charge or credit should be between –100% and +100%." promptTitle="Rider C Charge or Credit" prompt="Enter the percentage charge or credit calculated for the voltage control charge rate component in the applicable Rider C quarterly deferral estimate on the AESO website." sqref="F54" xr:uid="{00000000-0002-0000-0400-00000D000000}">
      <formula1>-1</formula1>
      <formula2>1</formula2>
    </dataValidation>
  </dataValidations>
  <printOptions horizontalCentered="1"/>
  <pageMargins left="0.25" right="0.25" top="0.5" bottom="0.5" header="0.3" footer="0.3"/>
  <pageSetup scale="93" orientation="portrait" r:id="rId1"/>
  <headerFooter alignWithMargins="0">
    <oddFooter>&amp;L&amp;8Attachment to Bill Estimator for 2021 Tariff (AESO ID #2021-015T)
Filename: &amp;F — Page&amp;P of &amp;N&amp;R&amp;8Confidentiality: Proprietary When Completed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8:K33"/>
  <sheetViews>
    <sheetView showGridLines="0" workbookViewId="0">
      <selection activeCell="M5" sqref="M5"/>
    </sheetView>
  </sheetViews>
  <sheetFormatPr defaultColWidth="9.5703125" defaultRowHeight="12.75" x14ac:dyDescent="0.2"/>
  <cols>
    <col min="1" max="1" width="2.5703125" style="7" customWidth="1"/>
    <col min="2" max="2" width="6.7109375" style="7" customWidth="1"/>
    <col min="3" max="4" width="9.5703125" style="7" customWidth="1"/>
    <col min="5" max="5" width="8.5703125" style="7" customWidth="1"/>
    <col min="6" max="6" width="7.5703125" style="7" customWidth="1"/>
    <col min="7" max="7" width="10.5703125" style="7" customWidth="1"/>
    <col min="8" max="8" width="11.42578125" style="7" customWidth="1"/>
    <col min="9" max="9" width="10.42578125" style="7" customWidth="1"/>
    <col min="10" max="10" width="9.7109375" style="7" customWidth="1"/>
    <col min="11" max="11" width="11.5703125" style="7" bestFit="1" customWidth="1"/>
    <col min="12" max="16384" width="9.5703125" style="7"/>
  </cols>
  <sheetData>
    <row r="8" spans="2:11" s="5" customFormat="1" ht="18.75" x14ac:dyDescent="0.4">
      <c r="B8" s="189" t="str">
        <f>"Attachment C: Rate PSC Bill Estimate Under "&amp;RIGHT('A Inputs and Summary'!K10,4)&amp;" ISO Tariff"</f>
        <v>Attachment C: Rate PSC Bill Estimate Under 2021 ISO Tariff</v>
      </c>
      <c r="C8" s="189"/>
      <c r="D8" s="189"/>
      <c r="E8" s="189"/>
      <c r="F8" s="189"/>
      <c r="G8" s="189"/>
      <c r="H8" s="189"/>
      <c r="I8" s="189"/>
      <c r="J8" s="189"/>
      <c r="K8" s="189"/>
    </row>
    <row r="9" spans="2:11" s="6" customFormat="1" ht="8.25" x14ac:dyDescent="0.15"/>
    <row r="10" spans="2:11" x14ac:dyDescent="0.2">
      <c r="B10" s="96" t="s">
        <v>300</v>
      </c>
      <c r="D10" s="202" t="str">
        <f>ParticipantName</f>
        <v>Name of Market Participant</v>
      </c>
      <c r="E10" s="202"/>
      <c r="F10" s="202"/>
      <c r="G10" s="202"/>
      <c r="H10" s="202"/>
      <c r="I10" s="202"/>
      <c r="J10" s="51" t="s">
        <v>0</v>
      </c>
      <c r="K10" s="187" t="str">
        <f>'A Inputs and Summary'!K10</f>
        <v>AESO 2021</v>
      </c>
    </row>
    <row r="11" spans="2:11" x14ac:dyDescent="0.2">
      <c r="B11" s="7" t="s">
        <v>23</v>
      </c>
      <c r="D11" s="203" t="str">
        <f>AccountID</f>
        <v>Account ID</v>
      </c>
      <c r="E11" s="203"/>
      <c r="F11" s="203"/>
      <c r="G11" s="203"/>
      <c r="H11" s="203"/>
      <c r="I11" s="203"/>
      <c r="J11" s="51" t="s">
        <v>1</v>
      </c>
      <c r="K11" s="186">
        <f>'A Inputs and Summary'!K11</f>
        <v>44197</v>
      </c>
    </row>
    <row r="12" spans="2:11" x14ac:dyDescent="0.2">
      <c r="B12" s="7" t="s">
        <v>5</v>
      </c>
      <c r="D12" s="201" t="str">
        <f>PreparationDate</f>
        <v>Date Prepared</v>
      </c>
      <c r="E12" s="201"/>
      <c r="F12" s="201"/>
      <c r="G12" s="60"/>
      <c r="H12" s="49"/>
      <c r="I12" s="50"/>
      <c r="J12" s="51" t="s">
        <v>2</v>
      </c>
      <c r="K12" s="186" t="str">
        <f>'A Inputs and Summary'!K12</f>
        <v>Current</v>
      </c>
    </row>
    <row r="13" spans="2:11" x14ac:dyDescent="0.2">
      <c r="K13" s="13"/>
    </row>
    <row r="14" spans="2:11" x14ac:dyDescent="0.2">
      <c r="C14" s="194" t="s">
        <v>79</v>
      </c>
      <c r="D14" s="194"/>
      <c r="E14" s="194"/>
      <c r="F14" s="194"/>
      <c r="G14" s="194"/>
      <c r="H14" s="10" t="s">
        <v>6</v>
      </c>
      <c r="I14" s="194" t="s">
        <v>57</v>
      </c>
      <c r="J14" s="194"/>
    </row>
    <row r="15" spans="2:11" x14ac:dyDescent="0.2">
      <c r="C15" s="51" t="str">
        <f>'A Inputs and Summary'!B27</f>
        <v>(j)</v>
      </c>
      <c r="D15" s="7" t="s">
        <v>53</v>
      </c>
      <c r="H15" s="13" t="s">
        <v>140</v>
      </c>
      <c r="I15" s="54">
        <f>IF(EstimateType="STS Only","NA",'A Inputs and Summary'!I27)</f>
        <v>1</v>
      </c>
      <c r="J15" s="15"/>
    </row>
    <row r="16" spans="2:11" x14ac:dyDescent="0.2">
      <c r="C16" s="51" t="str">
        <f>'A Inputs and Summary'!B32</f>
        <v>(o)</v>
      </c>
      <c r="D16" s="7" t="s">
        <v>33</v>
      </c>
      <c r="H16" s="13" t="s">
        <v>140</v>
      </c>
      <c r="I16" s="52">
        <f>IF(EstimateType="STS Only","NA",'A Inputs and Summary'!I32)</f>
        <v>20</v>
      </c>
      <c r="J16" s="15" t="str">
        <f>IF(EstimateType="STS Only","","MW")</f>
        <v>MW</v>
      </c>
    </row>
    <row r="18" spans="2:11" x14ac:dyDescent="0.2">
      <c r="B18" s="200" t="s">
        <v>80</v>
      </c>
      <c r="C18" s="200"/>
      <c r="D18" s="200"/>
      <c r="E18" s="200"/>
      <c r="F18" s="200"/>
      <c r="G18" s="200" t="s">
        <v>223</v>
      </c>
      <c r="H18" s="200"/>
      <c r="I18" s="200" t="s">
        <v>57</v>
      </c>
      <c r="J18" s="200"/>
      <c r="K18" s="57" t="s">
        <v>7</v>
      </c>
    </row>
    <row r="19" spans="2:11" s="96" customFormat="1" x14ac:dyDescent="0.2">
      <c r="B19" s="197" t="s">
        <v>74</v>
      </c>
      <c r="C19" s="198"/>
      <c r="D19" s="198"/>
      <c r="E19" s="198"/>
      <c r="F19" s="198"/>
      <c r="G19" s="198"/>
      <c r="H19" s="198"/>
      <c r="I19" s="198"/>
      <c r="J19" s="198"/>
      <c r="K19" s="199"/>
    </row>
    <row r="20" spans="2:11" x14ac:dyDescent="0.2">
      <c r="B20" s="137" t="s">
        <v>66</v>
      </c>
      <c r="C20" s="24" t="s">
        <v>35</v>
      </c>
      <c r="D20" s="24"/>
      <c r="E20" s="24"/>
      <c r="F20" s="24"/>
      <c r="G20" s="156">
        <f>ABS(INDEX(Lookup!$C$13:$Z$13,1,MATCH($K$10,Lookup!$C$1:$Z$1,0)))</f>
        <v>11739</v>
      </c>
      <c r="H20" s="25" t="s">
        <v>59</v>
      </c>
      <c r="I20" s="73" t="str">
        <f>IF(OR(OR(EstimateType="STS Only",PrimaryServiceCredit&lt;&gt;"Yes"),PrimaryServiceCredit&lt;&gt;"Yes"),"NA",I15)</f>
        <v>NA</v>
      </c>
      <c r="J20" s="24"/>
      <c r="K20" s="83" t="str">
        <f>IF(OR(EstimateType="STS Only",PrimaryServiceCredit&lt;&gt;"Yes"),"NA ",-G20*I20)</f>
        <v>NA </v>
      </c>
    </row>
    <row r="21" spans="2:11" x14ac:dyDescent="0.2">
      <c r="B21" s="137" t="s">
        <v>67</v>
      </c>
      <c r="C21" s="24" t="s">
        <v>50</v>
      </c>
      <c r="D21" s="24"/>
      <c r="E21" s="24"/>
      <c r="F21" s="24"/>
      <c r="G21" s="156">
        <f>ABS(INDEX(Lookup!$C$14:$Z$14,1,MATCH($K$10,Lookup!$C$1:$Z$1,0)))</f>
        <v>3864</v>
      </c>
      <c r="H21" s="25" t="s">
        <v>60</v>
      </c>
      <c r="I21" s="70" t="str">
        <f>IF(OR(OR(EstimateType="STS Only",PrimaryServiceCredit&lt;&gt;"Yes"),PrimaryServiceCredit&lt;&gt;"Yes"),"NA",MIN(I16,7.5*I15))</f>
        <v>NA</v>
      </c>
      <c r="J21" s="25" t="str">
        <f>J16</f>
        <v>MW</v>
      </c>
      <c r="K21" s="83" t="str">
        <f>IF(OR(EstimateType="STS Only",PrimaryServiceCredit&lt;&gt;"Yes"),"NA ",-G21*I21)</f>
        <v>NA </v>
      </c>
    </row>
    <row r="22" spans="2:11" x14ac:dyDescent="0.2">
      <c r="B22" s="137" t="s">
        <v>68</v>
      </c>
      <c r="C22" s="24" t="s">
        <v>51</v>
      </c>
      <c r="D22" s="24"/>
      <c r="E22" s="24"/>
      <c r="F22" s="24"/>
      <c r="G22" s="156">
        <f>ABS(INDEX(Lookup!$C$15:$Z$15,1,MATCH($K$10,Lookup!$C$1:$Z$1,0)))</f>
        <v>2291</v>
      </c>
      <c r="H22" s="25" t="s">
        <v>60</v>
      </c>
      <c r="I22" s="70" t="str">
        <f>IF(OR(EstimateType="STS Only",PrimaryServiceCredit&lt;&gt;"Yes"),"NA",MAX(MIN(I16,17*I15)-(7.5*I15),0))</f>
        <v>NA</v>
      </c>
      <c r="J22" s="25" t="str">
        <f>J16</f>
        <v>MW</v>
      </c>
      <c r="K22" s="83" t="str">
        <f>IF(OR(EstimateType="STS Only",PrimaryServiceCredit&lt;&gt;"Yes"),"NA ",-G22*I22)</f>
        <v>NA </v>
      </c>
    </row>
    <row r="23" spans="2:11" x14ac:dyDescent="0.2">
      <c r="B23" s="137" t="s">
        <v>69</v>
      </c>
      <c r="C23" s="24" t="s">
        <v>52</v>
      </c>
      <c r="D23" s="24"/>
      <c r="E23" s="24"/>
      <c r="F23" s="24"/>
      <c r="G23" s="156">
        <f>ABS(INDEX(Lookup!$C$16:$Z$16,1,MATCH($K$10,Lookup!$C$1:$Z$1,0)))</f>
        <v>1534</v>
      </c>
      <c r="H23" s="25" t="s">
        <v>60</v>
      </c>
      <c r="I23" s="70" t="str">
        <f>IF(OR(EstimateType="STS Only",PrimaryServiceCredit&lt;&gt;"Yes"),"NA",MAX(MIN(I16,40*I15)-(17*I15),0))</f>
        <v>NA</v>
      </c>
      <c r="J23" s="25" t="str">
        <f>J16</f>
        <v>MW</v>
      </c>
      <c r="K23" s="83" t="str">
        <f>IF(OR(EstimateType="STS Only",PrimaryServiceCredit&lt;&gt;"Yes"),"NA ",-G23*I23)</f>
        <v>NA </v>
      </c>
    </row>
    <row r="24" spans="2:11" x14ac:dyDescent="0.2">
      <c r="B24" s="138" t="s">
        <v>70</v>
      </c>
      <c r="C24" s="33" t="s">
        <v>36</v>
      </c>
      <c r="D24" s="33"/>
      <c r="E24" s="33"/>
      <c r="F24" s="33"/>
      <c r="G24" s="157">
        <f>ABS(INDEX(Lookup!$C$17:$Z$17,1,MATCH($K$10,Lookup!$C$1:$Z$1,0)))</f>
        <v>1195</v>
      </c>
      <c r="H24" s="34" t="s">
        <v>60</v>
      </c>
      <c r="I24" s="74" t="str">
        <f>IF(OR(EstimateType="STS Only",PrimaryServiceCredit&lt;&gt;"Yes"),"NA",MAX(I16-(40*I15),0))</f>
        <v>NA</v>
      </c>
      <c r="J24" s="34" t="str">
        <f>J16</f>
        <v>MW</v>
      </c>
      <c r="K24" s="86" t="str">
        <f>IF(OR(EstimateType="STS Only",PrimaryServiceCredit&lt;&gt;"Yes"),"NA ",-G24*I24)</f>
        <v>NA </v>
      </c>
    </row>
    <row r="25" spans="2:11" s="24" customFormat="1" x14ac:dyDescent="0.2">
      <c r="B25" s="36" t="s">
        <v>78</v>
      </c>
      <c r="C25" s="37"/>
      <c r="D25" s="37"/>
      <c r="E25" s="37"/>
      <c r="F25" s="37"/>
      <c r="G25" s="38"/>
      <c r="H25" s="39"/>
      <c r="I25" s="78"/>
      <c r="J25" s="39"/>
      <c r="K25" s="89" t="str">
        <f>IF(OR(EstimateType="STS Only",PrimaryServiceCredit&lt;&gt;"Yes"),"NA ",SUM(K20:K24))</f>
        <v>NA </v>
      </c>
    </row>
    <row r="26" spans="2:11" s="24" customFormat="1" ht="9" customHeight="1" x14ac:dyDescent="0.2">
      <c r="K26" s="29"/>
    </row>
    <row r="27" spans="2:11" s="96" customFormat="1" x14ac:dyDescent="0.2">
      <c r="B27" s="197" t="s">
        <v>75</v>
      </c>
      <c r="C27" s="198"/>
      <c r="D27" s="198"/>
      <c r="E27" s="198"/>
      <c r="F27" s="198"/>
      <c r="G27" s="198"/>
      <c r="H27" s="198"/>
      <c r="I27" s="198"/>
      <c r="J27" s="198"/>
      <c r="K27" s="199"/>
    </row>
    <row r="28" spans="2:11" x14ac:dyDescent="0.2">
      <c r="B28" s="20" t="s">
        <v>66</v>
      </c>
      <c r="C28" s="124" t="s">
        <v>210</v>
      </c>
      <c r="D28" s="21"/>
      <c r="E28" s="21"/>
      <c r="F28" s="21"/>
      <c r="G28" s="139">
        <f>'B Rate DTS and Riders'!F51</f>
        <v>0.01</v>
      </c>
      <c r="H28" s="22"/>
      <c r="I28" s="127" t="str">
        <f>IF(OR(EstimateType="STS Only",PrimaryServiceCredit&lt;&gt;"Yes",RiderC&lt;&gt;"Yes"),"NA",SUM(K20:K24))</f>
        <v>NA</v>
      </c>
      <c r="J28" s="21"/>
      <c r="K28" s="88" t="str">
        <f>IF(OR(EstimateType="STS Only",PrimaryServiceCredit&lt;&gt;"Yes",RiderC&lt;&gt;"Yes"),"NA ",G28*I28)</f>
        <v>NA </v>
      </c>
    </row>
    <row r="29" spans="2:11" x14ac:dyDescent="0.2">
      <c r="B29" s="36" t="s">
        <v>224</v>
      </c>
      <c r="C29" s="37"/>
      <c r="D29" s="37"/>
      <c r="E29" s="37"/>
      <c r="F29" s="37"/>
      <c r="G29" s="41"/>
      <c r="H29" s="39"/>
      <c r="I29" s="40"/>
      <c r="J29" s="39"/>
      <c r="K29" s="89" t="str">
        <f>IF(OR(EstimateType="STS Only",PrimaryServiceCredit&lt;&gt;"Yes",RiderC&lt;&gt;"Yes"),"NA ",SUM(K28:K28))</f>
        <v>NA </v>
      </c>
    </row>
    <row r="30" spans="2:11" ht="9" customHeight="1" x14ac:dyDescent="0.2">
      <c r="K30" s="11"/>
    </row>
    <row r="31" spans="2:11" x14ac:dyDescent="0.2">
      <c r="B31" s="9" t="s">
        <v>222</v>
      </c>
      <c r="C31" s="9"/>
      <c r="D31" s="9"/>
      <c r="E31" s="9"/>
      <c r="F31" s="9"/>
      <c r="G31" s="9"/>
      <c r="H31" s="9"/>
      <c r="I31" s="9"/>
      <c r="J31" s="9"/>
      <c r="K31" s="95" t="str">
        <f>IF(OR(EstimateType="STS Only",PrimaryServiceCredit&lt;&gt;"Yes"),"NA ",SUM(K25,K29))</f>
        <v>NA </v>
      </c>
    </row>
    <row r="33" spans="2:11" s="179" customFormat="1" ht="14.1" customHeight="1" x14ac:dyDescent="0.2">
      <c r="B33" s="178"/>
      <c r="G33" s="180"/>
      <c r="K33" s="181"/>
    </row>
  </sheetData>
  <mergeCells count="11">
    <mergeCell ref="B18:F18"/>
    <mergeCell ref="G18:H18"/>
    <mergeCell ref="I18:J18"/>
    <mergeCell ref="B19:K19"/>
    <mergeCell ref="B27:K27"/>
    <mergeCell ref="B8:K8"/>
    <mergeCell ref="D10:I10"/>
    <mergeCell ref="D11:I11"/>
    <mergeCell ref="D12:F12"/>
    <mergeCell ref="C14:G14"/>
    <mergeCell ref="I14:J14"/>
  </mergeCells>
  <conditionalFormatting sqref="G28">
    <cfRule type="expression" dxfId="0" priority="1" stopIfTrue="1">
      <formula>OR(AND(EstimateType&lt;&gt;"DTS Only",EstimateType&lt;&gt;"DTS and STS"),PrimaryServiceCredit="No",RiderC="No")</formula>
    </cfRule>
  </conditionalFormatting>
  <dataValidations count="3">
    <dataValidation allowBlank="1" showInputMessage="1" showErrorMessage="1" promptTitle="Reference" prompt="For more information, see the definition of billing capacity in the Consolidated Authoritative Documents Glossary." sqref="H16" xr:uid="{00000000-0002-0000-0500-000000000000}"/>
    <dataValidation allowBlank="1" showInputMessage="1" showErrorMessage="1" promptTitle="Reference" prompt="For more information, see the definition of substation fraction in the Consolidated Authoritative Documents Glossary." sqref="H15" xr:uid="{00000000-0002-0000-0500-000001000000}"/>
    <dataValidation allowBlank="1" showInputMessage="1" sqref="D12:G12 D10:I11" xr:uid="{00000000-0002-0000-0500-000002000000}"/>
  </dataValidations>
  <printOptions horizontalCentered="1"/>
  <pageMargins left="0.25" right="0.25" top="0.5" bottom="0.25" header="0.3" footer="0.3"/>
  <pageSetup orientation="portrait" r:id="rId1"/>
  <headerFooter alignWithMargins="0">
    <oddFooter>&amp;L&amp;8Attachment to Bill Estimator for 2021 Tariff (AESO ID #2021-015T)
Filename: &amp;F — Page&amp;P of &amp;N&amp;R&amp;8Confidentiality: Proprietary When Completed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8:N36"/>
  <sheetViews>
    <sheetView showGridLines="0" workbookViewId="0">
      <selection activeCell="L12" sqref="L12"/>
    </sheetView>
  </sheetViews>
  <sheetFormatPr defaultColWidth="9.5703125" defaultRowHeight="12.75" x14ac:dyDescent="0.2"/>
  <cols>
    <col min="1" max="1" width="2.140625" style="7" customWidth="1"/>
    <col min="2" max="2" width="4.42578125" style="7" customWidth="1"/>
    <col min="3" max="3" width="11.28515625" style="7" customWidth="1"/>
    <col min="4" max="4" width="7.5703125" style="7" customWidth="1"/>
    <col min="5" max="5" width="9.5703125" style="7" customWidth="1"/>
    <col min="6" max="6" width="10.5703125" style="7" customWidth="1"/>
    <col min="7" max="7" width="9.5703125" style="7" customWidth="1"/>
    <col min="8" max="8" width="11.42578125" style="7" customWidth="1"/>
    <col min="9" max="9" width="10.42578125" style="7" customWidth="1"/>
    <col min="10" max="10" width="9.42578125" style="7" customWidth="1"/>
    <col min="11" max="11" width="11.5703125" style="7" bestFit="1" customWidth="1"/>
    <col min="12" max="16384" width="9.5703125" style="7"/>
  </cols>
  <sheetData>
    <row r="8" spans="2:11" s="5" customFormat="1" ht="18.75" x14ac:dyDescent="0.4">
      <c r="B8" s="204" t="str">
        <f>"Attachment D: Rate STS Bill Estimate Under "&amp;RIGHT('A Inputs and Summary'!K10,4)&amp;" ISO Tariff"</f>
        <v>Attachment D: Rate STS Bill Estimate Under 2021 ISO Tariff</v>
      </c>
      <c r="C8" s="204"/>
      <c r="D8" s="204"/>
      <c r="E8" s="204"/>
      <c r="F8" s="204"/>
      <c r="G8" s="204"/>
      <c r="H8" s="204"/>
      <c r="I8" s="204"/>
      <c r="J8" s="204"/>
      <c r="K8" s="204"/>
    </row>
    <row r="9" spans="2:11" s="6" customFormat="1" ht="8.25" x14ac:dyDescent="0.15"/>
    <row r="10" spans="2:11" x14ac:dyDescent="0.2">
      <c r="B10" s="96" t="s">
        <v>300</v>
      </c>
      <c r="D10" s="202" t="str">
        <f>ParticipantName</f>
        <v>Name of Market Participant</v>
      </c>
      <c r="E10" s="202"/>
      <c r="F10" s="202"/>
      <c r="G10" s="202"/>
      <c r="H10" s="202"/>
      <c r="I10" s="202"/>
      <c r="J10" s="51" t="s">
        <v>0</v>
      </c>
      <c r="K10" s="187" t="str">
        <f>'A Inputs and Summary'!K10</f>
        <v>AESO 2021</v>
      </c>
    </row>
    <row r="11" spans="2:11" x14ac:dyDescent="0.2">
      <c r="B11" s="7" t="s">
        <v>23</v>
      </c>
      <c r="D11" s="203" t="str">
        <f>AccountID</f>
        <v>Account ID</v>
      </c>
      <c r="E11" s="203"/>
      <c r="F11" s="203"/>
      <c r="G11" s="203"/>
      <c r="H11" s="203"/>
      <c r="I11" s="203"/>
      <c r="J11" s="51" t="s">
        <v>1</v>
      </c>
      <c r="K11" s="186">
        <f>'A Inputs and Summary'!K11</f>
        <v>44197</v>
      </c>
    </row>
    <row r="12" spans="2:11" x14ac:dyDescent="0.2">
      <c r="B12" s="7" t="s">
        <v>5</v>
      </c>
      <c r="D12" s="201" t="str">
        <f>PreparationDate</f>
        <v>Date Prepared</v>
      </c>
      <c r="E12" s="201"/>
      <c r="F12" s="201"/>
      <c r="G12" s="60"/>
      <c r="H12" s="49"/>
      <c r="I12" s="50"/>
      <c r="J12" s="51" t="s">
        <v>2</v>
      </c>
      <c r="K12" s="186" t="str">
        <f>'A Inputs and Summary'!K12</f>
        <v>Current</v>
      </c>
    </row>
    <row r="13" spans="2:11" x14ac:dyDescent="0.2">
      <c r="K13" s="153"/>
    </row>
    <row r="14" spans="2:11" x14ac:dyDescent="0.2">
      <c r="C14" s="194" t="s">
        <v>79</v>
      </c>
      <c r="D14" s="194"/>
      <c r="E14" s="194"/>
      <c r="F14" s="194"/>
      <c r="G14" s="194"/>
      <c r="H14" s="10" t="s">
        <v>6</v>
      </c>
      <c r="I14" s="194" t="s">
        <v>57</v>
      </c>
      <c r="J14" s="194"/>
    </row>
    <row r="15" spans="2:11" x14ac:dyDescent="0.2">
      <c r="C15" s="51" t="str">
        <f>'A Inputs and Summary'!B35</f>
        <v>(r)</v>
      </c>
      <c r="D15" s="7" t="s">
        <v>32</v>
      </c>
      <c r="H15" s="13" t="s">
        <v>140</v>
      </c>
      <c r="I15" s="53" t="str">
        <f>IF(EstimateType="DTS Only","NA",'A Inputs and Summary'!J35)</f>
        <v>NA</v>
      </c>
      <c r="J15" s="15" t="str">
        <f>IF(EstimateType="DTS Only","","MWh")</f>
        <v/>
      </c>
    </row>
    <row r="16" spans="2:11" x14ac:dyDescent="0.2">
      <c r="C16" s="51" t="str">
        <f>'A Inputs and Summary'!B36</f>
        <v>(s)</v>
      </c>
      <c r="D16" s="7" t="s">
        <v>81</v>
      </c>
      <c r="H16" s="13" t="s">
        <v>140</v>
      </c>
      <c r="I16" s="55" t="str">
        <f>IF(EstimateType="DTS Only","NA",'A Inputs and Summary'!J36)</f>
        <v>NA</v>
      </c>
      <c r="J16" s="56" t="str">
        <f>IF(EstimateType="DTS Only","","/MWh")</f>
        <v/>
      </c>
    </row>
    <row r="17" spans="2:14" x14ac:dyDescent="0.2">
      <c r="C17" s="51" t="str">
        <f>'A Inputs and Summary'!B39</f>
        <v>(v)</v>
      </c>
      <c r="D17" s="7" t="s">
        <v>54</v>
      </c>
      <c r="H17" s="13" t="s">
        <v>140</v>
      </c>
      <c r="I17" s="142" t="str">
        <f>IF(EstimateType="DTS Only","NA",'A Inputs and Summary'!J39)</f>
        <v>NA</v>
      </c>
      <c r="J17" s="56"/>
    </row>
    <row r="18" spans="2:14" x14ac:dyDescent="0.2">
      <c r="C18" s="51" t="str">
        <f>'A Inputs and Summary'!B40</f>
        <v>(w)</v>
      </c>
      <c r="D18" s="7" t="s">
        <v>93</v>
      </c>
      <c r="H18" s="13" t="s">
        <v>132</v>
      </c>
      <c r="I18" s="52" t="str">
        <f>IF(OR(EstimateType="DTS Only",RegulatedGeneratingUnit&lt;&gt;"Yes"),"NA",'A Inputs and Summary'!J40)</f>
        <v>NA</v>
      </c>
      <c r="J18" s="15" t="str">
        <f>IF(OR(EstimateType="DTS Only",RegulatedGeneratingUnit&lt;&gt;"Yes"),"","MW")</f>
        <v/>
      </c>
    </row>
    <row r="20" spans="2:14" x14ac:dyDescent="0.2">
      <c r="B20" s="200" t="s">
        <v>80</v>
      </c>
      <c r="C20" s="200"/>
      <c r="D20" s="200"/>
      <c r="E20" s="200"/>
      <c r="F20" s="200"/>
      <c r="G20" s="200" t="s">
        <v>56</v>
      </c>
      <c r="H20" s="200"/>
      <c r="I20" s="200" t="s">
        <v>57</v>
      </c>
      <c r="J20" s="200"/>
      <c r="K20" s="57" t="s">
        <v>7</v>
      </c>
    </row>
    <row r="21" spans="2:14" s="96" customFormat="1" x14ac:dyDescent="0.2">
      <c r="B21" s="197" t="s">
        <v>129</v>
      </c>
      <c r="C21" s="198"/>
      <c r="D21" s="198"/>
      <c r="E21" s="198"/>
      <c r="F21" s="198"/>
      <c r="G21" s="198"/>
      <c r="H21" s="198"/>
      <c r="I21" s="198"/>
      <c r="J21" s="198"/>
      <c r="K21" s="199"/>
    </row>
    <row r="22" spans="2:14" s="24" customFormat="1" x14ac:dyDescent="0.2">
      <c r="B22" s="30" t="s">
        <v>130</v>
      </c>
      <c r="D22" s="30"/>
      <c r="E22" s="30"/>
      <c r="F22" s="30"/>
      <c r="G22" s="30"/>
      <c r="H22" s="31"/>
      <c r="I22" s="75"/>
      <c r="J22" s="30"/>
      <c r="K22" s="32"/>
    </row>
    <row r="23" spans="2:14" s="24" customFormat="1" x14ac:dyDescent="0.2">
      <c r="B23" s="17" t="s">
        <v>71</v>
      </c>
      <c r="C23" s="18" t="s">
        <v>32</v>
      </c>
      <c r="D23" s="18"/>
      <c r="E23" s="80" t="s">
        <v>61</v>
      </c>
      <c r="F23" s="141" t="str">
        <f>IF(EstimateType="DTS Only","×  NA",I17)</f>
        <v>×  NA</v>
      </c>
      <c r="G23" s="140" t="str">
        <f>IF(EstimateType="DTS Only","=         NA",I16*F23)</f>
        <v>=         NA</v>
      </c>
      <c r="H23" s="79" t="s">
        <v>58</v>
      </c>
      <c r="I23" s="76" t="str">
        <f>I15</f>
        <v>NA</v>
      </c>
      <c r="J23" s="19" t="str">
        <f>J15</f>
        <v/>
      </c>
      <c r="K23" s="87" t="str">
        <f>IF(EstimateType="DTS Only","NA ",G23*I23)</f>
        <v>NA </v>
      </c>
    </row>
    <row r="24" spans="2:14" s="24" customFormat="1" x14ac:dyDescent="0.2">
      <c r="B24" s="30" t="s">
        <v>131</v>
      </c>
      <c r="D24" s="30"/>
      <c r="E24" s="30"/>
      <c r="F24" s="30"/>
      <c r="G24" s="30"/>
      <c r="H24" s="30"/>
      <c r="I24" s="75"/>
      <c r="J24" s="30"/>
      <c r="K24" s="32"/>
    </row>
    <row r="25" spans="2:14" s="24" customFormat="1" x14ac:dyDescent="0.2">
      <c r="B25" s="17" t="s">
        <v>133</v>
      </c>
      <c r="C25" s="18" t="s">
        <v>93</v>
      </c>
      <c r="D25" s="18"/>
      <c r="E25" s="18"/>
      <c r="F25" s="18"/>
      <c r="G25" s="155">
        <f>INDEX(Lookup!$C$23:$Z$23,1,MATCH($K$10,Lookup!$C$1:$Z$1,0))</f>
        <v>0</v>
      </c>
      <c r="H25" s="19" t="s">
        <v>134</v>
      </c>
      <c r="I25" s="94" t="str">
        <f>IF(OR(EstimateType="DTS Only",RegulatedGeneratingUnit&lt;&gt;"Yes"),"NA",I18)</f>
        <v>NA</v>
      </c>
      <c r="J25" s="19" t="str">
        <f>J18</f>
        <v/>
      </c>
      <c r="K25" s="87" t="str">
        <f>IF(OR(EstimateType="DTS Only",RegulatedGeneratingUnit&lt;&gt;"Yes"),"NA ",G25*I25)</f>
        <v>NA </v>
      </c>
      <c r="N25" s="125"/>
    </row>
    <row r="26" spans="2:14" s="24" customFormat="1" x14ac:dyDescent="0.2">
      <c r="B26" s="36" t="s">
        <v>138</v>
      </c>
      <c r="C26" s="37"/>
      <c r="D26" s="37"/>
      <c r="E26" s="37"/>
      <c r="F26" s="37"/>
      <c r="G26" s="38"/>
      <c r="H26" s="39"/>
      <c r="I26" s="78"/>
      <c r="J26" s="39"/>
      <c r="K26" s="89" t="str">
        <f>IF(EstimateType="DTS Only","NA ",SUM(K22:K25))</f>
        <v>NA </v>
      </c>
    </row>
    <row r="27" spans="2:14" ht="9" customHeight="1" x14ac:dyDescent="0.2">
      <c r="K27" s="11"/>
    </row>
    <row r="28" spans="2:14" s="96" customFormat="1" x14ac:dyDescent="0.2">
      <c r="B28" s="197" t="s">
        <v>135</v>
      </c>
      <c r="C28" s="198"/>
      <c r="D28" s="198"/>
      <c r="E28" s="198"/>
      <c r="F28" s="198"/>
      <c r="G28" s="198"/>
      <c r="H28" s="198"/>
      <c r="I28" s="198"/>
      <c r="J28" s="198"/>
      <c r="K28" s="199"/>
    </row>
    <row r="29" spans="2:14" x14ac:dyDescent="0.2">
      <c r="B29" s="17" t="s">
        <v>71</v>
      </c>
      <c r="C29" s="18" t="s">
        <v>32</v>
      </c>
      <c r="D29" s="18"/>
      <c r="E29" s="80" t="s">
        <v>61</v>
      </c>
      <c r="F29" s="141" t="str">
        <f>IF(OR(EstimateType="DTS Only",RiderE&lt;&gt;"Yes"),"×  NA",'A Inputs and Summary'!J42)</f>
        <v>×  NA</v>
      </c>
      <c r="G29" s="140" t="str">
        <f>IF(OR(EstimateType="DTS Only",RiderE&lt;&gt;"Yes"),"=         NA",I16*F29)</f>
        <v>=         NA</v>
      </c>
      <c r="H29" s="79" t="s">
        <v>58</v>
      </c>
      <c r="I29" s="76" t="str">
        <f>IF(OR(EstimateType="DTS Only",RiderE&lt;&gt;"Yes"),"NA",I15)</f>
        <v>NA</v>
      </c>
      <c r="J29" s="19" t="str">
        <f>IF(OR(EstimateType="DTS Only",RiderE&lt;&gt;"Yes"),"",J15)</f>
        <v/>
      </c>
      <c r="K29" s="87" t="str">
        <f>IF(OR(EstimateType="DTS Only",RiderE&lt;&gt;"Yes"),"NA ",G29*I29)</f>
        <v>NA </v>
      </c>
    </row>
    <row r="30" spans="2:14" ht="9" customHeight="1" x14ac:dyDescent="0.2">
      <c r="K30" s="11"/>
    </row>
    <row r="31" spans="2:14" s="96" customFormat="1" x14ac:dyDescent="0.2">
      <c r="B31" s="197" t="s">
        <v>136</v>
      </c>
      <c r="C31" s="198"/>
      <c r="D31" s="198"/>
      <c r="E31" s="198"/>
      <c r="F31" s="198"/>
      <c r="G31" s="198"/>
      <c r="H31" s="198"/>
      <c r="I31" s="198"/>
      <c r="J31" s="198"/>
      <c r="K31" s="199"/>
    </row>
    <row r="32" spans="2:14" x14ac:dyDescent="0.2">
      <c r="B32" s="17" t="s">
        <v>71</v>
      </c>
      <c r="C32" s="18" t="s">
        <v>137</v>
      </c>
      <c r="D32" s="18"/>
      <c r="E32" s="18"/>
      <c r="F32" s="18"/>
      <c r="G32" s="90" t="str">
        <f>IF(RiderJ&lt;&gt;"Yes","NA",'A Inputs and Summary'!J44)</f>
        <v>NA</v>
      </c>
      <c r="H32" s="19" t="s">
        <v>58</v>
      </c>
      <c r="I32" s="76" t="str">
        <f>IF(OR(EstimateType="DTS Only",RiderJ&lt;&gt;"Yes"),"NA",I15)</f>
        <v>NA</v>
      </c>
      <c r="J32" s="19" t="str">
        <f>IF(OR(EstimateType="STS Only",RiderF&lt;&gt;"Yes"),"","MWh")</f>
        <v/>
      </c>
      <c r="K32" s="87" t="str">
        <f>IF(OR(EstimateType="DTS Only",RiderJ&lt;&gt;"Yes"),"NA ",G32*I32)</f>
        <v>NA </v>
      </c>
    </row>
    <row r="34" spans="2:11" x14ac:dyDescent="0.2">
      <c r="B34" s="9" t="s">
        <v>139</v>
      </c>
      <c r="C34" s="9"/>
      <c r="D34" s="9"/>
      <c r="E34" s="9"/>
      <c r="F34" s="9"/>
      <c r="G34" s="9"/>
      <c r="H34" s="9"/>
      <c r="I34" s="9"/>
      <c r="J34" s="9"/>
      <c r="K34" s="95" t="str">
        <f>IF(EstimateType="DTS Only","NA ",SUM(K26,K29,K32))</f>
        <v>NA </v>
      </c>
    </row>
    <row r="36" spans="2:11" s="179" customFormat="1" ht="14.1" customHeight="1" x14ac:dyDescent="0.2">
      <c r="B36" s="178"/>
      <c r="G36" s="180"/>
      <c r="K36" s="181"/>
    </row>
  </sheetData>
  <mergeCells count="12">
    <mergeCell ref="B31:K31"/>
    <mergeCell ref="I20:J20"/>
    <mergeCell ref="G20:H20"/>
    <mergeCell ref="B20:F20"/>
    <mergeCell ref="B21:K21"/>
    <mergeCell ref="D12:F12"/>
    <mergeCell ref="B28:K28"/>
    <mergeCell ref="B8:K8"/>
    <mergeCell ref="D10:I10"/>
    <mergeCell ref="D11:I11"/>
    <mergeCell ref="I14:J14"/>
    <mergeCell ref="C14:G14"/>
  </mergeCells>
  <phoneticPr fontId="2" type="noConversion"/>
  <dataValidations count="5">
    <dataValidation allowBlank="1" showInputMessage="1" sqref="D12:G12 D10:I11" xr:uid="{00000000-0002-0000-0600-000000000000}"/>
    <dataValidation allowBlank="1" showInputMessage="1" showErrorMessage="1" promptTitle="Reference" prompt="For more information, see the definition of metered energy in the Consolidated Authoritative Documents Glossary." sqref="H15" xr:uid="{00000000-0002-0000-0600-000003000000}"/>
    <dataValidation allowBlank="1" showInputMessage="1" showErrorMessage="1" promptTitle="Reference" prompt="For more information, see the definition of pool price in the Consolidated Authoritative Documents Glossary." sqref="H16" xr:uid="{00000000-0002-0000-0600-000004000000}"/>
    <dataValidation allowBlank="1" showInputMessage="1" showErrorMessage="1" promptTitle="Reference" prompt="For more information, see the definition of loss factor in the Consolidated Authoritative Documents Glossary." sqref="H17" xr:uid="{00000000-0002-0000-0600-000005000000}"/>
    <dataValidation allowBlank="1" showInputMessage="1" showErrorMessage="1" promptTitle="Reference" prompt="For more information, see Appendix A: Regulated Generating Units in the ISO tariff." sqref="H18" xr:uid="{00000000-0002-0000-0600-000006000000}"/>
  </dataValidations>
  <printOptions horizontalCentered="1"/>
  <pageMargins left="0.25" right="0.25" top="0.5" bottom="0.25" header="0.3" footer="0.3"/>
  <pageSetup orientation="portrait" r:id="rId1"/>
  <headerFooter alignWithMargins="0">
    <oddFooter>&amp;L&amp;8Attachment to Bill Estimator for 2021 Tariff (AESO ID #2021-015T)
Filename: &amp;F — Page&amp;P of &amp;N&amp;R&amp;8Confidentiality: Proprietary When Completed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zoomScale="70" zoomScaleNormal="70" workbookViewId="0">
      <selection activeCell="O42" sqref="O42"/>
    </sheetView>
  </sheetViews>
  <sheetFormatPr defaultRowHeight="12.75" x14ac:dyDescent="0.2"/>
  <cols>
    <col min="1" max="1" width="40.5703125" bestFit="1" customWidth="1"/>
    <col min="2" max="2" width="37.42578125" bestFit="1" customWidth="1"/>
    <col min="3" max="7" width="10.5703125" bestFit="1" customWidth="1"/>
    <col min="8" max="8" width="11.5703125" bestFit="1" customWidth="1"/>
    <col min="9" max="9" width="11.140625" bestFit="1" customWidth="1"/>
    <col min="11" max="11" width="10.5703125" bestFit="1" customWidth="1"/>
  </cols>
  <sheetData>
    <row r="1" spans="1:9" ht="15" x14ac:dyDescent="0.25">
      <c r="A1" s="146"/>
      <c r="B1" s="146" t="s">
        <v>235</v>
      </c>
      <c r="C1" s="146" t="s">
        <v>236</v>
      </c>
      <c r="D1" s="146" t="s">
        <v>237</v>
      </c>
      <c r="E1" s="146" t="s">
        <v>238</v>
      </c>
      <c r="F1" s="146" t="s">
        <v>239</v>
      </c>
      <c r="G1" s="146" t="s">
        <v>234</v>
      </c>
      <c r="H1" s="146" t="s">
        <v>240</v>
      </c>
      <c r="I1" s="154" t="s">
        <v>258</v>
      </c>
    </row>
    <row r="2" spans="1:9" ht="15" x14ac:dyDescent="0.25">
      <c r="A2" s="146"/>
      <c r="B2" s="146" t="s">
        <v>241</v>
      </c>
      <c r="C2" s="147">
        <v>42370</v>
      </c>
      <c r="D2" s="147">
        <v>42461</v>
      </c>
      <c r="E2" s="147">
        <v>42736</v>
      </c>
      <c r="F2" s="147">
        <v>43101</v>
      </c>
      <c r="G2" s="147">
        <v>43466</v>
      </c>
      <c r="H2" s="183">
        <v>43922</v>
      </c>
      <c r="I2" s="183">
        <v>44197</v>
      </c>
    </row>
    <row r="3" spans="1:9" ht="15" x14ac:dyDescent="0.25">
      <c r="A3" s="146"/>
      <c r="B3" s="146" t="s">
        <v>242</v>
      </c>
      <c r="C3" s="147">
        <v>42460</v>
      </c>
      <c r="D3" s="147">
        <v>42735</v>
      </c>
      <c r="E3" s="147">
        <v>43100</v>
      </c>
      <c r="F3" s="147">
        <v>43465</v>
      </c>
      <c r="G3" s="147">
        <v>43921</v>
      </c>
      <c r="H3" s="183">
        <v>44196</v>
      </c>
      <c r="I3" s="184" t="s">
        <v>22</v>
      </c>
    </row>
    <row r="4" spans="1:9" ht="15" x14ac:dyDescent="0.25">
      <c r="A4" s="146" t="s">
        <v>30</v>
      </c>
      <c r="B4" s="146" t="s">
        <v>31</v>
      </c>
      <c r="C4" s="148">
        <v>9305</v>
      </c>
      <c r="D4" s="148">
        <v>10175</v>
      </c>
      <c r="E4" s="148">
        <v>10670</v>
      </c>
      <c r="F4" s="148">
        <v>10177</v>
      </c>
      <c r="G4" s="148">
        <v>10524</v>
      </c>
      <c r="H4" s="148">
        <v>10814</v>
      </c>
      <c r="I4" s="148">
        <v>11085</v>
      </c>
    </row>
    <row r="5" spans="1:9" ht="15" x14ac:dyDescent="0.25">
      <c r="A5" s="146" t="s">
        <v>30</v>
      </c>
      <c r="B5" s="146" t="s">
        <v>243</v>
      </c>
      <c r="C5" s="148">
        <v>1.0900000000000001</v>
      </c>
      <c r="D5" s="148">
        <v>1.17</v>
      </c>
      <c r="E5" s="148">
        <v>1.25</v>
      </c>
      <c r="F5" s="148">
        <v>1.2</v>
      </c>
      <c r="G5" s="148">
        <v>1.26</v>
      </c>
      <c r="H5" s="148">
        <v>1.1299999999999999</v>
      </c>
      <c r="I5" s="148">
        <v>1.22</v>
      </c>
    </row>
    <row r="6" spans="1:9" ht="15" x14ac:dyDescent="0.25">
      <c r="A6" s="146" t="s">
        <v>196</v>
      </c>
      <c r="B6" s="146" t="s">
        <v>33</v>
      </c>
      <c r="C6" s="148">
        <v>2162</v>
      </c>
      <c r="D6" s="148">
        <v>2333</v>
      </c>
      <c r="E6" s="148">
        <v>2356</v>
      </c>
      <c r="F6" s="148">
        <v>2281</v>
      </c>
      <c r="G6" s="148">
        <v>2359</v>
      </c>
      <c r="H6" s="148">
        <v>2799</v>
      </c>
      <c r="I6" s="148">
        <v>2893</v>
      </c>
    </row>
    <row r="7" spans="1:9" ht="15" x14ac:dyDescent="0.25">
      <c r="A7" s="146" t="s">
        <v>196</v>
      </c>
      <c r="B7" s="146" t="s">
        <v>244</v>
      </c>
      <c r="C7" s="148">
        <v>0.76</v>
      </c>
      <c r="D7" s="148">
        <v>0.81</v>
      </c>
      <c r="E7" s="148">
        <v>0.87</v>
      </c>
      <c r="F7" s="148">
        <v>0.84</v>
      </c>
      <c r="G7" s="148">
        <v>0.87</v>
      </c>
      <c r="H7" s="148">
        <v>0.86</v>
      </c>
      <c r="I7" s="148">
        <v>0.93</v>
      </c>
    </row>
    <row r="8" spans="1:9" ht="15" x14ac:dyDescent="0.25">
      <c r="A8" s="146" t="s">
        <v>245</v>
      </c>
      <c r="B8" s="146" t="s">
        <v>246</v>
      </c>
      <c r="C8" s="148">
        <v>7865</v>
      </c>
      <c r="D8" s="148">
        <v>8604</v>
      </c>
      <c r="E8" s="148">
        <v>8789</v>
      </c>
      <c r="F8" s="148">
        <v>8635</v>
      </c>
      <c r="G8" s="148">
        <v>9062</v>
      </c>
      <c r="H8" s="148">
        <v>14291</v>
      </c>
      <c r="I8" s="148">
        <v>14860</v>
      </c>
    </row>
    <row r="9" spans="1:9" ht="15" x14ac:dyDescent="0.25">
      <c r="A9" s="146" t="s">
        <v>245</v>
      </c>
      <c r="B9" s="146" t="s">
        <v>247</v>
      </c>
      <c r="C9" s="148">
        <v>3184</v>
      </c>
      <c r="D9" s="148">
        <v>3484</v>
      </c>
      <c r="E9" s="148">
        <v>3559</v>
      </c>
      <c r="F9" s="148">
        <v>3496</v>
      </c>
      <c r="G9" s="148">
        <v>3669</v>
      </c>
      <c r="H9" s="148">
        <v>4703</v>
      </c>
      <c r="I9" s="148">
        <v>4891</v>
      </c>
    </row>
    <row r="10" spans="1:9" ht="15" x14ac:dyDescent="0.25">
      <c r="A10" s="146" t="s">
        <v>245</v>
      </c>
      <c r="B10" s="146" t="s">
        <v>248</v>
      </c>
      <c r="C10" s="148">
        <v>1994</v>
      </c>
      <c r="D10" s="148">
        <v>2182</v>
      </c>
      <c r="E10" s="148">
        <v>2229</v>
      </c>
      <c r="F10" s="148">
        <v>2190</v>
      </c>
      <c r="G10" s="148">
        <v>2298</v>
      </c>
      <c r="H10" s="148">
        <v>2789</v>
      </c>
      <c r="I10" s="148">
        <v>2900</v>
      </c>
    </row>
    <row r="11" spans="1:9" ht="15" x14ac:dyDescent="0.25">
      <c r="A11" s="146" t="s">
        <v>245</v>
      </c>
      <c r="B11" s="146" t="s">
        <v>249</v>
      </c>
      <c r="C11" s="148">
        <v>1391</v>
      </c>
      <c r="D11" s="148">
        <v>1522</v>
      </c>
      <c r="E11" s="148">
        <v>1555</v>
      </c>
      <c r="F11" s="148">
        <v>1527</v>
      </c>
      <c r="G11" s="148">
        <v>1603</v>
      </c>
      <c r="H11" s="148">
        <v>1867</v>
      </c>
      <c r="I11" s="148">
        <v>1942</v>
      </c>
    </row>
    <row r="12" spans="1:9" ht="15" x14ac:dyDescent="0.25">
      <c r="A12" s="146" t="s">
        <v>245</v>
      </c>
      <c r="B12" s="146" t="s">
        <v>250</v>
      </c>
      <c r="C12" s="148">
        <v>901</v>
      </c>
      <c r="D12" s="148">
        <v>986</v>
      </c>
      <c r="E12" s="148">
        <v>1007</v>
      </c>
      <c r="F12" s="148">
        <v>989</v>
      </c>
      <c r="G12" s="148">
        <v>1038</v>
      </c>
      <c r="H12" s="148">
        <v>1150</v>
      </c>
      <c r="I12" s="148">
        <v>1195</v>
      </c>
    </row>
    <row r="13" spans="1:9" ht="15" x14ac:dyDescent="0.25">
      <c r="A13" s="146" t="s">
        <v>251</v>
      </c>
      <c r="B13" s="146" t="s">
        <v>246</v>
      </c>
      <c r="C13" s="148">
        <v>-6213</v>
      </c>
      <c r="D13" s="148">
        <v>-6797</v>
      </c>
      <c r="E13" s="148">
        <v>-6943</v>
      </c>
      <c r="F13" s="148">
        <v>-6822</v>
      </c>
      <c r="G13" s="148">
        <v>-7159</v>
      </c>
      <c r="H13" s="148">
        <v>-11290</v>
      </c>
      <c r="I13" s="148">
        <v>-11739</v>
      </c>
    </row>
    <row r="14" spans="1:9" ht="15" x14ac:dyDescent="0.25">
      <c r="A14" s="146" t="s">
        <v>251</v>
      </c>
      <c r="B14" s="146" t="s">
        <v>247</v>
      </c>
      <c r="C14" s="148">
        <v>-2515</v>
      </c>
      <c r="D14" s="148">
        <v>-2752</v>
      </c>
      <c r="E14" s="148">
        <v>-2812</v>
      </c>
      <c r="F14" s="148">
        <v>-2762</v>
      </c>
      <c r="G14" s="148">
        <v>-2899</v>
      </c>
      <c r="H14" s="148">
        <v>-3715</v>
      </c>
      <c r="I14" s="148">
        <v>-3864</v>
      </c>
    </row>
    <row r="15" spans="1:9" ht="15" x14ac:dyDescent="0.25">
      <c r="A15" s="146" t="s">
        <v>251</v>
      </c>
      <c r="B15" s="146" t="s">
        <v>248</v>
      </c>
      <c r="C15" s="148">
        <v>-1575</v>
      </c>
      <c r="D15" s="148">
        <v>-1724</v>
      </c>
      <c r="E15" s="148">
        <v>-1761</v>
      </c>
      <c r="F15" s="148">
        <v>-1730</v>
      </c>
      <c r="G15" s="148">
        <v>-1815</v>
      </c>
      <c r="H15" s="148">
        <v>-2203</v>
      </c>
      <c r="I15" s="148">
        <v>-2291</v>
      </c>
    </row>
    <row r="16" spans="1:9" ht="15" x14ac:dyDescent="0.25">
      <c r="A16" s="146" t="s">
        <v>251</v>
      </c>
      <c r="B16" s="146" t="s">
        <v>249</v>
      </c>
      <c r="C16" s="148">
        <v>-1099</v>
      </c>
      <c r="D16" s="148">
        <v>-1202</v>
      </c>
      <c r="E16" s="148">
        <v>-1228</v>
      </c>
      <c r="F16" s="148">
        <v>-1206</v>
      </c>
      <c r="G16" s="148">
        <v>-1266</v>
      </c>
      <c r="H16" s="148">
        <v>-1475</v>
      </c>
      <c r="I16" s="148">
        <v>-1534</v>
      </c>
    </row>
    <row r="17" spans="1:9" ht="15" x14ac:dyDescent="0.25">
      <c r="A17" s="146" t="s">
        <v>251</v>
      </c>
      <c r="B17" s="146" t="s">
        <v>250</v>
      </c>
      <c r="C17" s="148">
        <v>-901</v>
      </c>
      <c r="D17" s="148">
        <v>-986</v>
      </c>
      <c r="E17" s="148">
        <v>-1007</v>
      </c>
      <c r="F17" s="148">
        <v>-989</v>
      </c>
      <c r="G17" s="148">
        <v>-1038</v>
      </c>
      <c r="H17" s="148">
        <v>-1150</v>
      </c>
      <c r="I17" s="148">
        <v>-1195</v>
      </c>
    </row>
    <row r="18" spans="1:9" ht="15" x14ac:dyDescent="0.25">
      <c r="A18" s="146" t="s">
        <v>252</v>
      </c>
      <c r="B18" s="146" t="s">
        <v>81</v>
      </c>
      <c r="C18" s="148">
        <v>41.49</v>
      </c>
      <c r="D18" s="148">
        <v>40.99</v>
      </c>
      <c r="E18" s="148">
        <v>31.82</v>
      </c>
      <c r="F18" s="148">
        <v>42.58</v>
      </c>
      <c r="G18" s="148">
        <v>57.52</v>
      </c>
      <c r="H18" s="148">
        <v>57.81</v>
      </c>
      <c r="I18" s="148">
        <v>53.93</v>
      </c>
    </row>
    <row r="19" spans="1:9" ht="15" x14ac:dyDescent="0.25">
      <c r="A19" s="146" t="s">
        <v>252</v>
      </c>
      <c r="B19" s="146" t="s">
        <v>253</v>
      </c>
      <c r="C19" s="149">
        <v>6.4100000000000004E-2</v>
      </c>
      <c r="D19" s="150">
        <v>6.6600000000000006E-2</v>
      </c>
      <c r="E19" s="150">
        <v>6.9900000000000004E-2</v>
      </c>
      <c r="F19" s="150">
        <v>6.4399999999999999E-2</v>
      </c>
      <c r="G19" s="150">
        <v>8.5000000000000006E-2</v>
      </c>
      <c r="H19" s="150">
        <v>7.1300000000000002E-2</v>
      </c>
      <c r="I19" s="150">
        <v>6.1899999999999997E-2</v>
      </c>
    </row>
    <row r="20" spans="1:9" ht="15" x14ac:dyDescent="0.25">
      <c r="A20" s="146" t="s">
        <v>254</v>
      </c>
      <c r="B20" s="146" t="s">
        <v>32</v>
      </c>
      <c r="C20" s="148">
        <v>0</v>
      </c>
      <c r="D20" s="148">
        <v>0.06</v>
      </c>
      <c r="E20" s="148">
        <v>7.0000000000000007E-2</v>
      </c>
      <c r="F20" s="151">
        <v>2E-3</v>
      </c>
      <c r="G20" s="151">
        <v>2E-3</v>
      </c>
      <c r="H20" s="152">
        <v>2E-3</v>
      </c>
      <c r="I20" s="152">
        <v>2E-3</v>
      </c>
    </row>
    <row r="21" spans="1:9" ht="15" x14ac:dyDescent="0.25">
      <c r="A21" s="146" t="s">
        <v>40</v>
      </c>
      <c r="B21" s="146" t="s">
        <v>32</v>
      </c>
      <c r="C21" s="148">
        <v>0.05</v>
      </c>
      <c r="D21" s="148">
        <v>0.06</v>
      </c>
      <c r="E21" s="148">
        <v>7.0000000000000007E-2</v>
      </c>
      <c r="F21" s="148">
        <v>0.09</v>
      </c>
      <c r="G21" s="148">
        <v>0.05</v>
      </c>
      <c r="H21" s="148">
        <v>0.05</v>
      </c>
      <c r="I21" s="148">
        <v>0.01</v>
      </c>
    </row>
    <row r="22" spans="1:9" ht="15" x14ac:dyDescent="0.25">
      <c r="A22" s="146" t="s">
        <v>41</v>
      </c>
      <c r="B22" s="146" t="s">
        <v>62</v>
      </c>
      <c r="C22" s="148">
        <v>41</v>
      </c>
      <c r="D22" s="148">
        <v>46</v>
      </c>
      <c r="E22" s="148">
        <v>46</v>
      </c>
      <c r="F22" s="148">
        <v>46</v>
      </c>
      <c r="G22" s="148">
        <v>36</v>
      </c>
      <c r="H22" s="148">
        <v>24</v>
      </c>
      <c r="I22" s="148">
        <v>25</v>
      </c>
    </row>
    <row r="23" spans="1:9" ht="15" x14ac:dyDescent="0.25">
      <c r="A23" s="146" t="s">
        <v>41</v>
      </c>
      <c r="B23" t="s">
        <v>131</v>
      </c>
      <c r="C23" s="148">
        <v>149</v>
      </c>
      <c r="D23" s="148">
        <v>122</v>
      </c>
      <c r="E23" s="148">
        <v>95</v>
      </c>
      <c r="F23" s="148">
        <v>75</v>
      </c>
      <c r="G23" s="148">
        <v>45</v>
      </c>
      <c r="H23" s="148">
        <v>15</v>
      </c>
      <c r="I23" s="148">
        <v>0</v>
      </c>
    </row>
    <row r="24" spans="1:9" ht="15" x14ac:dyDescent="0.25">
      <c r="A24" s="146" t="s">
        <v>41</v>
      </c>
      <c r="B24" s="154" t="s">
        <v>255</v>
      </c>
      <c r="C24" s="148">
        <v>400</v>
      </c>
      <c r="D24" s="148">
        <v>400</v>
      </c>
      <c r="E24" s="148">
        <v>400</v>
      </c>
      <c r="F24" s="148">
        <v>400</v>
      </c>
      <c r="G24" s="148">
        <v>400</v>
      </c>
      <c r="H24" s="148">
        <v>400</v>
      </c>
      <c r="I24" s="148">
        <v>400</v>
      </c>
    </row>
    <row r="25" spans="1:9" ht="15" x14ac:dyDescent="0.25">
      <c r="A25" s="154" t="s">
        <v>257</v>
      </c>
      <c r="B25" s="154" t="s">
        <v>257</v>
      </c>
      <c r="C25" s="148">
        <v>-3.25</v>
      </c>
      <c r="D25" s="148">
        <v>-3.25</v>
      </c>
      <c r="E25" s="148">
        <v>1.1000000000000001</v>
      </c>
      <c r="F25" s="148">
        <v>3.1</v>
      </c>
      <c r="G25" s="148">
        <v>2.9</v>
      </c>
      <c r="H25" s="148">
        <v>2.5</v>
      </c>
      <c r="I25" s="148">
        <v>2.2999999999999998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ARA Information Document" ma:contentTypeID="0x010100BC84ACA119491D43B8AEA0C41A758E3B0B040071BA19474634B249B800E7274CE14146" ma:contentTypeVersion="52" ma:contentTypeDescription="" ma:contentTypeScope="" ma:versionID="27a3dfa4d5e76c26aa1e3070d701a9eb">
  <xsd:schema xmlns:xsd="http://www.w3.org/2001/XMLSchema" xmlns:xs="http://www.w3.org/2001/XMLSchema" xmlns:p="http://schemas.microsoft.com/office/2006/metadata/properties" xmlns:ns1="http://schemas.microsoft.com/sharepoint/v3" xmlns:ns2="bfc2574c-8110-4e43-9784-1ee86de75c6c" xmlns:ns4="650fffc6-a86a-4844-afad-966e4497fd3d" targetNamespace="http://schemas.microsoft.com/office/2006/metadata/properties" ma:root="true" ma:fieldsID="979e84eb11b201559bb34bcf366cde74" ns1:_="" ns2:_="" ns4:_="">
    <xsd:import namespace="http://schemas.microsoft.com/sharepoint/v3"/>
    <xsd:import namespace="bfc2574c-8110-4e43-9784-1ee86de75c6c"/>
    <xsd:import namespace="650fffc6-a86a-4844-afad-966e4497fd3d"/>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nc9abd60d2924b6a80e31aa92886dd82" minOccurs="0"/>
                <xsd:element ref="ns2:k64467115e4948f8a6ae90544ba894f6" minOccurs="0"/>
                <xsd:element ref="ns2:LARA_x0020_Status" minOccurs="0"/>
                <xsd:element ref="ns2:b946e2da1d29488e816d294143d8cab5" minOccurs="0"/>
                <xsd:element ref="ns1:Email_x0020_Subject" minOccurs="0"/>
                <xsd:element ref="ns1:Email_x0020_From" minOccurs="0"/>
                <xsd:element ref="ns1:Email_x0020_To" minOccurs="0"/>
                <xsd:element ref="ns1:Email_x0020_CC" minOccurs="0"/>
                <xsd:element ref="ns1:Email_x0020_Importance" minOccurs="0"/>
                <xsd:element ref="ns1:Email_x0020_Received_x0020_Date" minOccurs="0"/>
                <xsd:element ref="ns1:Email_x0020_S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_x0020_Subject" ma:index="32" nillable="true" ma:displayName="Email Subject" ma:internalName="Email_x0020_Subject" ma:readOnly="true">
      <xsd:simpleType>
        <xsd:restriction base="dms:Text"/>
      </xsd:simpleType>
    </xsd:element>
    <xsd:element name="Email_x0020_From" ma:index="33" nillable="true" ma:displayName="Email From" ma:internalName="Email_x0020_From" ma:readOnly="true">
      <xsd:simpleType>
        <xsd:restriction base="dms:Text"/>
      </xsd:simpleType>
    </xsd:element>
    <xsd:element name="Email_x0020_To" ma:index="34" nillable="true" ma:displayName="Email To" ma:internalName="Email_x0020_To" ma:readOnly="true">
      <xsd:simpleType>
        <xsd:restriction base="dms:Note">
          <xsd:maxLength value="255"/>
        </xsd:restriction>
      </xsd:simpleType>
    </xsd:element>
    <xsd:element name="Email_x0020_CC" ma:index="35" nillable="true" ma:displayName="Email CC" ma:internalName="Email_x0020_CC" ma:readOnly="true">
      <xsd:simpleType>
        <xsd:restriction base="dms:Note">
          <xsd:maxLength value="255"/>
        </xsd:restriction>
      </xsd:simpleType>
    </xsd:element>
    <xsd:element name="Email_x0020_Importance" ma:index="36" nillable="true" ma:displayName="Email Importance" ma:internalName="Email_x0020_Importance" ma:readOnly="true">
      <xsd:simpleType>
        <xsd:restriction base="dms:Text"/>
      </xsd:simpleType>
    </xsd:element>
    <xsd:element name="Email_x0020_Received_x0020_Date" ma:index="37" nillable="true" ma:displayName="Email Received Date" ma:internalName="Email_x0020_Received_x0020_Date" ma:readOnly="true">
      <xsd:simpleType>
        <xsd:restriction base="dms:DateTime"/>
      </xsd:simpleType>
    </xsd:element>
    <xsd:element name="Email_x0020_Sent_x0020_Date" ma:index="38" nillable="true" ma:displayName="Email Sent Date" ma:internalName="Email_x0020_Sent_x0020_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AESO Protected|67c4d7a0-4f5b-44e1-8816-0d4e4f2129b8"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nc9abd60d2924b6a80e31aa92886dd82" ma:index="25" nillable="true" ma:taxonomy="true" ma:internalName="nc9abd60d2924b6a80e31aa92886dd82" ma:taxonomyFieldName="Business_x0020_Unit_x0028_s_x0029_" ma:displayName="Business Unit(s)" ma:default="" ma:fieldId="{7c9abd60-d292-4b6a-80e3-1aa92886dd82}" ma:taxonomyMulti="true" ma:sspId="93371fdb-7bec-4d52-adeb-1166efac0023" ma:termSetId="3d412721-2c26-4086-a4aa-f3bd35cef3bd" ma:anchorId="00000000-0000-0000-0000-000000000000" ma:open="false" ma:isKeyword="false">
      <xsd:complexType>
        <xsd:sequence>
          <xsd:element ref="pc:Terms" minOccurs="0" maxOccurs="1"/>
        </xsd:sequence>
      </xsd:complexType>
    </xsd:element>
    <xsd:element name="k64467115e4948f8a6ae90544ba894f6" ma:index="27" nillable="true" ma:taxonomy="true" ma:internalName="k64467115e4948f8a6ae90544ba894f6" ma:taxonomyFieldName="Related_x0020_ADs" ma:displayName="Related ADs" ma:default="" ma:fieldId="{46446711-5e49-48f8-a6ae-90544ba894f6}" ma:taxonomyMulti="true" ma:sspId="93371fdb-7bec-4d52-adeb-1166efac0023" ma:termSetId="a53a396f-088e-46cc-82dd-f28275a65df7" ma:anchorId="00000000-0000-0000-0000-000000000000" ma:open="true" ma:isKeyword="false">
      <xsd:complexType>
        <xsd:sequence>
          <xsd:element ref="pc:Terms" minOccurs="0" maxOccurs="1"/>
        </xsd:sequence>
      </xsd:complexType>
    </xsd:element>
    <xsd:element name="LARA_x0020_Status" ma:index="29" nillable="true" ma:displayName="LARA Status" ma:default="Active" ma:format="Dropdown" ma:internalName="LARA_x0020_Status">
      <xsd:simpleType>
        <xsd:restriction base="dms:Choice">
          <xsd:enumeration value="Active"/>
          <xsd:enumeration value="Inactive"/>
        </xsd:restriction>
      </xsd:simpleType>
    </xsd:element>
    <xsd:element name="b946e2da1d29488e816d294143d8cab5" ma:index="30" nillable="true" ma:taxonomy="true" ma:internalName="b946e2da1d29488e816d294143d8cab5" ma:taxonomyFieldName="ID_x0020_Category" ma:displayName="ID Category" ma:default="" ma:fieldId="{b946e2da-1d29-488e-816d-294143d8cab5}" ma:taxonomyMulti="true" ma:sspId="93371fdb-7bec-4d52-adeb-1166efac0023" ma:termSetId="88aaa5d0-0571-48f9-a57b-cb84c5c6e36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3371fdb-7bec-4d52-adeb-1166efac0023" ContentTypeId="0x010100BC84ACA119491D43B8AEA0C41A758E3B0B04" PreviousValue="false"/>
</file>

<file path=customXml/item5.xml><?xml version="1.0" encoding="utf-8"?>
<p:properties xmlns:p="http://schemas.microsoft.com/office/2006/metadata/properties" xmlns:xsi="http://www.w3.org/2001/XMLSchema-instance" xmlns:pc="http://schemas.microsoft.com/office/infopath/2007/PartnerControls">
  <documentManagement>
    <LARA_x0020_Status xmlns="bfc2574c-8110-4e43-9784-1ee86de75c6c">Active</LARA_x0020_Status>
    <CWRMItemUniqueId xmlns="650fffc6-a86a-4844-afad-966e4497fd3d">000000LUQN</CWRMItemUniqueId>
    <_dlc_DocId xmlns="bfc2574c-8110-4e43-9784-1ee86de75c6c">000000LUQN</_dlc_DocId>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TaxCatchAll xmlns="bfc2574c-8110-4e43-9784-1ee86de75c6c">
      <Value>1524</Value>
      <Value>1321</Value>
      <Value>1271</Value>
      <Value>1816</Value>
    </TaxCatchAll>
    <b946e2da1d29488e816d294143d8cab5 xmlns="bfc2574c-8110-4e43-9784-1ee86de75c6c">
      <Terms xmlns="http://schemas.microsoft.com/office/infopath/2007/PartnerControls">
        <TermInfo xmlns="http://schemas.microsoft.com/office/infopath/2007/PartnerControls">
          <TermName xmlns="http://schemas.microsoft.com/office/infopath/2007/PartnerControls">Tariff</TermName>
          <TermId xmlns="http://schemas.microsoft.com/office/infopath/2007/PartnerControls">9d7a0996-ad5f-409c-802b-558da982e99b</TermId>
        </TermInfo>
      </Terms>
    </b946e2da1d29488e816d294143d8cab5>
    <CWRMItemRecordData xmlns="650fffc6-a86a-4844-afad-966e4497fd3d" xsi:nil="true"/>
    <k64467115e4948f8a6ae90544ba894f6 xmlns="bfc2574c-8110-4e43-9784-1ee86de75c6c">
      <Terms xmlns="http://schemas.microsoft.com/office/infopath/2007/PartnerControls">
        <TermInfo xmlns="http://schemas.microsoft.com/office/infopath/2007/PartnerControls">
          <TermName xmlns="http://schemas.microsoft.com/office/infopath/2007/PartnerControls">ISO Tariff</TermName>
          <TermId xmlns="http://schemas.microsoft.com/office/infopath/2007/PartnerControls">d382ca91-b226-4555-b6b0-bf5721fda386</TermId>
        </TermInfo>
      </Terms>
    </k64467115e4948f8a6ae90544ba894f6>
    <nc9abd60d2924b6a80e31aa92886dd82 xmlns="bfc2574c-8110-4e43-9784-1ee86de75c6c">
      <Terms xmlns="http://schemas.microsoft.com/office/infopath/2007/PartnerControls"/>
    </nc9abd60d2924b6a80e31aa92886dd82>
    <Activity_x0020_Complete_x0020_Date xmlns="bfc2574c-8110-4e43-9784-1ee86de75c6c" xsi:nil="true"/>
    <_dlc_DocIdUrl xmlns="bfc2574c-8110-4e43-9784-1ee86de75c6c">
      <Url>https://share.aeso.ca/sites/records-law/LARA/_layouts/15/DocIdRedir.aspx?ID=000000LUQN</Url>
      <Description>000000LUQN</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documentManagement>
</p:properties>
</file>

<file path=customXml/itemProps1.xml><?xml version="1.0" encoding="utf-8"?>
<ds:datastoreItem xmlns:ds="http://schemas.openxmlformats.org/officeDocument/2006/customXml" ds:itemID="{8D964677-62C9-4564-9951-D1E511EC8E6D}"/>
</file>

<file path=customXml/itemProps2.xml><?xml version="1.0" encoding="utf-8"?>
<ds:datastoreItem xmlns:ds="http://schemas.openxmlformats.org/officeDocument/2006/customXml" ds:itemID="{DCAD4569-7C0F-40FB-B540-1A14037DBFB0}"/>
</file>

<file path=customXml/itemProps3.xml><?xml version="1.0" encoding="utf-8"?>
<ds:datastoreItem xmlns:ds="http://schemas.openxmlformats.org/officeDocument/2006/customXml" ds:itemID="{B4F9CDED-6654-43A1-A6CF-D7DC343BD270}"/>
</file>

<file path=customXml/itemProps4.xml><?xml version="1.0" encoding="utf-8"?>
<ds:datastoreItem xmlns:ds="http://schemas.openxmlformats.org/officeDocument/2006/customXml" ds:itemID="{9E004A53-F79A-4E2C-A02B-B1EB05C38027}"/>
</file>

<file path=customXml/itemProps5.xml><?xml version="1.0" encoding="utf-8"?>
<ds:datastoreItem xmlns:ds="http://schemas.openxmlformats.org/officeDocument/2006/customXml" ds:itemID="{ACA43B37-97DE-4BB8-90C3-625047E76D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Information Page 1</vt:lpstr>
      <vt:lpstr>Information Page 2</vt:lpstr>
      <vt:lpstr>Information Page 3</vt:lpstr>
      <vt:lpstr>A Inputs and Summary</vt:lpstr>
      <vt:lpstr>B Rate DTS and Riders</vt:lpstr>
      <vt:lpstr>C Rate PSC and Rider</vt:lpstr>
      <vt:lpstr>D Rate STS and Riders</vt:lpstr>
      <vt:lpstr>Lookup</vt:lpstr>
      <vt:lpstr>AccountID</vt:lpstr>
      <vt:lpstr>AESOTariff</vt:lpstr>
      <vt:lpstr>EstimateType</vt:lpstr>
      <vt:lpstr>OtherParticipant</vt:lpstr>
      <vt:lpstr>ParticipantName</vt:lpstr>
      <vt:lpstr>PreparationDate</vt:lpstr>
      <vt:lpstr>PrimaryServiceCredit</vt:lpstr>
      <vt:lpstr>'A Inputs and Summary'!Print_Area</vt:lpstr>
      <vt:lpstr>'B Rate DTS and Riders'!Print_Area</vt:lpstr>
      <vt:lpstr>'C Rate PSC and Rider'!Print_Area</vt:lpstr>
      <vt:lpstr>'D Rate STS and Riders'!Print_Area</vt:lpstr>
      <vt:lpstr>'Information Page 1'!Print_Area</vt:lpstr>
      <vt:lpstr>'Information Page 2'!Print_Area</vt:lpstr>
      <vt:lpstr>'Information Page 3'!Print_Area</vt:lpstr>
      <vt:lpstr>ReceivePSC</vt:lpstr>
      <vt:lpstr>RegulatedGeneratingUnit</vt:lpstr>
      <vt:lpstr>RiderC</vt:lpstr>
      <vt:lpstr>RiderE</vt:lpstr>
      <vt:lpstr>RiderF</vt:lpstr>
      <vt:lpstr>RiderJ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2021-01-09T00:22:06Z</dcterms:created>
  <dcterms:modified xsi:type="dcterms:W3CDTF">2021-01-09T00:22:20Z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ADs">
    <vt:lpwstr>1524;#ISO Tariff|d382ca91-b226-4555-b6b0-bf5721fda386</vt:lpwstr>
  </property>
  <property fmtid="{D5CDD505-2E9C-101B-9397-08002B2CF9AE}" pid="3" name="ContentTypeId">
    <vt:lpwstr>0x010100BC84ACA119491D43B8AEA0C41A758E3B0B040071BA19474634B249B800E7274CE14146</vt:lpwstr>
  </property>
  <property fmtid="{D5CDD505-2E9C-101B-9397-08002B2CF9AE}" pid="4" name="Confidentiality Classification">
    <vt:lpwstr>1271;#AESO Internal|fe2129cc-e616-4c1e-9a39-b6921e014562</vt:lpwstr>
  </property>
  <property fmtid="{D5CDD505-2E9C-101B-9397-08002B2CF9AE}" pid="5" name="ID Category">
    <vt:lpwstr>1816;#Tariff|9d7a0996-ad5f-409c-802b-558da982e99b</vt:lpwstr>
  </property>
  <property fmtid="{D5CDD505-2E9C-101B-9397-08002B2CF9AE}" pid="6" name="_dlc_DocIdItemGuid">
    <vt:lpwstr>4b8955bd-ed1d-41a7-b8e7-e34e87c63dae</vt:lpwstr>
  </property>
  <property fmtid="{D5CDD505-2E9C-101B-9397-08002B2CF9AE}" pid="7" name="CWRMItemRecordClassification">
    <vt:lpwstr>1321;#REG-00 - Tariff Development and Application Administration|a0f21eea-a95c-4984-bbc5-f702b4b89e29</vt:lpwstr>
  </property>
  <property fmtid="{D5CDD505-2E9C-101B-9397-08002B2CF9AE}" pid="8" name="Business Unit(s)">
    <vt:lpwstr/>
  </property>
</Properties>
</file>